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2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51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rmyeitaas-my.sharepoint-mil.us/personal/regina_k_berg_civ_army_mil/Documents/Documents/CIP/EA Tool/"/>
    </mc:Choice>
  </mc:AlternateContent>
  <xr:revisionPtr revIDLastSave="120" documentId="8_{175E77BC-15E5-4876-BD33-F0AFD73230D2}" xr6:coauthVersionLast="47" xr6:coauthVersionMax="47" xr10:uidLastSave="{7CD6ED9B-2FC1-4071-A802-7B0542AE21EC}"/>
  <bookViews>
    <workbookView xWindow="1464" yWindow="1656" windowWidth="18432" windowHeight="10680" xr2:uid="{00000000-000D-0000-FFFF-FFFF00000000}"/>
  </bookViews>
  <sheets>
    <sheet name="User Inputs" sheetId="15" r:id="rId1"/>
    <sheet name="Sheet1" sheetId="1" state="hidden" r:id="rId2"/>
    <sheet name="StatusQuo" sheetId="2" r:id="rId3"/>
    <sheet name="AlternativeA" sheetId="3" r:id="rId4"/>
    <sheet name="AlternativeB" sheetId="4" r:id="rId5"/>
    <sheet name="AlternativeC" sheetId="5" r:id="rId6"/>
    <sheet name="AlternativeD" sheetId="6" r:id="rId7"/>
    <sheet name="CostDisplayA" sheetId="7" r:id="rId8"/>
    <sheet name="CostDisplayB" sheetId="8" r:id="rId9"/>
    <sheet name="CostDisplayC" sheetId="9" r:id="rId10"/>
    <sheet name="CostDisplayD" sheetId="10" r:id="rId11"/>
    <sheet name="ComparisonOfAlternatives" sheetId="11" r:id="rId12"/>
    <sheet name="ROI" sheetId="16" state="hidden" r:id="rId13"/>
    <sheet name="Discount" sheetId="12" state="hidden" r:id="rId14"/>
    <sheet name="Inflation" sheetId="13" state="hidden" r:id="rId15"/>
    <sheet name="DataSave" sheetId="14" state="hidden" r:id="rId16"/>
  </sheets>
  <externalReferences>
    <externalReference r:id="rId17"/>
    <externalReference r:id="rId18"/>
  </externalReferences>
  <definedNames>
    <definedName name="_A65666">Discount!$A$18</definedName>
    <definedName name="AdjustYear" localSheetId="3">[1]Sheet1!$G$82:$I$123</definedName>
    <definedName name="AdjustYear" localSheetId="4">[1]Sheet1!$G$82:$I$123</definedName>
    <definedName name="AdjustYear" localSheetId="5">[1]Sheet1!$G$82:$I$123</definedName>
    <definedName name="AdjustYear" localSheetId="6">[1]Sheet1!$G$82:$I$123</definedName>
    <definedName name="AdjustYear" localSheetId="11">ComparisonOfAlternatives!$G$82:$I$123</definedName>
    <definedName name="AdjustYear" localSheetId="2">[1]Sheet1!$G$82:$I$123</definedName>
    <definedName name="AdjustYear">[2]Sheet1!$G$82:$I$123</definedName>
    <definedName name="DiscFactors" localSheetId="3">[1]Discount!$A$27:$G$86</definedName>
    <definedName name="DiscFactors" localSheetId="4">[1]Discount!$A$27:$G$86</definedName>
    <definedName name="DiscFactors" localSheetId="5">[1]Discount!$A$27:$G$86</definedName>
    <definedName name="DiscFactors" localSheetId="6">[1]Discount!$A$27:$G$86</definedName>
    <definedName name="DiscFactors" localSheetId="11">[1]Discount!$A$27:$G$86</definedName>
    <definedName name="DiscFactors" localSheetId="15">[2]Discount!$A$27:$G$86</definedName>
    <definedName name="DiscFactors" localSheetId="14">Discount!$A$27:$G$86</definedName>
    <definedName name="DiscFactors" localSheetId="2">[1]Discount!$A$27:$G$86</definedName>
    <definedName name="DiscFactors">Discount!$A$27:$G$86</definedName>
    <definedName name="DiscFactorsLinInterp">Discount!$A$27:$AO$86</definedName>
    <definedName name="DiscLinearInterp">Discount!$M$14:$AZ$15</definedName>
    <definedName name="Inflate1" localSheetId="3">[1]Inflation!$H$9:$J$82</definedName>
    <definedName name="Inflate1" localSheetId="4">[1]Inflation!$H$9:$J$82</definedName>
    <definedName name="Inflate1" localSheetId="5">[1]Inflation!$H$9:$J$82</definedName>
    <definedName name="Inflate1" localSheetId="6">[1]Inflation!$H$9:$J$82</definedName>
    <definedName name="Inflate1" localSheetId="11">[1]Inflation!$H$9:$J$82</definedName>
    <definedName name="Inflate1" localSheetId="15">[2]Inflation!$H$9:$J$82</definedName>
    <definedName name="Inflate1" localSheetId="13">[2]Inflation!$H$9:$J$82</definedName>
    <definedName name="Inflate1" localSheetId="2">[1]Inflation!$H$9:$J$82</definedName>
    <definedName name="Inflate1">Inflation!$H$9:$J$82</definedName>
    <definedName name="Inflate2" localSheetId="3">[1]Inflation!$H$88:$J$161</definedName>
    <definedName name="Inflate2" localSheetId="4">[1]Inflation!$H$88:$J$161</definedName>
    <definedName name="Inflate2" localSheetId="5">[1]Inflation!$H$88:$J$161</definedName>
    <definedName name="Inflate2" localSheetId="6">[1]Inflation!$H$88:$J$161</definedName>
    <definedName name="Inflate2" localSheetId="11">[1]Inflation!$H$88:$J$161</definedName>
    <definedName name="Inflate2" localSheetId="15">[2]Inflation!$H$88:$J$161</definedName>
    <definedName name="Inflate2" localSheetId="13">[2]Inflation!$H$88:$J$161</definedName>
    <definedName name="Inflate2" localSheetId="2">[1]Inflation!$H$88:$J$161</definedName>
    <definedName name="Inflate2">Inflation!$H$88:$J$161</definedName>
    <definedName name="Inflate3" localSheetId="3">[1]Inflation!$H$167:$J$240</definedName>
    <definedName name="Inflate3" localSheetId="4">[1]Inflation!$H$167:$J$240</definedName>
    <definedName name="Inflate3" localSheetId="5">[1]Inflation!$H$167:$J$240</definedName>
    <definedName name="Inflate3" localSheetId="6">[1]Inflation!$H$167:$J$240</definedName>
    <definedName name="Inflate3" localSheetId="11">[1]Inflation!$H$167:$J$240</definedName>
    <definedName name="Inflate3" localSheetId="15">[2]Inflation!$H$167:$J$240</definedName>
    <definedName name="Inflate3" localSheetId="13">[2]Inflation!$H$167:$J$240</definedName>
    <definedName name="Inflate3" localSheetId="2">[1]Inflation!$H$167:$J$240</definedName>
    <definedName name="Inflate3">Inflation!$H$167:$J$240</definedName>
    <definedName name="Inflate4" localSheetId="3">[1]Inflation!$H$246:$J$319</definedName>
    <definedName name="Inflate4" localSheetId="4">[1]Inflation!$H$246:$J$319</definedName>
    <definedName name="Inflate4" localSheetId="5">[1]Inflation!$H$246:$J$319</definedName>
    <definedName name="Inflate4" localSheetId="6">[1]Inflation!$H$246:$J$319</definedName>
    <definedName name="Inflate4" localSheetId="11">[1]Inflation!$H$246:$J$319</definedName>
    <definedName name="Inflate4" localSheetId="15">[2]Inflation!$H$246:$J$319</definedName>
    <definedName name="Inflate4" localSheetId="13">[2]Inflation!$H$246:$J$319</definedName>
    <definedName name="Inflate4" localSheetId="2">[1]Inflation!$H$246:$J$319</definedName>
    <definedName name="Inflate4">Inflation!$H$246:$J$319</definedName>
    <definedName name="Inflate5" localSheetId="3">[1]Inflation!$H$325:$J$398</definedName>
    <definedName name="Inflate5" localSheetId="4">[1]Inflation!$H$325:$J$398</definedName>
    <definedName name="Inflate5" localSheetId="5">[1]Inflation!$H$325:$J$398</definedName>
    <definedName name="Inflate5" localSheetId="6">[1]Inflation!$H$325:$J$398</definedName>
    <definedName name="Inflate5" localSheetId="11">[1]Inflation!$H$325:$J$398</definedName>
    <definedName name="Inflate5" localSheetId="15">[2]Inflation!$H$325:$J$398</definedName>
    <definedName name="Inflate5" localSheetId="13">[2]Inflation!$H$325:$J$398</definedName>
    <definedName name="Inflate5" localSheetId="2">[1]Inflation!$H$325:$J$398</definedName>
    <definedName name="Inflate5">Inflation!$H$325:$J$398</definedName>
    <definedName name="Inflate6" localSheetId="3">[1]Inflation!$H$404:$J$477</definedName>
    <definedName name="Inflate6" localSheetId="4">[1]Inflation!$H$404:$J$477</definedName>
    <definedName name="Inflate6" localSheetId="5">[1]Inflation!$H$404:$J$477</definedName>
    <definedName name="Inflate6" localSheetId="6">[1]Inflation!$H$404:$J$477</definedName>
    <definedName name="Inflate6" localSheetId="11">[1]Inflation!$H$404:$J$477</definedName>
    <definedName name="Inflate6" localSheetId="15">[2]Inflation!$H$404:$J$477</definedName>
    <definedName name="Inflate6" localSheetId="13">[2]Inflation!$H$404:$J$477</definedName>
    <definedName name="Inflate6" localSheetId="2">[1]Inflation!$H$404:$J$477</definedName>
    <definedName name="Inflate6">Inflation!$H$404:$J$477</definedName>
    <definedName name="Inflate7" localSheetId="3">[1]Inflation!$H$483:$J$556</definedName>
    <definedName name="Inflate7" localSheetId="4">[1]Inflation!$H$483:$J$556</definedName>
    <definedName name="Inflate7" localSheetId="5">[1]Inflation!$H$483:$J$556</definedName>
    <definedName name="Inflate7" localSheetId="6">[1]Inflation!$H$483:$J$556</definedName>
    <definedName name="Inflate7" localSheetId="11">[1]Inflation!$H$483:$J$556</definedName>
    <definedName name="Inflate7" localSheetId="15">[2]Inflation!$H$483:$J$556</definedName>
    <definedName name="Inflate7" localSheetId="13">[2]Inflation!$H$483:$J$556</definedName>
    <definedName name="Inflate7" localSheetId="2">[1]Inflation!$H$483:$J$556</definedName>
    <definedName name="Inflate7">Inflation!$H$483:$J$556</definedName>
    <definedName name="Inflate8" localSheetId="3">[1]Inflation!$H$562:$J$635</definedName>
    <definedName name="Inflate8" localSheetId="4">[1]Inflation!$H$562:$J$635</definedName>
    <definedName name="Inflate8" localSheetId="5">[1]Inflation!$H$562:$J$635</definedName>
    <definedName name="Inflate8" localSheetId="6">[1]Inflation!$H$562:$J$635</definedName>
    <definedName name="Inflate8" localSheetId="11">[1]Inflation!$H$562:$J$635</definedName>
    <definedName name="Inflate8" localSheetId="15">[2]Inflation!$H$562:$J$635</definedName>
    <definedName name="Inflate8" localSheetId="13">[2]Inflation!$H$562:$J$635</definedName>
    <definedName name="Inflate8" localSheetId="2">[1]Inflation!$H$562:$J$635</definedName>
    <definedName name="Inflate8">Inflation!$H$562:$J$635</definedName>
    <definedName name="_xlnm.Print_Area" localSheetId="7">CostDisplayA!$A$1:$L$95</definedName>
    <definedName name="_xlnm.Print_Area" localSheetId="8">CostDisplayB!$A:$L</definedName>
    <definedName name="_xlnm.Print_Area" localSheetId="9">CostDisplayC!$A$1:$L$95</definedName>
    <definedName name="_xlnm.Print_Area" localSheetId="10">CostDisplayD!$A$1:$L$95</definedName>
    <definedName name="RealRates" localSheetId="3">[1]Discount!$B$9:$G$11</definedName>
    <definedName name="RealRates" localSheetId="4">[1]Discount!$B$9:$G$11</definedName>
    <definedName name="RealRates" localSheetId="5">[1]Discount!$B$9:$G$11</definedName>
    <definedName name="RealRates" localSheetId="6">[1]Discount!$B$9:$G$11</definedName>
    <definedName name="RealRates" localSheetId="11">[1]Discount!$B$9:$G$11</definedName>
    <definedName name="RealRates" localSheetId="15">[2]Discount!$B$9:$G$11</definedName>
    <definedName name="RealRates" localSheetId="14">Discount!$B$9:$G$11</definedName>
    <definedName name="RealRates" localSheetId="2">[1]Discount!$B$9:$G$11</definedName>
    <definedName name="RealRates">Discount!$B$9:$G$11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8" i="12" l="1"/>
  <c r="Q18" i="12"/>
  <c r="P18" i="12"/>
  <c r="O18" i="12"/>
  <c r="N18" i="12"/>
  <c r="M18" i="12"/>
  <c r="K12" i="16" l="1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11" i="16"/>
  <c r="K10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11" i="16"/>
  <c r="H10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11" i="16"/>
  <c r="E10" i="16"/>
  <c r="B12" i="16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11" i="16"/>
  <c r="B10" i="16"/>
  <c r="M11" i="7"/>
  <c r="A11" i="7"/>
  <c r="C91" i="10"/>
  <c r="C91" i="9"/>
  <c r="C91" i="8"/>
  <c r="C91" i="7"/>
  <c r="H22" i="11" l="1"/>
  <c r="H20" i="11"/>
  <c r="I91" i="10"/>
  <c r="I91" i="9"/>
  <c r="I91" i="8"/>
  <c r="I91" i="7"/>
  <c r="A11" i="10"/>
  <c r="A12" i="10" s="1"/>
  <c r="A11" i="9"/>
  <c r="A12" i="9" s="1"/>
  <c r="A11" i="8"/>
  <c r="A12" i="8" s="1"/>
  <c r="D82" i="1"/>
  <c r="G62" i="10"/>
  <c r="G62" i="9"/>
  <c r="G62" i="8"/>
  <c r="G62" i="7"/>
  <c r="N20" i="12"/>
  <c r="O20" i="12"/>
  <c r="P20" i="12"/>
  <c r="Q20" i="12"/>
  <c r="M20" i="12"/>
  <c r="N19" i="12"/>
  <c r="R15" i="12" s="1"/>
  <c r="G48" i="12" s="1"/>
  <c r="O19" i="12"/>
  <c r="P19" i="12"/>
  <c r="Q19" i="12"/>
  <c r="M19" i="12"/>
  <c r="AH15" i="12" l="1"/>
  <c r="W56" i="12" s="1"/>
  <c r="G34" i="12"/>
  <c r="G35" i="12"/>
  <c r="G36" i="12"/>
  <c r="G37" i="12"/>
  <c r="G38" i="12"/>
  <c r="G39" i="12"/>
  <c r="G40" i="12"/>
  <c r="G42" i="12"/>
  <c r="G4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50" i="12"/>
  <c r="G53" i="12"/>
  <c r="G41" i="12"/>
  <c r="G47" i="12"/>
  <c r="G52" i="12"/>
  <c r="G55" i="12"/>
  <c r="G46" i="12"/>
  <c r="G78" i="12"/>
  <c r="G80" i="12"/>
  <c r="G82" i="12"/>
  <c r="G84" i="12"/>
  <c r="G86" i="12"/>
  <c r="G29" i="12"/>
  <c r="G43" i="12"/>
  <c r="G44" i="12"/>
  <c r="G51" i="12"/>
  <c r="G31" i="12"/>
  <c r="G28" i="12"/>
  <c r="G79" i="12"/>
  <c r="G85" i="12"/>
  <c r="G33" i="12"/>
  <c r="G27" i="12"/>
  <c r="G32" i="12"/>
  <c r="G30" i="12"/>
  <c r="G83" i="12"/>
  <c r="G81" i="12"/>
  <c r="G54" i="12"/>
  <c r="G49" i="12"/>
  <c r="T15" i="12"/>
  <c r="Z15" i="12"/>
  <c r="AN15" i="12"/>
  <c r="Q15" i="12"/>
  <c r="S15" i="12"/>
  <c r="O15" i="12"/>
  <c r="P15" i="12"/>
  <c r="W15" i="12"/>
  <c r="Y15" i="12"/>
  <c r="AO15" i="12"/>
  <c r="AF15" i="12"/>
  <c r="X15" i="12"/>
  <c r="AJ15" i="12"/>
  <c r="U15" i="12"/>
  <c r="AE15" i="12"/>
  <c r="AA15" i="12"/>
  <c r="AG15" i="12"/>
  <c r="AM15" i="12"/>
  <c r="AI15" i="12"/>
  <c r="AC15" i="12"/>
  <c r="AK15" i="12"/>
  <c r="V15" i="12"/>
  <c r="AB15" i="12"/>
  <c r="AD15" i="12"/>
  <c r="AP15" i="12"/>
  <c r="AL15" i="12"/>
  <c r="W32" i="12" l="1"/>
  <c r="W53" i="12"/>
  <c r="W71" i="12"/>
  <c r="W59" i="12"/>
  <c r="W50" i="12"/>
  <c r="W27" i="12"/>
  <c r="W69" i="12"/>
  <c r="W51" i="12"/>
  <c r="W48" i="12"/>
  <c r="W43" i="12"/>
  <c r="W55" i="12"/>
  <c r="W42" i="12"/>
  <c r="W66" i="12"/>
  <c r="W40" i="12"/>
  <c r="W79" i="12"/>
  <c r="W82" i="12"/>
  <c r="W41" i="12"/>
  <c r="W65" i="12"/>
  <c r="W39" i="12"/>
  <c r="W80" i="12"/>
  <c r="W76" i="12"/>
  <c r="W64" i="12"/>
  <c r="W38" i="12"/>
  <c r="W46" i="12"/>
  <c r="W68" i="12"/>
  <c r="W63" i="12"/>
  <c r="W70" i="12"/>
  <c r="W58" i="12"/>
  <c r="W45" i="12"/>
  <c r="W86" i="12"/>
  <c r="W67" i="12"/>
  <c r="W84" i="12"/>
  <c r="W78" i="12"/>
  <c r="W75" i="12"/>
  <c r="W37" i="12"/>
  <c r="W52" i="12"/>
  <c r="W74" i="12"/>
  <c r="W62" i="12"/>
  <c r="W36" i="12"/>
  <c r="W30" i="12"/>
  <c r="W47" i="12"/>
  <c r="W73" i="12"/>
  <c r="W61" i="12"/>
  <c r="W35" i="12"/>
  <c r="W44" i="12"/>
  <c r="W72" i="12"/>
  <c r="W60" i="12"/>
  <c r="W34" i="12"/>
  <c r="W57" i="12"/>
  <c r="W83" i="12"/>
  <c r="W54" i="12"/>
  <c r="W28" i="12"/>
  <c r="W77" i="12"/>
  <c r="W29" i="12"/>
  <c r="W81" i="12"/>
  <c r="W31" i="12"/>
  <c r="W49" i="12"/>
  <c r="W85" i="12"/>
  <c r="W33" i="12"/>
  <c r="X41" i="12"/>
  <c r="X42" i="12"/>
  <c r="X43" i="12"/>
  <c r="X44" i="12"/>
  <c r="X34" i="12"/>
  <c r="X38" i="12"/>
  <c r="X35" i="12"/>
  <c r="X40" i="12"/>
  <c r="X45" i="12"/>
  <c r="X47" i="12"/>
  <c r="X49" i="12"/>
  <c r="X51" i="12"/>
  <c r="X53" i="12"/>
  <c r="X55" i="12"/>
  <c r="X36" i="12"/>
  <c r="X37" i="12"/>
  <c r="X46" i="12"/>
  <c r="X54" i="12"/>
  <c r="X57" i="12"/>
  <c r="X59" i="12"/>
  <c r="X61" i="12"/>
  <c r="X63" i="12"/>
  <c r="X65" i="12"/>
  <c r="X67" i="12"/>
  <c r="X69" i="12"/>
  <c r="X71" i="12"/>
  <c r="X73" i="12"/>
  <c r="X75" i="12"/>
  <c r="X77" i="12"/>
  <c r="X78" i="12"/>
  <c r="X79" i="12"/>
  <c r="X80" i="12"/>
  <c r="X81" i="12"/>
  <c r="X82" i="12"/>
  <c r="X83" i="12"/>
  <c r="X84" i="12"/>
  <c r="X85" i="12"/>
  <c r="X86" i="12"/>
  <c r="X28" i="12"/>
  <c r="X29" i="12"/>
  <c r="X30" i="12"/>
  <c r="X31" i="12"/>
  <c r="X32" i="12"/>
  <c r="X33" i="12"/>
  <c r="X27" i="12"/>
  <c r="X39" i="12"/>
  <c r="X48" i="12"/>
  <c r="X56" i="12"/>
  <c r="X60" i="12"/>
  <c r="X64" i="12"/>
  <c r="X68" i="12"/>
  <c r="X72" i="12"/>
  <c r="X76" i="12"/>
  <c r="X52" i="12"/>
  <c r="X50" i="12"/>
  <c r="X62" i="12"/>
  <c r="X70" i="12"/>
  <c r="X58" i="12"/>
  <c r="X66" i="12"/>
  <c r="X74" i="12"/>
  <c r="U37" i="12"/>
  <c r="U45" i="12"/>
  <c r="U46" i="12"/>
  <c r="U47" i="12"/>
  <c r="U48" i="12"/>
  <c r="U49" i="12"/>
  <c r="U50" i="12"/>
  <c r="U51" i="12"/>
  <c r="U52" i="12"/>
  <c r="U53" i="12"/>
  <c r="U54" i="12"/>
  <c r="U55" i="12"/>
  <c r="U34" i="12"/>
  <c r="U39" i="12"/>
  <c r="U42" i="12"/>
  <c r="U38" i="12"/>
  <c r="U43" i="12"/>
  <c r="U56" i="12"/>
  <c r="U58" i="12"/>
  <c r="U60" i="12"/>
  <c r="U62" i="12"/>
  <c r="U64" i="12"/>
  <c r="U66" i="12"/>
  <c r="U68" i="12"/>
  <c r="U70" i="12"/>
  <c r="U72" i="12"/>
  <c r="U74" i="12"/>
  <c r="U76" i="12"/>
  <c r="U40" i="12"/>
  <c r="U44" i="12"/>
  <c r="U59" i="12"/>
  <c r="U63" i="12"/>
  <c r="U67" i="12"/>
  <c r="U71" i="12"/>
  <c r="U75" i="12"/>
  <c r="U77" i="12"/>
  <c r="U79" i="12"/>
  <c r="U81" i="12"/>
  <c r="U83" i="12"/>
  <c r="U85" i="12"/>
  <c r="U28" i="12"/>
  <c r="U61" i="12"/>
  <c r="U69" i="12"/>
  <c r="U78" i="12"/>
  <c r="U82" i="12"/>
  <c r="U29" i="12"/>
  <c r="U31" i="12"/>
  <c r="U33" i="12"/>
  <c r="U41" i="12"/>
  <c r="U57" i="12"/>
  <c r="U65" i="12"/>
  <c r="U73" i="12"/>
  <c r="U84" i="12"/>
  <c r="U35" i="12"/>
  <c r="U80" i="12"/>
  <c r="U30" i="12"/>
  <c r="U32" i="12"/>
  <c r="U36" i="12"/>
  <c r="U86" i="12"/>
  <c r="U27" i="12"/>
  <c r="AC36" i="12"/>
  <c r="AC40" i="12"/>
  <c r="AC45" i="12"/>
  <c r="AC46" i="12"/>
  <c r="AC47" i="12"/>
  <c r="AC48" i="12"/>
  <c r="AC49" i="12"/>
  <c r="AC50" i="12"/>
  <c r="AC51" i="12"/>
  <c r="AC52" i="12"/>
  <c r="AC53" i="12"/>
  <c r="AC54" i="12"/>
  <c r="AC55" i="12"/>
  <c r="AC37" i="12"/>
  <c r="AC42" i="12"/>
  <c r="AC34" i="12"/>
  <c r="AC35" i="12"/>
  <c r="AC43" i="12"/>
  <c r="AC44" i="12"/>
  <c r="AC57" i="12"/>
  <c r="AC59" i="12"/>
  <c r="AC61" i="12"/>
  <c r="AC63" i="12"/>
  <c r="AC65" i="12"/>
  <c r="AC67" i="12"/>
  <c r="AC69" i="12"/>
  <c r="AC71" i="12"/>
  <c r="AC73" i="12"/>
  <c r="AC75" i="12"/>
  <c r="AC38" i="12"/>
  <c r="AC39" i="12"/>
  <c r="AC41" i="12"/>
  <c r="AC58" i="12"/>
  <c r="AC62" i="12"/>
  <c r="AC66" i="12"/>
  <c r="AC70" i="12"/>
  <c r="AC74" i="12"/>
  <c r="AC78" i="12"/>
  <c r="AC80" i="12"/>
  <c r="AC82" i="12"/>
  <c r="AC84" i="12"/>
  <c r="AC86" i="12"/>
  <c r="AC56" i="12"/>
  <c r="AC64" i="12"/>
  <c r="AC72" i="12"/>
  <c r="AC77" i="12"/>
  <c r="AC81" i="12"/>
  <c r="AC83" i="12"/>
  <c r="AC30" i="12"/>
  <c r="AC32" i="12"/>
  <c r="AC76" i="12"/>
  <c r="AC33" i="12"/>
  <c r="AC85" i="12"/>
  <c r="AC27" i="12"/>
  <c r="AC60" i="12"/>
  <c r="AC68" i="12"/>
  <c r="AC79" i="12"/>
  <c r="AC28" i="12"/>
  <c r="AC29" i="12"/>
  <c r="AC31" i="12"/>
  <c r="AA34" i="12"/>
  <c r="AA35" i="12"/>
  <c r="AA36" i="12"/>
  <c r="AA37" i="12"/>
  <c r="AA38" i="12"/>
  <c r="AA39" i="12"/>
  <c r="AA40" i="12"/>
  <c r="AA42" i="12"/>
  <c r="AA44" i="12"/>
  <c r="AA46" i="12"/>
  <c r="AA48" i="12"/>
  <c r="AA50" i="12"/>
  <c r="AA52" i="12"/>
  <c r="AA54" i="12"/>
  <c r="AA56" i="12"/>
  <c r="AA57" i="12"/>
  <c r="AA58" i="12"/>
  <c r="AA59" i="12"/>
  <c r="AA60" i="12"/>
  <c r="AA61" i="12"/>
  <c r="AA62" i="12"/>
  <c r="AA63" i="12"/>
  <c r="AA64" i="12"/>
  <c r="AA65" i="12"/>
  <c r="AA66" i="12"/>
  <c r="AA67" i="12"/>
  <c r="AA68" i="12"/>
  <c r="AA69" i="12"/>
  <c r="AA70" i="12"/>
  <c r="AA71" i="12"/>
  <c r="AA72" i="12"/>
  <c r="AA73" i="12"/>
  <c r="AA74" i="12"/>
  <c r="AA75" i="12"/>
  <c r="AA76" i="12"/>
  <c r="AA47" i="12"/>
  <c r="AA55" i="12"/>
  <c r="AA41" i="12"/>
  <c r="AA49" i="12"/>
  <c r="AA43" i="12"/>
  <c r="AA53" i="12"/>
  <c r="AA77" i="12"/>
  <c r="AA79" i="12"/>
  <c r="AA81" i="12"/>
  <c r="AA85" i="12"/>
  <c r="AA27" i="12"/>
  <c r="AA31" i="12"/>
  <c r="AA33" i="12"/>
  <c r="AA78" i="12"/>
  <c r="AA86" i="12"/>
  <c r="AA45" i="12"/>
  <c r="AA80" i="12"/>
  <c r="AA28" i="12"/>
  <c r="AA29" i="12"/>
  <c r="AA51" i="12"/>
  <c r="AA84" i="12"/>
  <c r="AA82" i="12"/>
  <c r="AA83" i="12"/>
  <c r="AA30" i="12"/>
  <c r="AA32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50" i="12"/>
  <c r="AB53" i="12"/>
  <c r="AB77" i="12"/>
  <c r="AB78" i="12"/>
  <c r="AB79" i="12"/>
  <c r="AB80" i="12"/>
  <c r="AB81" i="12"/>
  <c r="AB82" i="12"/>
  <c r="AB83" i="12"/>
  <c r="AB84" i="12"/>
  <c r="AB85" i="12"/>
  <c r="AB86" i="12"/>
  <c r="AB28" i="12"/>
  <c r="AB29" i="12"/>
  <c r="AB30" i="12"/>
  <c r="AB31" i="12"/>
  <c r="AB32" i="12"/>
  <c r="AB33" i="12"/>
  <c r="AB27" i="12"/>
  <c r="AB47" i="12"/>
  <c r="AB52" i="12"/>
  <c r="AB55" i="12"/>
  <c r="AB56" i="12"/>
  <c r="AB58" i="12"/>
  <c r="AB60" i="12"/>
  <c r="AB62" i="12"/>
  <c r="AB64" i="12"/>
  <c r="AB66" i="12"/>
  <c r="AB68" i="12"/>
  <c r="AB70" i="12"/>
  <c r="AB72" i="12"/>
  <c r="AB74" i="12"/>
  <c r="AB76" i="12"/>
  <c r="AB49" i="12"/>
  <c r="AB54" i="12"/>
  <c r="AB48" i="12"/>
  <c r="AB57" i="12"/>
  <c r="AB61" i="12"/>
  <c r="AB65" i="12"/>
  <c r="AB69" i="12"/>
  <c r="AB73" i="12"/>
  <c r="AB46" i="12"/>
  <c r="AB59" i="12"/>
  <c r="AB75" i="12"/>
  <c r="AB63" i="12"/>
  <c r="AB71" i="12"/>
  <c r="AB51" i="12"/>
  <c r="AB67" i="12"/>
  <c r="AD34" i="12"/>
  <c r="AD35" i="12"/>
  <c r="AD36" i="12"/>
  <c r="AD37" i="12"/>
  <c r="AD38" i="12"/>
  <c r="AD39" i="12"/>
  <c r="AD41" i="12"/>
  <c r="AD43" i="12"/>
  <c r="AD45" i="12"/>
  <c r="AD47" i="12"/>
  <c r="AD49" i="12"/>
  <c r="AD51" i="12"/>
  <c r="AD53" i="12"/>
  <c r="AD55" i="12"/>
  <c r="AD48" i="12"/>
  <c r="AD44" i="12"/>
  <c r="AD50" i="12"/>
  <c r="AD57" i="12"/>
  <c r="AD59" i="12"/>
  <c r="AD61" i="12"/>
  <c r="AD63" i="12"/>
  <c r="AD65" i="12"/>
  <c r="AD67" i="12"/>
  <c r="AD69" i="12"/>
  <c r="AD71" i="12"/>
  <c r="AD73" i="12"/>
  <c r="AD75" i="12"/>
  <c r="AD40" i="12"/>
  <c r="AD42" i="12"/>
  <c r="AD54" i="12"/>
  <c r="AD58" i="12"/>
  <c r="AD62" i="12"/>
  <c r="AD66" i="12"/>
  <c r="AD70" i="12"/>
  <c r="AD74" i="12"/>
  <c r="AD78" i="12"/>
  <c r="AD80" i="12"/>
  <c r="AD82" i="12"/>
  <c r="AD52" i="12"/>
  <c r="AD86" i="12"/>
  <c r="AD30" i="12"/>
  <c r="AD32" i="12"/>
  <c r="AD85" i="12"/>
  <c r="AD27" i="12"/>
  <c r="AD60" i="12"/>
  <c r="AD76" i="12"/>
  <c r="AD79" i="12"/>
  <c r="AD29" i="12"/>
  <c r="AD31" i="12"/>
  <c r="AD56" i="12"/>
  <c r="AD64" i="12"/>
  <c r="AD72" i="12"/>
  <c r="AD77" i="12"/>
  <c r="AD81" i="12"/>
  <c r="AD83" i="12"/>
  <c r="AD46" i="12"/>
  <c r="AD68" i="12"/>
  <c r="AD84" i="12"/>
  <c r="AD28" i="12"/>
  <c r="AD33" i="12"/>
  <c r="O34" i="12"/>
  <c r="O35" i="12"/>
  <c r="O36" i="12"/>
  <c r="O37" i="12"/>
  <c r="O38" i="12"/>
  <c r="O39" i="12"/>
  <c r="O40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41" i="12"/>
  <c r="O45" i="12"/>
  <c r="O48" i="12"/>
  <c r="O53" i="12"/>
  <c r="O42" i="12"/>
  <c r="O47" i="12"/>
  <c r="O50" i="12"/>
  <c r="O55" i="12"/>
  <c r="O49" i="12"/>
  <c r="O79" i="12"/>
  <c r="O81" i="12"/>
  <c r="O83" i="12"/>
  <c r="O85" i="12"/>
  <c r="O28" i="12"/>
  <c r="O54" i="12"/>
  <c r="O77" i="12"/>
  <c r="O80" i="12"/>
  <c r="O86" i="12"/>
  <c r="O31" i="12"/>
  <c r="O33" i="12"/>
  <c r="O43" i="12"/>
  <c r="O52" i="12"/>
  <c r="O30" i="12"/>
  <c r="O32" i="12"/>
  <c r="O27" i="12"/>
  <c r="O46" i="12"/>
  <c r="O51" i="12"/>
  <c r="O29" i="12"/>
  <c r="O78" i="12"/>
  <c r="O82" i="12"/>
  <c r="O44" i="12"/>
  <c r="O84" i="12"/>
  <c r="V34" i="12"/>
  <c r="V35" i="12"/>
  <c r="V36" i="12"/>
  <c r="V37" i="12"/>
  <c r="V38" i="12"/>
  <c r="V39" i="12"/>
  <c r="V40" i="12"/>
  <c r="V42" i="12"/>
  <c r="V44" i="12"/>
  <c r="V46" i="12"/>
  <c r="V48" i="12"/>
  <c r="V50" i="12"/>
  <c r="V52" i="12"/>
  <c r="V54" i="12"/>
  <c r="V45" i="12"/>
  <c r="V53" i="12"/>
  <c r="V43" i="12"/>
  <c r="V47" i="12"/>
  <c r="V55" i="12"/>
  <c r="V56" i="12"/>
  <c r="V58" i="12"/>
  <c r="V60" i="12"/>
  <c r="V62" i="12"/>
  <c r="V64" i="12"/>
  <c r="V66" i="12"/>
  <c r="V68" i="12"/>
  <c r="V70" i="12"/>
  <c r="V72" i="12"/>
  <c r="V74" i="12"/>
  <c r="V76" i="12"/>
  <c r="V51" i="12"/>
  <c r="V59" i="12"/>
  <c r="V63" i="12"/>
  <c r="V67" i="12"/>
  <c r="V71" i="12"/>
  <c r="V75" i="12"/>
  <c r="V77" i="12"/>
  <c r="V79" i="12"/>
  <c r="V81" i="12"/>
  <c r="V83" i="12"/>
  <c r="V86" i="12"/>
  <c r="V27" i="12"/>
  <c r="V33" i="12"/>
  <c r="V49" i="12"/>
  <c r="V28" i="12"/>
  <c r="V73" i="12"/>
  <c r="V84" i="12"/>
  <c r="V30" i="12"/>
  <c r="V32" i="12"/>
  <c r="V61" i="12"/>
  <c r="V69" i="12"/>
  <c r="V78" i="12"/>
  <c r="V82" i="12"/>
  <c r="V85" i="12"/>
  <c r="V29" i="12"/>
  <c r="V31" i="12"/>
  <c r="V41" i="12"/>
  <c r="V57" i="12"/>
  <c r="V65" i="12"/>
  <c r="V80" i="12"/>
  <c r="H41" i="12"/>
  <c r="H42" i="12"/>
  <c r="H43" i="12"/>
  <c r="H44" i="12"/>
  <c r="H45" i="12"/>
  <c r="H36" i="12"/>
  <c r="H40" i="12"/>
  <c r="H34" i="12"/>
  <c r="H39" i="12"/>
  <c r="H47" i="12"/>
  <c r="H49" i="12"/>
  <c r="H51" i="12"/>
  <c r="H53" i="12"/>
  <c r="H55" i="12"/>
  <c r="H35" i="12"/>
  <c r="H48" i="12"/>
  <c r="H57" i="12"/>
  <c r="H59" i="12"/>
  <c r="H61" i="12"/>
  <c r="H63" i="12"/>
  <c r="H65" i="12"/>
  <c r="H67" i="12"/>
  <c r="H69" i="12"/>
  <c r="H71" i="12"/>
  <c r="H73" i="12"/>
  <c r="H75" i="12"/>
  <c r="H77" i="12"/>
  <c r="H78" i="12"/>
  <c r="H79" i="12"/>
  <c r="H80" i="12"/>
  <c r="H81" i="12"/>
  <c r="H82" i="12"/>
  <c r="H83" i="12"/>
  <c r="H84" i="12"/>
  <c r="H85" i="12"/>
  <c r="H86" i="12"/>
  <c r="H28" i="12"/>
  <c r="H29" i="12"/>
  <c r="H30" i="12"/>
  <c r="H31" i="12"/>
  <c r="H32" i="12"/>
  <c r="H33" i="12"/>
  <c r="H27" i="12"/>
  <c r="H37" i="12"/>
  <c r="H38" i="12"/>
  <c r="H50" i="12"/>
  <c r="H52" i="12"/>
  <c r="H58" i="12"/>
  <c r="H62" i="12"/>
  <c r="H66" i="12"/>
  <c r="H70" i="12"/>
  <c r="H74" i="12"/>
  <c r="H46" i="12"/>
  <c r="H56" i="12"/>
  <c r="H64" i="12"/>
  <c r="H72" i="12"/>
  <c r="H60" i="12"/>
  <c r="H54" i="12"/>
  <c r="H68" i="12"/>
  <c r="H76" i="12"/>
  <c r="Q36" i="12"/>
  <c r="Q40" i="12"/>
  <c r="Q42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38" i="12"/>
  <c r="Q43" i="12"/>
  <c r="Q39" i="12"/>
  <c r="Q41" i="12"/>
  <c r="Q56" i="12"/>
  <c r="Q58" i="12"/>
  <c r="Q60" i="12"/>
  <c r="Q62" i="12"/>
  <c r="Q64" i="12"/>
  <c r="Q66" i="12"/>
  <c r="Q68" i="12"/>
  <c r="Q70" i="12"/>
  <c r="Q72" i="12"/>
  <c r="Q74" i="12"/>
  <c r="Q76" i="12"/>
  <c r="Q77" i="12"/>
  <c r="Q57" i="12"/>
  <c r="Q61" i="12"/>
  <c r="Q65" i="12"/>
  <c r="Q69" i="12"/>
  <c r="Q73" i="12"/>
  <c r="Q79" i="12"/>
  <c r="Q81" i="12"/>
  <c r="Q35" i="12"/>
  <c r="Q84" i="12"/>
  <c r="Q27" i="12"/>
  <c r="Q31" i="12"/>
  <c r="Q34" i="12"/>
  <c r="Q85" i="12"/>
  <c r="Q71" i="12"/>
  <c r="Q82" i="12"/>
  <c r="Q37" i="12"/>
  <c r="Q59" i="12"/>
  <c r="Q67" i="12"/>
  <c r="Q75" i="12"/>
  <c r="Q80" i="12"/>
  <c r="Q83" i="12"/>
  <c r="Q86" i="12"/>
  <c r="Q33" i="12"/>
  <c r="Q29" i="12"/>
  <c r="Q63" i="12"/>
  <c r="Q78" i="12"/>
  <c r="Q28" i="12"/>
  <c r="Q30" i="12"/>
  <c r="Q32" i="12"/>
  <c r="T34" i="12"/>
  <c r="T35" i="12"/>
  <c r="T36" i="12"/>
  <c r="T37" i="12"/>
  <c r="T38" i="12"/>
  <c r="T39" i="12"/>
  <c r="T40" i="12"/>
  <c r="T41" i="12"/>
  <c r="T42" i="12"/>
  <c r="T43" i="12"/>
  <c r="T44" i="12"/>
  <c r="T47" i="12"/>
  <c r="T50" i="12"/>
  <c r="T55" i="12"/>
  <c r="T77" i="12"/>
  <c r="T78" i="12"/>
  <c r="T79" i="12"/>
  <c r="T80" i="12"/>
  <c r="T81" i="12"/>
  <c r="T82" i="12"/>
  <c r="T83" i="12"/>
  <c r="T84" i="12"/>
  <c r="T85" i="12"/>
  <c r="T86" i="12"/>
  <c r="T28" i="12"/>
  <c r="T29" i="12"/>
  <c r="T30" i="12"/>
  <c r="T31" i="12"/>
  <c r="T32" i="12"/>
  <c r="T33" i="12"/>
  <c r="T27" i="12"/>
  <c r="T49" i="12"/>
  <c r="T52" i="12"/>
  <c r="T57" i="12"/>
  <c r="T59" i="12"/>
  <c r="T61" i="12"/>
  <c r="T63" i="12"/>
  <c r="T65" i="12"/>
  <c r="T67" i="12"/>
  <c r="T69" i="12"/>
  <c r="T71" i="12"/>
  <c r="T73" i="12"/>
  <c r="T75" i="12"/>
  <c r="T46" i="12"/>
  <c r="T51" i="12"/>
  <c r="T45" i="12"/>
  <c r="T58" i="12"/>
  <c r="T62" i="12"/>
  <c r="T66" i="12"/>
  <c r="T70" i="12"/>
  <c r="T74" i="12"/>
  <c r="T54" i="12"/>
  <c r="T72" i="12"/>
  <c r="T48" i="12"/>
  <c r="T53" i="12"/>
  <c r="T60" i="12"/>
  <c r="T68" i="12"/>
  <c r="T76" i="12"/>
  <c r="T56" i="12"/>
  <c r="T64" i="12"/>
  <c r="E35" i="12"/>
  <c r="E39" i="12"/>
  <c r="E46" i="12"/>
  <c r="E47" i="12"/>
  <c r="E48" i="12"/>
  <c r="E49" i="12"/>
  <c r="E50" i="12"/>
  <c r="E51" i="12"/>
  <c r="E52" i="12"/>
  <c r="E53" i="12"/>
  <c r="E54" i="12"/>
  <c r="E55" i="12"/>
  <c r="E38" i="12"/>
  <c r="E41" i="12"/>
  <c r="E44" i="12"/>
  <c r="E36" i="12"/>
  <c r="E37" i="12"/>
  <c r="E56" i="12"/>
  <c r="E58" i="12"/>
  <c r="E60" i="12"/>
  <c r="E62" i="12"/>
  <c r="E64" i="12"/>
  <c r="E66" i="12"/>
  <c r="E68" i="12"/>
  <c r="E70" i="12"/>
  <c r="E72" i="12"/>
  <c r="E74" i="12"/>
  <c r="E76" i="12"/>
  <c r="E42" i="12"/>
  <c r="E43" i="12"/>
  <c r="E57" i="12"/>
  <c r="E61" i="12"/>
  <c r="E65" i="12"/>
  <c r="E69" i="12"/>
  <c r="E73" i="12"/>
  <c r="E77" i="12"/>
  <c r="E79" i="12"/>
  <c r="E81" i="12"/>
  <c r="E83" i="12"/>
  <c r="E85" i="12"/>
  <c r="E28" i="12"/>
  <c r="E34" i="12"/>
  <c r="E45" i="12"/>
  <c r="E63" i="12"/>
  <c r="E71" i="12"/>
  <c r="E80" i="12"/>
  <c r="E31" i="12"/>
  <c r="E33" i="12"/>
  <c r="E40" i="12"/>
  <c r="E86" i="12"/>
  <c r="E84" i="12"/>
  <c r="E59" i="12"/>
  <c r="E67" i="12"/>
  <c r="E75" i="12"/>
  <c r="E78" i="12"/>
  <c r="E82" i="12"/>
  <c r="E30" i="12"/>
  <c r="E32" i="12"/>
  <c r="E29" i="12"/>
  <c r="E27" i="12"/>
  <c r="K34" i="12"/>
  <c r="K35" i="12"/>
  <c r="K36" i="12"/>
  <c r="K37" i="12"/>
  <c r="K38" i="12"/>
  <c r="K39" i="12"/>
  <c r="K40" i="12"/>
  <c r="K42" i="12"/>
  <c r="K44" i="12"/>
  <c r="K41" i="12"/>
  <c r="K46" i="12"/>
  <c r="K48" i="12"/>
  <c r="K50" i="12"/>
  <c r="K52" i="12"/>
  <c r="K54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43" i="12"/>
  <c r="K49" i="12"/>
  <c r="K51" i="12"/>
  <c r="K53" i="12"/>
  <c r="K47" i="12"/>
  <c r="K79" i="12"/>
  <c r="K81" i="12"/>
  <c r="K28" i="12"/>
  <c r="K27" i="12"/>
  <c r="K33" i="12"/>
  <c r="K45" i="12"/>
  <c r="K86" i="12"/>
  <c r="K80" i="12"/>
  <c r="K29" i="12"/>
  <c r="K30" i="12"/>
  <c r="K32" i="12"/>
  <c r="K78" i="12"/>
  <c r="K82" i="12"/>
  <c r="K84" i="12"/>
  <c r="K31" i="12"/>
  <c r="K83" i="12"/>
  <c r="K55" i="12"/>
  <c r="K77" i="12"/>
  <c r="K85" i="12"/>
  <c r="J34" i="12"/>
  <c r="J35" i="12"/>
  <c r="J36" i="12"/>
  <c r="J37" i="12"/>
  <c r="J38" i="12"/>
  <c r="J39" i="12"/>
  <c r="J40" i="12"/>
  <c r="J43" i="12"/>
  <c r="J46" i="12"/>
  <c r="J51" i="12"/>
  <c r="J54" i="12"/>
  <c r="J56" i="12"/>
  <c r="J58" i="12"/>
  <c r="J60" i="12"/>
  <c r="J62" i="12"/>
  <c r="J64" i="12"/>
  <c r="J66" i="12"/>
  <c r="J68" i="12"/>
  <c r="J70" i="12"/>
  <c r="J72" i="12"/>
  <c r="J74" i="12"/>
  <c r="J76" i="12"/>
  <c r="J44" i="12"/>
  <c r="J45" i="12"/>
  <c r="J48" i="12"/>
  <c r="J53" i="12"/>
  <c r="J41" i="12"/>
  <c r="J47" i="12"/>
  <c r="J59" i="12"/>
  <c r="J63" i="12"/>
  <c r="J67" i="12"/>
  <c r="J71" i="12"/>
  <c r="J75" i="12"/>
  <c r="J79" i="12"/>
  <c r="J81" i="12"/>
  <c r="J83" i="12"/>
  <c r="J85" i="12"/>
  <c r="J28" i="12"/>
  <c r="J42" i="12"/>
  <c r="J52" i="12"/>
  <c r="J57" i="12"/>
  <c r="J65" i="12"/>
  <c r="J73" i="12"/>
  <c r="J78" i="12"/>
  <c r="J82" i="12"/>
  <c r="J84" i="12"/>
  <c r="J31" i="12"/>
  <c r="J33" i="12"/>
  <c r="J50" i="12"/>
  <c r="J55" i="12"/>
  <c r="J61" i="12"/>
  <c r="J69" i="12"/>
  <c r="J29" i="12"/>
  <c r="J49" i="12"/>
  <c r="J86" i="12"/>
  <c r="J77" i="12"/>
  <c r="J80" i="12"/>
  <c r="J30" i="12"/>
  <c r="J32" i="12"/>
  <c r="J27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9" i="12"/>
  <c r="D52" i="12"/>
  <c r="D78" i="12"/>
  <c r="D79" i="12"/>
  <c r="D80" i="12"/>
  <c r="D81" i="12"/>
  <c r="D82" i="12"/>
  <c r="D83" i="12"/>
  <c r="D84" i="12"/>
  <c r="D85" i="12"/>
  <c r="D86" i="12"/>
  <c r="D28" i="12"/>
  <c r="D29" i="12"/>
  <c r="D30" i="12"/>
  <c r="D31" i="12"/>
  <c r="D32" i="12"/>
  <c r="D33" i="12"/>
  <c r="D46" i="12"/>
  <c r="D51" i="12"/>
  <c r="D54" i="12"/>
  <c r="D57" i="12"/>
  <c r="D59" i="12"/>
  <c r="D61" i="12"/>
  <c r="D63" i="12"/>
  <c r="D65" i="12"/>
  <c r="D67" i="12"/>
  <c r="D69" i="12"/>
  <c r="D71" i="12"/>
  <c r="D73" i="12"/>
  <c r="D75" i="12"/>
  <c r="D77" i="12"/>
  <c r="D50" i="12"/>
  <c r="D55" i="12"/>
  <c r="D56" i="12"/>
  <c r="D60" i="12"/>
  <c r="D64" i="12"/>
  <c r="D68" i="12"/>
  <c r="D72" i="12"/>
  <c r="D76" i="12"/>
  <c r="D27" i="12"/>
  <c r="D48" i="12"/>
  <c r="D53" i="12"/>
  <c r="D66" i="12"/>
  <c r="D47" i="12"/>
  <c r="D62" i="12"/>
  <c r="D70" i="12"/>
  <c r="D58" i="12"/>
  <c r="D74" i="12"/>
  <c r="AE34" i="12"/>
  <c r="AE35" i="12"/>
  <c r="AE36" i="12"/>
  <c r="AE37" i="12"/>
  <c r="AE38" i="12"/>
  <c r="AE39" i="12"/>
  <c r="AE40" i="12"/>
  <c r="AE43" i="12"/>
  <c r="AE56" i="12"/>
  <c r="AE57" i="12"/>
  <c r="AE58" i="12"/>
  <c r="AE59" i="12"/>
  <c r="AE60" i="12"/>
  <c r="AE61" i="12"/>
  <c r="AE62" i="12"/>
  <c r="AE63" i="12"/>
  <c r="AE64" i="12"/>
  <c r="AE65" i="12"/>
  <c r="AE66" i="12"/>
  <c r="AE67" i="12"/>
  <c r="AE68" i="12"/>
  <c r="AE69" i="12"/>
  <c r="AE70" i="12"/>
  <c r="AE71" i="12"/>
  <c r="AE72" i="12"/>
  <c r="AE73" i="12"/>
  <c r="AE74" i="12"/>
  <c r="AE75" i="12"/>
  <c r="AE76" i="12"/>
  <c r="AE42" i="12"/>
  <c r="AE46" i="12"/>
  <c r="AE51" i="12"/>
  <c r="AE54" i="12"/>
  <c r="AE45" i="12"/>
  <c r="AE48" i="12"/>
  <c r="AE53" i="12"/>
  <c r="AE50" i="12"/>
  <c r="AE55" i="12"/>
  <c r="AE77" i="12"/>
  <c r="AE79" i="12"/>
  <c r="AE81" i="12"/>
  <c r="AE83" i="12"/>
  <c r="AE85" i="12"/>
  <c r="AE28" i="12"/>
  <c r="AE41" i="12"/>
  <c r="AE49" i="12"/>
  <c r="AE44" i="12"/>
  <c r="AE47" i="12"/>
  <c r="AE78" i="12"/>
  <c r="AE82" i="12"/>
  <c r="AE84" i="12"/>
  <c r="AE29" i="12"/>
  <c r="AE31" i="12"/>
  <c r="AE33" i="12"/>
  <c r="AE30" i="12"/>
  <c r="AE52" i="12"/>
  <c r="AE86" i="12"/>
  <c r="AE80" i="12"/>
  <c r="AE32" i="12"/>
  <c r="AE27" i="12"/>
  <c r="Z34" i="12"/>
  <c r="Z35" i="12"/>
  <c r="Z36" i="12"/>
  <c r="Z37" i="12"/>
  <c r="Z38" i="12"/>
  <c r="Z39" i="12"/>
  <c r="Z40" i="12"/>
  <c r="Z41" i="12"/>
  <c r="Z44" i="12"/>
  <c r="Z49" i="12"/>
  <c r="Z52" i="12"/>
  <c r="Z56" i="12"/>
  <c r="Z58" i="12"/>
  <c r="Z60" i="12"/>
  <c r="Z62" i="12"/>
  <c r="Z64" i="12"/>
  <c r="Z66" i="12"/>
  <c r="Z68" i="12"/>
  <c r="Z70" i="12"/>
  <c r="Z72" i="12"/>
  <c r="Z74" i="12"/>
  <c r="Z76" i="12"/>
  <c r="Z46" i="12"/>
  <c r="Z51" i="12"/>
  <c r="Z54" i="12"/>
  <c r="Z42" i="12"/>
  <c r="Z43" i="12"/>
  <c r="Z48" i="12"/>
  <c r="Z53" i="12"/>
  <c r="Z57" i="12"/>
  <c r="Z61" i="12"/>
  <c r="Z65" i="12"/>
  <c r="Z69" i="12"/>
  <c r="Z73" i="12"/>
  <c r="Z77" i="12"/>
  <c r="Z79" i="12"/>
  <c r="Z81" i="12"/>
  <c r="Z83" i="12"/>
  <c r="Z85" i="12"/>
  <c r="Z28" i="12"/>
  <c r="Z47" i="12"/>
  <c r="Z45" i="12"/>
  <c r="Z63" i="12"/>
  <c r="Z71" i="12"/>
  <c r="Z80" i="12"/>
  <c r="Z29" i="12"/>
  <c r="Z31" i="12"/>
  <c r="Z33" i="12"/>
  <c r="Z59" i="12"/>
  <c r="Z67" i="12"/>
  <c r="Z75" i="12"/>
  <c r="Z82" i="12"/>
  <c r="Z86" i="12"/>
  <c r="Z30" i="12"/>
  <c r="Z32" i="12"/>
  <c r="Z27" i="12"/>
  <c r="Z50" i="12"/>
  <c r="Z55" i="12"/>
  <c r="Z84" i="12"/>
  <c r="Z78" i="12"/>
  <c r="Y35" i="12"/>
  <c r="Y39" i="12"/>
  <c r="Y41" i="12"/>
  <c r="Y43" i="12"/>
  <c r="Y45" i="12"/>
  <c r="Y46" i="12"/>
  <c r="Y47" i="12"/>
  <c r="Y48" i="12"/>
  <c r="Y49" i="12"/>
  <c r="Y50" i="12"/>
  <c r="Y51" i="12"/>
  <c r="Y52" i="12"/>
  <c r="Y53" i="12"/>
  <c r="Y54" i="12"/>
  <c r="Y55" i="12"/>
  <c r="Y36" i="12"/>
  <c r="Y37" i="12"/>
  <c r="Y38" i="12"/>
  <c r="Y42" i="12"/>
  <c r="Y57" i="12"/>
  <c r="Y59" i="12"/>
  <c r="Y61" i="12"/>
  <c r="Y63" i="12"/>
  <c r="Y65" i="12"/>
  <c r="Y67" i="12"/>
  <c r="Y69" i="12"/>
  <c r="Y71" i="12"/>
  <c r="Y73" i="12"/>
  <c r="Y75" i="12"/>
  <c r="Y40" i="12"/>
  <c r="Y44" i="12"/>
  <c r="Y56" i="12"/>
  <c r="Y60" i="12"/>
  <c r="Y64" i="12"/>
  <c r="Y68" i="12"/>
  <c r="Y72" i="12"/>
  <c r="Y76" i="12"/>
  <c r="Y78" i="12"/>
  <c r="Y80" i="12"/>
  <c r="Y82" i="12"/>
  <c r="Y84" i="12"/>
  <c r="Y28" i="12"/>
  <c r="Y32" i="12"/>
  <c r="Y58" i="12"/>
  <c r="Y74" i="12"/>
  <c r="Y77" i="12"/>
  <c r="Y33" i="12"/>
  <c r="Y62" i="12"/>
  <c r="Y70" i="12"/>
  <c r="Y79" i="12"/>
  <c r="Y86" i="12"/>
  <c r="Y30" i="12"/>
  <c r="Y83" i="12"/>
  <c r="Y27" i="12"/>
  <c r="Y34" i="12"/>
  <c r="Y66" i="12"/>
  <c r="Y81" i="12"/>
  <c r="Y85" i="12"/>
  <c r="Y29" i="12"/>
  <c r="Y31" i="12"/>
  <c r="N34" i="12"/>
  <c r="N35" i="12"/>
  <c r="N36" i="12"/>
  <c r="N37" i="12"/>
  <c r="N38" i="12"/>
  <c r="N39" i="12"/>
  <c r="N40" i="12"/>
  <c r="N41" i="12"/>
  <c r="N43" i="12"/>
  <c r="N42" i="12"/>
  <c r="N45" i="12"/>
  <c r="N47" i="12"/>
  <c r="N49" i="12"/>
  <c r="N51" i="12"/>
  <c r="N53" i="12"/>
  <c r="N55" i="12"/>
  <c r="N50" i="12"/>
  <c r="N52" i="12"/>
  <c r="N57" i="12"/>
  <c r="N59" i="12"/>
  <c r="N61" i="12"/>
  <c r="N63" i="12"/>
  <c r="N65" i="12"/>
  <c r="N67" i="12"/>
  <c r="N69" i="12"/>
  <c r="N71" i="12"/>
  <c r="N73" i="12"/>
  <c r="N75" i="12"/>
  <c r="N54" i="12"/>
  <c r="N77" i="12"/>
  <c r="N48" i="12"/>
  <c r="N56" i="12"/>
  <c r="N60" i="12"/>
  <c r="N64" i="12"/>
  <c r="N68" i="12"/>
  <c r="N72" i="12"/>
  <c r="N76" i="12"/>
  <c r="N78" i="12"/>
  <c r="N80" i="12"/>
  <c r="N82" i="12"/>
  <c r="N46" i="12"/>
  <c r="N83" i="12"/>
  <c r="N29" i="12"/>
  <c r="N32" i="12"/>
  <c r="N44" i="12"/>
  <c r="N28" i="12"/>
  <c r="N27" i="12"/>
  <c r="N70" i="12"/>
  <c r="N81" i="12"/>
  <c r="N86" i="12"/>
  <c r="N58" i="12"/>
  <c r="N66" i="12"/>
  <c r="N74" i="12"/>
  <c r="N79" i="12"/>
  <c r="N85" i="12"/>
  <c r="N30" i="12"/>
  <c r="N84" i="12"/>
  <c r="N62" i="12"/>
  <c r="N31" i="12"/>
  <c r="N33" i="12"/>
  <c r="I37" i="12"/>
  <c r="I41" i="12"/>
  <c r="I43" i="12"/>
  <c r="I45" i="12"/>
  <c r="I46" i="12"/>
  <c r="I47" i="12"/>
  <c r="I48" i="12"/>
  <c r="I49" i="12"/>
  <c r="I50" i="12"/>
  <c r="I51" i="12"/>
  <c r="I52" i="12"/>
  <c r="I53" i="12"/>
  <c r="I54" i="12"/>
  <c r="I55" i="12"/>
  <c r="I35" i="12"/>
  <c r="I40" i="12"/>
  <c r="I34" i="12"/>
  <c r="I44" i="12"/>
  <c r="I36" i="12"/>
  <c r="I57" i="12"/>
  <c r="I59" i="12"/>
  <c r="I61" i="12"/>
  <c r="I63" i="12"/>
  <c r="I65" i="12"/>
  <c r="I67" i="12"/>
  <c r="I69" i="12"/>
  <c r="I71" i="12"/>
  <c r="I73" i="12"/>
  <c r="I75" i="12"/>
  <c r="I77" i="12"/>
  <c r="I42" i="12"/>
  <c r="I58" i="12"/>
  <c r="I62" i="12"/>
  <c r="I66" i="12"/>
  <c r="I70" i="12"/>
  <c r="I74" i="12"/>
  <c r="I78" i="12"/>
  <c r="I80" i="12"/>
  <c r="I82" i="12"/>
  <c r="I39" i="12"/>
  <c r="I86" i="12"/>
  <c r="I32" i="12"/>
  <c r="I38" i="12"/>
  <c r="I68" i="12"/>
  <c r="I79" i="12"/>
  <c r="I84" i="12"/>
  <c r="I28" i="12"/>
  <c r="I33" i="12"/>
  <c r="I56" i="12"/>
  <c r="I64" i="12"/>
  <c r="I72" i="12"/>
  <c r="I81" i="12"/>
  <c r="I83" i="12"/>
  <c r="I29" i="12"/>
  <c r="I30" i="12"/>
  <c r="I85" i="12"/>
  <c r="I27" i="12"/>
  <c r="I60" i="12"/>
  <c r="I76" i="12"/>
  <c r="I31" i="12"/>
  <c r="S34" i="12"/>
  <c r="S35" i="12"/>
  <c r="S36" i="12"/>
  <c r="S37" i="12"/>
  <c r="S38" i="12"/>
  <c r="S39" i="12"/>
  <c r="S40" i="12"/>
  <c r="S41" i="12"/>
  <c r="S43" i="12"/>
  <c r="S44" i="12"/>
  <c r="S45" i="12"/>
  <c r="S47" i="12"/>
  <c r="S49" i="12"/>
  <c r="S51" i="12"/>
  <c r="S53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52" i="12"/>
  <c r="S46" i="12"/>
  <c r="S54" i="12"/>
  <c r="S50" i="12"/>
  <c r="S78" i="12"/>
  <c r="S80" i="12"/>
  <c r="S82" i="12"/>
  <c r="S48" i="12"/>
  <c r="S85" i="12"/>
  <c r="S30" i="12"/>
  <c r="S86" i="12"/>
  <c r="S27" i="12"/>
  <c r="S83" i="12"/>
  <c r="S31" i="12"/>
  <c r="S33" i="12"/>
  <c r="S77" i="12"/>
  <c r="S81" i="12"/>
  <c r="S84" i="12"/>
  <c r="S28" i="12"/>
  <c r="S32" i="12"/>
  <c r="S42" i="12"/>
  <c r="S79" i="12"/>
  <c r="S29" i="12"/>
  <c r="R34" i="12"/>
  <c r="R35" i="12"/>
  <c r="R36" i="12"/>
  <c r="R37" i="12"/>
  <c r="R38" i="12"/>
  <c r="R39" i="12"/>
  <c r="R40" i="12"/>
  <c r="R41" i="12"/>
  <c r="R44" i="12"/>
  <c r="R46" i="12"/>
  <c r="R49" i="12"/>
  <c r="R54" i="12"/>
  <c r="R57" i="12"/>
  <c r="R59" i="12"/>
  <c r="R61" i="12"/>
  <c r="R63" i="12"/>
  <c r="R65" i="12"/>
  <c r="R67" i="12"/>
  <c r="R69" i="12"/>
  <c r="R71" i="12"/>
  <c r="R73" i="12"/>
  <c r="R75" i="12"/>
  <c r="R48" i="12"/>
  <c r="R51" i="12"/>
  <c r="R45" i="12"/>
  <c r="R50" i="12"/>
  <c r="R58" i="12"/>
  <c r="R62" i="12"/>
  <c r="R66" i="12"/>
  <c r="R70" i="12"/>
  <c r="R74" i="12"/>
  <c r="R78" i="12"/>
  <c r="R80" i="12"/>
  <c r="R82" i="12"/>
  <c r="R84" i="12"/>
  <c r="R86" i="12"/>
  <c r="R29" i="12"/>
  <c r="R55" i="12"/>
  <c r="R53" i="12"/>
  <c r="R60" i="12"/>
  <c r="R68" i="12"/>
  <c r="R76" i="12"/>
  <c r="R77" i="12"/>
  <c r="R81" i="12"/>
  <c r="R28" i="12"/>
  <c r="R30" i="12"/>
  <c r="R32" i="12"/>
  <c r="R27" i="12"/>
  <c r="R42" i="12"/>
  <c r="R64" i="12"/>
  <c r="R72" i="12"/>
  <c r="R83" i="12"/>
  <c r="R33" i="12"/>
  <c r="R85" i="12"/>
  <c r="R56" i="12"/>
  <c r="R79" i="12"/>
  <c r="R31" i="12"/>
  <c r="R43" i="12"/>
  <c r="R47" i="12"/>
  <c r="R52" i="12"/>
  <c r="P41" i="12"/>
  <c r="P42" i="12"/>
  <c r="P43" i="12"/>
  <c r="P44" i="12"/>
  <c r="P35" i="12"/>
  <c r="P39" i="12"/>
  <c r="P37" i="12"/>
  <c r="P46" i="12"/>
  <c r="P48" i="12"/>
  <c r="P50" i="12"/>
  <c r="P52" i="12"/>
  <c r="P54" i="12"/>
  <c r="P40" i="12"/>
  <c r="P51" i="12"/>
  <c r="P56" i="12"/>
  <c r="P58" i="12"/>
  <c r="P60" i="12"/>
  <c r="P62" i="12"/>
  <c r="P64" i="12"/>
  <c r="P66" i="12"/>
  <c r="P68" i="12"/>
  <c r="P70" i="12"/>
  <c r="P72" i="12"/>
  <c r="P74" i="12"/>
  <c r="P76" i="12"/>
  <c r="P77" i="12"/>
  <c r="P78" i="12"/>
  <c r="P79" i="12"/>
  <c r="P80" i="12"/>
  <c r="P81" i="12"/>
  <c r="P82" i="12"/>
  <c r="P83" i="12"/>
  <c r="P84" i="12"/>
  <c r="P85" i="12"/>
  <c r="P86" i="12"/>
  <c r="P28" i="12"/>
  <c r="P29" i="12"/>
  <c r="P30" i="12"/>
  <c r="P31" i="12"/>
  <c r="P32" i="12"/>
  <c r="P33" i="12"/>
  <c r="P27" i="12"/>
  <c r="P34" i="12"/>
  <c r="P45" i="12"/>
  <c r="P53" i="12"/>
  <c r="P55" i="12"/>
  <c r="P57" i="12"/>
  <c r="P61" i="12"/>
  <c r="P65" i="12"/>
  <c r="P69" i="12"/>
  <c r="P73" i="12"/>
  <c r="P49" i="12"/>
  <c r="P59" i="12"/>
  <c r="P67" i="12"/>
  <c r="P75" i="12"/>
  <c r="P36" i="12"/>
  <c r="P47" i="12"/>
  <c r="P63" i="12"/>
  <c r="P71" i="12"/>
  <c r="P38" i="12"/>
  <c r="M34" i="12"/>
  <c r="M38" i="12"/>
  <c r="M45" i="12"/>
  <c r="M46" i="12"/>
  <c r="M47" i="12"/>
  <c r="M48" i="12"/>
  <c r="M49" i="12"/>
  <c r="M50" i="12"/>
  <c r="M51" i="12"/>
  <c r="M52" i="12"/>
  <c r="M53" i="12"/>
  <c r="M54" i="12"/>
  <c r="M55" i="12"/>
  <c r="M36" i="12"/>
  <c r="M44" i="12"/>
  <c r="M42" i="12"/>
  <c r="M57" i="12"/>
  <c r="M59" i="12"/>
  <c r="M61" i="12"/>
  <c r="M63" i="12"/>
  <c r="M65" i="12"/>
  <c r="M67" i="12"/>
  <c r="M69" i="12"/>
  <c r="M71" i="12"/>
  <c r="M73" i="12"/>
  <c r="M75" i="12"/>
  <c r="M35" i="12"/>
  <c r="M43" i="12"/>
  <c r="M77" i="12"/>
  <c r="M56" i="12"/>
  <c r="M60" i="12"/>
  <c r="M64" i="12"/>
  <c r="M68" i="12"/>
  <c r="M72" i="12"/>
  <c r="M76" i="12"/>
  <c r="M78" i="12"/>
  <c r="M80" i="12"/>
  <c r="M82" i="12"/>
  <c r="M84" i="12"/>
  <c r="M86" i="12"/>
  <c r="M29" i="12"/>
  <c r="M41" i="12"/>
  <c r="M37" i="12"/>
  <c r="M58" i="12"/>
  <c r="M66" i="12"/>
  <c r="M74" i="12"/>
  <c r="M79" i="12"/>
  <c r="M85" i="12"/>
  <c r="M30" i="12"/>
  <c r="M32" i="12"/>
  <c r="M28" i="12"/>
  <c r="M62" i="12"/>
  <c r="M70" i="12"/>
  <c r="M31" i="12"/>
  <c r="M83" i="12"/>
  <c r="M39" i="12"/>
  <c r="M27" i="12"/>
  <c r="M81" i="12"/>
  <c r="M33" i="12"/>
  <c r="M40" i="12"/>
  <c r="L34" i="12"/>
  <c r="L35" i="12"/>
  <c r="L36" i="12"/>
  <c r="L37" i="12"/>
  <c r="L38" i="12"/>
  <c r="L39" i="12"/>
  <c r="L40" i="12"/>
  <c r="L41" i="12"/>
  <c r="L42" i="12"/>
  <c r="L43" i="12"/>
  <c r="L44" i="12"/>
  <c r="L47" i="12"/>
  <c r="L52" i="12"/>
  <c r="L55" i="12"/>
  <c r="L77" i="12"/>
  <c r="L78" i="12"/>
  <c r="L79" i="12"/>
  <c r="L80" i="12"/>
  <c r="L81" i="12"/>
  <c r="L82" i="12"/>
  <c r="L83" i="12"/>
  <c r="L84" i="12"/>
  <c r="L85" i="12"/>
  <c r="L86" i="12"/>
  <c r="L28" i="12"/>
  <c r="L29" i="12"/>
  <c r="L30" i="12"/>
  <c r="L31" i="12"/>
  <c r="L32" i="12"/>
  <c r="L33" i="12"/>
  <c r="L27" i="12"/>
  <c r="L46" i="12"/>
  <c r="L49" i="12"/>
  <c r="L54" i="12"/>
  <c r="L56" i="12"/>
  <c r="L58" i="12"/>
  <c r="L60" i="12"/>
  <c r="L62" i="12"/>
  <c r="L64" i="12"/>
  <c r="L66" i="12"/>
  <c r="L68" i="12"/>
  <c r="L70" i="12"/>
  <c r="L72" i="12"/>
  <c r="L74" i="12"/>
  <c r="L76" i="12"/>
  <c r="L48" i="12"/>
  <c r="L53" i="12"/>
  <c r="L59" i="12"/>
  <c r="L63" i="12"/>
  <c r="L67" i="12"/>
  <c r="L71" i="12"/>
  <c r="L75" i="12"/>
  <c r="L51" i="12"/>
  <c r="L69" i="12"/>
  <c r="L57" i="12"/>
  <c r="L65" i="12"/>
  <c r="L73" i="12"/>
  <c r="L45" i="12"/>
  <c r="L50" i="12"/>
  <c r="L61" i="12"/>
  <c r="F34" i="12"/>
  <c r="F35" i="12"/>
  <c r="F36" i="12"/>
  <c r="F37" i="12"/>
  <c r="F38" i="12"/>
  <c r="F39" i="12"/>
  <c r="F40" i="12"/>
  <c r="F42" i="12"/>
  <c r="F44" i="12"/>
  <c r="F46" i="12"/>
  <c r="F48" i="12"/>
  <c r="F50" i="12"/>
  <c r="F52" i="12"/>
  <c r="F54" i="12"/>
  <c r="F41" i="12"/>
  <c r="F45" i="12"/>
  <c r="F47" i="12"/>
  <c r="F55" i="12"/>
  <c r="F49" i="12"/>
  <c r="F56" i="12"/>
  <c r="F58" i="12"/>
  <c r="F60" i="12"/>
  <c r="F62" i="12"/>
  <c r="F64" i="12"/>
  <c r="F66" i="12"/>
  <c r="F68" i="12"/>
  <c r="F70" i="12"/>
  <c r="F72" i="12"/>
  <c r="F74" i="12"/>
  <c r="F76" i="12"/>
  <c r="F43" i="12"/>
  <c r="F51" i="12"/>
  <c r="F57" i="12"/>
  <c r="F61" i="12"/>
  <c r="F65" i="12"/>
  <c r="F69" i="12"/>
  <c r="F73" i="12"/>
  <c r="F77" i="12"/>
  <c r="F79" i="12"/>
  <c r="F81" i="12"/>
  <c r="F85" i="12"/>
  <c r="F29" i="12"/>
  <c r="F27" i="12"/>
  <c r="F31" i="12"/>
  <c r="F33" i="12"/>
  <c r="F84" i="12"/>
  <c r="F53" i="12"/>
  <c r="F67" i="12"/>
  <c r="F78" i="12"/>
  <c r="F63" i="12"/>
  <c r="F71" i="12"/>
  <c r="F80" i="12"/>
  <c r="F28" i="12"/>
  <c r="F59" i="12"/>
  <c r="F75" i="12"/>
  <c r="F82" i="12"/>
  <c r="F83" i="12"/>
  <c r="F86" i="12"/>
  <c r="F30" i="12"/>
  <c r="F32" i="12"/>
  <c r="AR15" i="12"/>
  <c r="AV15" i="12"/>
  <c r="AZ15" i="12"/>
  <c r="AS15" i="12"/>
  <c r="AW15" i="12"/>
  <c r="AQ15" i="12"/>
  <c r="AT15" i="12"/>
  <c r="AX15" i="12"/>
  <c r="AU15" i="12"/>
  <c r="AY15" i="12"/>
  <c r="M15" i="12"/>
  <c r="G10" i="10" s="1"/>
  <c r="N15" i="12"/>
  <c r="AF10" i="7" l="1"/>
  <c r="AF10" i="8"/>
  <c r="AF10" i="9"/>
  <c r="G10" i="7"/>
  <c r="G10" i="8"/>
  <c r="G10" i="9"/>
  <c r="AM34" i="12"/>
  <c r="AM35" i="12"/>
  <c r="AM36" i="12"/>
  <c r="AM37" i="12"/>
  <c r="AM38" i="12"/>
  <c r="AM39" i="12"/>
  <c r="AM40" i="12"/>
  <c r="AM41" i="12"/>
  <c r="AM55" i="12"/>
  <c r="AM56" i="12"/>
  <c r="AM57" i="12"/>
  <c r="AM58" i="12"/>
  <c r="AM59" i="12"/>
  <c r="AM60" i="12"/>
  <c r="AM61" i="12"/>
  <c r="AM62" i="12"/>
  <c r="AM63" i="12"/>
  <c r="AM64" i="12"/>
  <c r="AM65" i="12"/>
  <c r="AM66" i="12"/>
  <c r="AM67" i="12"/>
  <c r="AM68" i="12"/>
  <c r="AM69" i="12"/>
  <c r="AM70" i="12"/>
  <c r="AM71" i="12"/>
  <c r="AM72" i="12"/>
  <c r="AM73" i="12"/>
  <c r="AM74" i="12"/>
  <c r="AM75" i="12"/>
  <c r="AM76" i="12"/>
  <c r="AM43" i="12"/>
  <c r="AM46" i="12"/>
  <c r="AM49" i="12"/>
  <c r="AM54" i="12"/>
  <c r="AM44" i="12"/>
  <c r="AM48" i="12"/>
  <c r="AM51" i="12"/>
  <c r="AM53" i="12"/>
  <c r="AM78" i="12"/>
  <c r="AM80" i="12"/>
  <c r="AM82" i="12"/>
  <c r="AM84" i="12"/>
  <c r="AM86" i="12"/>
  <c r="AM47" i="12"/>
  <c r="AM52" i="12"/>
  <c r="AM77" i="12"/>
  <c r="AM81" i="12"/>
  <c r="AM28" i="12"/>
  <c r="AM30" i="12"/>
  <c r="AM32" i="12"/>
  <c r="AM27" i="12"/>
  <c r="AM45" i="12"/>
  <c r="AM50" i="12"/>
  <c r="AM79" i="12"/>
  <c r="AM29" i="12"/>
  <c r="AM31" i="12"/>
  <c r="AM33" i="12"/>
  <c r="AM85" i="12"/>
  <c r="AM42" i="12"/>
  <c r="AM83" i="12"/>
  <c r="C34" i="12"/>
  <c r="C35" i="12"/>
  <c r="C36" i="12"/>
  <c r="C37" i="12"/>
  <c r="C38" i="12"/>
  <c r="C39" i="12"/>
  <c r="C40" i="12"/>
  <c r="C41" i="12"/>
  <c r="C43" i="12"/>
  <c r="C45" i="12"/>
  <c r="C47" i="12"/>
  <c r="C49" i="12"/>
  <c r="C51" i="12"/>
  <c r="C53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42" i="12"/>
  <c r="C46" i="12"/>
  <c r="C54" i="12"/>
  <c r="C27" i="12"/>
  <c r="C48" i="12"/>
  <c r="C44" i="12"/>
  <c r="C50" i="12"/>
  <c r="C78" i="12"/>
  <c r="C80" i="12"/>
  <c r="C82" i="12"/>
  <c r="C84" i="12"/>
  <c r="C28" i="12"/>
  <c r="C30" i="12"/>
  <c r="C83" i="12"/>
  <c r="C85" i="12"/>
  <c r="C31" i="12"/>
  <c r="C52" i="12"/>
  <c r="C79" i="12"/>
  <c r="C86" i="12"/>
  <c r="C32" i="12"/>
  <c r="C29" i="12"/>
  <c r="C81" i="12"/>
  <c r="C33" i="12"/>
  <c r="AI34" i="12"/>
  <c r="AI35" i="12"/>
  <c r="AI36" i="12"/>
  <c r="AI37" i="12"/>
  <c r="AI38" i="12"/>
  <c r="AI39" i="12"/>
  <c r="AI40" i="12"/>
  <c r="AI41" i="12"/>
  <c r="AI43" i="12"/>
  <c r="AI42" i="12"/>
  <c r="AI45" i="12"/>
  <c r="AI47" i="12"/>
  <c r="AI49" i="12"/>
  <c r="AI51" i="12"/>
  <c r="AI53" i="12"/>
  <c r="AI55" i="12"/>
  <c r="AI56" i="12"/>
  <c r="AI57" i="12"/>
  <c r="AI58" i="12"/>
  <c r="AI59" i="12"/>
  <c r="AI60" i="12"/>
  <c r="AI61" i="12"/>
  <c r="AI62" i="12"/>
  <c r="AI63" i="12"/>
  <c r="AI64" i="12"/>
  <c r="AI65" i="12"/>
  <c r="AI66" i="12"/>
  <c r="AI67" i="12"/>
  <c r="AI68" i="12"/>
  <c r="AI69" i="12"/>
  <c r="AI70" i="12"/>
  <c r="AI71" i="12"/>
  <c r="AI72" i="12"/>
  <c r="AI73" i="12"/>
  <c r="AI74" i="12"/>
  <c r="AI75" i="12"/>
  <c r="AI76" i="12"/>
  <c r="AI50" i="12"/>
  <c r="AI52" i="12"/>
  <c r="AI46" i="12"/>
  <c r="AI78" i="12"/>
  <c r="AI80" i="12"/>
  <c r="AI82" i="12"/>
  <c r="AI54" i="12"/>
  <c r="AI83" i="12"/>
  <c r="AI30" i="12"/>
  <c r="AI84" i="12"/>
  <c r="AI28" i="12"/>
  <c r="AI81" i="12"/>
  <c r="AI33" i="12"/>
  <c r="AI44" i="12"/>
  <c r="AI79" i="12"/>
  <c r="AI85" i="12"/>
  <c r="AI32" i="12"/>
  <c r="AI27" i="12"/>
  <c r="AI48" i="12"/>
  <c r="AI77" i="12"/>
  <c r="AI86" i="12"/>
  <c r="AI29" i="12"/>
  <c r="AI31" i="12"/>
  <c r="B27" i="12"/>
  <c r="B34" i="12"/>
  <c r="B35" i="12"/>
  <c r="B36" i="12"/>
  <c r="B37" i="12"/>
  <c r="B38" i="12"/>
  <c r="B39" i="12"/>
  <c r="B40" i="12"/>
  <c r="B41" i="12"/>
  <c r="B43" i="12"/>
  <c r="B48" i="12"/>
  <c r="B51" i="12"/>
  <c r="B57" i="12"/>
  <c r="B59" i="12"/>
  <c r="B61" i="12"/>
  <c r="B63" i="12"/>
  <c r="B65" i="12"/>
  <c r="B67" i="12"/>
  <c r="B69" i="12"/>
  <c r="B71" i="12"/>
  <c r="B73" i="12"/>
  <c r="B75" i="12"/>
  <c r="B77" i="12"/>
  <c r="B44" i="12"/>
  <c r="B50" i="12"/>
  <c r="B53" i="12"/>
  <c r="B45" i="12"/>
  <c r="B55" i="12"/>
  <c r="B56" i="12"/>
  <c r="B60" i="12"/>
  <c r="B64" i="12"/>
  <c r="B68" i="12"/>
  <c r="B72" i="12"/>
  <c r="B76" i="12"/>
  <c r="B78" i="12"/>
  <c r="B80" i="12"/>
  <c r="B82" i="12"/>
  <c r="B84" i="12"/>
  <c r="B86" i="12"/>
  <c r="B29" i="12"/>
  <c r="B49" i="12"/>
  <c r="B54" i="12"/>
  <c r="B47" i="12"/>
  <c r="B52" i="12"/>
  <c r="B62" i="12"/>
  <c r="B70" i="12"/>
  <c r="B79" i="12"/>
  <c r="B30" i="12"/>
  <c r="B32" i="12"/>
  <c r="B58" i="12"/>
  <c r="B81" i="12"/>
  <c r="B85" i="12"/>
  <c r="B31" i="12"/>
  <c r="B42" i="12"/>
  <c r="B83" i="12"/>
  <c r="B66" i="12"/>
  <c r="B74" i="12"/>
  <c r="B33" i="12"/>
  <c r="B46" i="12"/>
  <c r="B28" i="12"/>
  <c r="AN41" i="12"/>
  <c r="AN42" i="12"/>
  <c r="AN43" i="12"/>
  <c r="AN44" i="12"/>
  <c r="AN36" i="12"/>
  <c r="AN35" i="12"/>
  <c r="AN45" i="12"/>
  <c r="AN47" i="12"/>
  <c r="AN49" i="12"/>
  <c r="AN51" i="12"/>
  <c r="AN53" i="12"/>
  <c r="AN37" i="12"/>
  <c r="AN38" i="12"/>
  <c r="AN39" i="12"/>
  <c r="AN52" i="12"/>
  <c r="AN55" i="12"/>
  <c r="AN57" i="12"/>
  <c r="AN59" i="12"/>
  <c r="AN61" i="12"/>
  <c r="AN63" i="12"/>
  <c r="AN65" i="12"/>
  <c r="AN67" i="12"/>
  <c r="AN69" i="12"/>
  <c r="AN71" i="12"/>
  <c r="AN73" i="12"/>
  <c r="AN75" i="12"/>
  <c r="AN77" i="12"/>
  <c r="AN78" i="12"/>
  <c r="AN79" i="12"/>
  <c r="AN80" i="12"/>
  <c r="AN81" i="12"/>
  <c r="AN82" i="12"/>
  <c r="AN83" i="12"/>
  <c r="AN84" i="12"/>
  <c r="AN85" i="12"/>
  <c r="AN86" i="12"/>
  <c r="AN28" i="12"/>
  <c r="AN29" i="12"/>
  <c r="AN30" i="12"/>
  <c r="AN31" i="12"/>
  <c r="AN32" i="12"/>
  <c r="AN33" i="12"/>
  <c r="AN27" i="12"/>
  <c r="AN46" i="12"/>
  <c r="AN54" i="12"/>
  <c r="AN34" i="12"/>
  <c r="AN48" i="12"/>
  <c r="AN58" i="12"/>
  <c r="AN62" i="12"/>
  <c r="AN66" i="12"/>
  <c r="AN70" i="12"/>
  <c r="AN74" i="12"/>
  <c r="AN40" i="12"/>
  <c r="AN60" i="12"/>
  <c r="AN68" i="12"/>
  <c r="AN76" i="12"/>
  <c r="AN56" i="12"/>
  <c r="AN50" i="12"/>
  <c r="AN64" i="12"/>
  <c r="AN72" i="12"/>
  <c r="AF41" i="12"/>
  <c r="AF42" i="12"/>
  <c r="AF43" i="12"/>
  <c r="AF44" i="12"/>
  <c r="AF37" i="12"/>
  <c r="AF38" i="12"/>
  <c r="AF46" i="12"/>
  <c r="AF48" i="12"/>
  <c r="AF50" i="12"/>
  <c r="AF52" i="12"/>
  <c r="AF54" i="12"/>
  <c r="AF40" i="12"/>
  <c r="AF49" i="12"/>
  <c r="AF56" i="12"/>
  <c r="AF58" i="12"/>
  <c r="AF60" i="12"/>
  <c r="AF62" i="12"/>
  <c r="AF64" i="12"/>
  <c r="AF66" i="12"/>
  <c r="AF68" i="12"/>
  <c r="AF70" i="12"/>
  <c r="AF72" i="12"/>
  <c r="AF74" i="12"/>
  <c r="AF76" i="12"/>
  <c r="AF77" i="12"/>
  <c r="AF78" i="12"/>
  <c r="AF79" i="12"/>
  <c r="AF80" i="12"/>
  <c r="AF81" i="12"/>
  <c r="AF82" i="12"/>
  <c r="AF83" i="12"/>
  <c r="AF84" i="12"/>
  <c r="AF85" i="12"/>
  <c r="AF86" i="12"/>
  <c r="AF28" i="12"/>
  <c r="AF29" i="12"/>
  <c r="AF30" i="12"/>
  <c r="AF31" i="12"/>
  <c r="AF32" i="12"/>
  <c r="AF33" i="12"/>
  <c r="AF27" i="12"/>
  <c r="AF34" i="12"/>
  <c r="AF35" i="12"/>
  <c r="AF36" i="12"/>
  <c r="AF51" i="12"/>
  <c r="AF45" i="12"/>
  <c r="AF59" i="12"/>
  <c r="AF63" i="12"/>
  <c r="AF67" i="12"/>
  <c r="AF71" i="12"/>
  <c r="AF75" i="12"/>
  <c r="AF39" i="12"/>
  <c r="AF55" i="12"/>
  <c r="AF57" i="12"/>
  <c r="AF65" i="12"/>
  <c r="AF73" i="12"/>
  <c r="AF53" i="12"/>
  <c r="AF47" i="12"/>
  <c r="AF61" i="12"/>
  <c r="AF69" i="12"/>
  <c r="AK35" i="12"/>
  <c r="AK39" i="12"/>
  <c r="AK45" i="12"/>
  <c r="AK46" i="12"/>
  <c r="AK47" i="12"/>
  <c r="AK48" i="12"/>
  <c r="AK49" i="12"/>
  <c r="AK50" i="12"/>
  <c r="AK51" i="12"/>
  <c r="AK52" i="12"/>
  <c r="AK53" i="12"/>
  <c r="AK54" i="12"/>
  <c r="AK34" i="12"/>
  <c r="AK44" i="12"/>
  <c r="AK56" i="12"/>
  <c r="AK58" i="12"/>
  <c r="AK60" i="12"/>
  <c r="AK62" i="12"/>
  <c r="AK64" i="12"/>
  <c r="AK66" i="12"/>
  <c r="AK68" i="12"/>
  <c r="AK70" i="12"/>
  <c r="AK72" i="12"/>
  <c r="AK74" i="12"/>
  <c r="AK76" i="12"/>
  <c r="AK40" i="12"/>
  <c r="AK41" i="12"/>
  <c r="AK57" i="12"/>
  <c r="AK61" i="12"/>
  <c r="AK65" i="12"/>
  <c r="AK69" i="12"/>
  <c r="AK73" i="12"/>
  <c r="AK77" i="12"/>
  <c r="AK79" i="12"/>
  <c r="AK81" i="12"/>
  <c r="AK83" i="12"/>
  <c r="AK85" i="12"/>
  <c r="AK28" i="12"/>
  <c r="AK36" i="12"/>
  <c r="AK37" i="12"/>
  <c r="AK38" i="12"/>
  <c r="AK42" i="12"/>
  <c r="AK59" i="12"/>
  <c r="AK67" i="12"/>
  <c r="AK75" i="12"/>
  <c r="AK80" i="12"/>
  <c r="AK86" i="12"/>
  <c r="AK29" i="12"/>
  <c r="AK31" i="12"/>
  <c r="AK33" i="12"/>
  <c r="AK55" i="12"/>
  <c r="AK32" i="12"/>
  <c r="AK84" i="12"/>
  <c r="AK27" i="12"/>
  <c r="AK43" i="12"/>
  <c r="AK63" i="12"/>
  <c r="AK71" i="12"/>
  <c r="AK78" i="12"/>
  <c r="AK82" i="12"/>
  <c r="AK30" i="12"/>
  <c r="AH34" i="12"/>
  <c r="AH35" i="12"/>
  <c r="AH36" i="12"/>
  <c r="AH37" i="12"/>
  <c r="AH38" i="12"/>
  <c r="AH39" i="12"/>
  <c r="AH40" i="12"/>
  <c r="AH44" i="12"/>
  <c r="AH41" i="12"/>
  <c r="AH47" i="12"/>
  <c r="AH52" i="12"/>
  <c r="AH55" i="12"/>
  <c r="AH57" i="12"/>
  <c r="AH59" i="12"/>
  <c r="AH61" i="12"/>
  <c r="AH63" i="12"/>
  <c r="AH65" i="12"/>
  <c r="AH67" i="12"/>
  <c r="AH69" i="12"/>
  <c r="AH71" i="12"/>
  <c r="AH73" i="12"/>
  <c r="AH75" i="12"/>
  <c r="AH42" i="12"/>
  <c r="AH46" i="12"/>
  <c r="AH49" i="12"/>
  <c r="AH54" i="12"/>
  <c r="AH51" i="12"/>
  <c r="AH56" i="12"/>
  <c r="AH60" i="12"/>
  <c r="AH64" i="12"/>
  <c r="AH68" i="12"/>
  <c r="AH72" i="12"/>
  <c r="AH76" i="12"/>
  <c r="AH78" i="12"/>
  <c r="AH80" i="12"/>
  <c r="AH82" i="12"/>
  <c r="AH84" i="12"/>
  <c r="AH86" i="12"/>
  <c r="AH45" i="12"/>
  <c r="AH50" i="12"/>
  <c r="AH43" i="12"/>
  <c r="AH58" i="12"/>
  <c r="AH66" i="12"/>
  <c r="AH74" i="12"/>
  <c r="AH79" i="12"/>
  <c r="AH85" i="12"/>
  <c r="AH30" i="12"/>
  <c r="AH32" i="12"/>
  <c r="AH27" i="12"/>
  <c r="AH48" i="12"/>
  <c r="AH33" i="12"/>
  <c r="AH83" i="12"/>
  <c r="AH28" i="12"/>
  <c r="AH62" i="12"/>
  <c r="AH70" i="12"/>
  <c r="AH77" i="12"/>
  <c r="AH81" i="12"/>
  <c r="AH29" i="12"/>
  <c r="AH31" i="12"/>
  <c r="AH53" i="12"/>
  <c r="AO37" i="12"/>
  <c r="AO41" i="12"/>
  <c r="AO43" i="12"/>
  <c r="AO45" i="12"/>
  <c r="AO46" i="12"/>
  <c r="AO47" i="12"/>
  <c r="AO48" i="12"/>
  <c r="AO49" i="12"/>
  <c r="AO50" i="12"/>
  <c r="AO51" i="12"/>
  <c r="AO52" i="12"/>
  <c r="AO53" i="12"/>
  <c r="AO54" i="12"/>
  <c r="AO36" i="12"/>
  <c r="AO44" i="12"/>
  <c r="AO42" i="12"/>
  <c r="AO38" i="12"/>
  <c r="AO39" i="12"/>
  <c r="AO55" i="12"/>
  <c r="AO57" i="12"/>
  <c r="AO59" i="12"/>
  <c r="AO61" i="12"/>
  <c r="AO63" i="12"/>
  <c r="AO65" i="12"/>
  <c r="AO67" i="12"/>
  <c r="AO69" i="12"/>
  <c r="AO71" i="12"/>
  <c r="AO73" i="12"/>
  <c r="AO75" i="12"/>
  <c r="AO34" i="12"/>
  <c r="AO35" i="12"/>
  <c r="AO58" i="12"/>
  <c r="AO62" i="12"/>
  <c r="AO66" i="12"/>
  <c r="AO70" i="12"/>
  <c r="AO74" i="12"/>
  <c r="AO78" i="12"/>
  <c r="AO80" i="12"/>
  <c r="AO82" i="12"/>
  <c r="AO85" i="12"/>
  <c r="AO32" i="12"/>
  <c r="AO86" i="12"/>
  <c r="AO27" i="12"/>
  <c r="AO56" i="12"/>
  <c r="AO64" i="12"/>
  <c r="AO29" i="12"/>
  <c r="AO31" i="12"/>
  <c r="AO33" i="12"/>
  <c r="AO40" i="12"/>
  <c r="AO60" i="12"/>
  <c r="AO68" i="12"/>
  <c r="AO76" i="12"/>
  <c r="AO77" i="12"/>
  <c r="AO81" i="12"/>
  <c r="AO84" i="12"/>
  <c r="AO28" i="12"/>
  <c r="AO30" i="12"/>
  <c r="AO72" i="12"/>
  <c r="AO79" i="12"/>
  <c r="AO83" i="12"/>
  <c r="AJ34" i="12"/>
  <c r="AJ35" i="12"/>
  <c r="AJ36" i="12"/>
  <c r="AJ37" i="12"/>
  <c r="AJ38" i="12"/>
  <c r="AJ39" i="12"/>
  <c r="AJ41" i="12"/>
  <c r="AJ42" i="12"/>
  <c r="AJ43" i="12"/>
  <c r="AJ44" i="12"/>
  <c r="AJ40" i="12"/>
  <c r="AJ45" i="12"/>
  <c r="AJ48" i="12"/>
  <c r="AJ53" i="12"/>
  <c r="AJ77" i="12"/>
  <c r="AJ78" i="12"/>
  <c r="AJ79" i="12"/>
  <c r="AJ80" i="12"/>
  <c r="AJ81" i="12"/>
  <c r="AJ82" i="12"/>
  <c r="AJ83" i="12"/>
  <c r="AJ84" i="12"/>
  <c r="AJ85" i="12"/>
  <c r="AJ86" i="12"/>
  <c r="AJ28" i="12"/>
  <c r="AJ29" i="12"/>
  <c r="AJ30" i="12"/>
  <c r="AJ31" i="12"/>
  <c r="AJ32" i="12"/>
  <c r="AJ33" i="12"/>
  <c r="AJ27" i="12"/>
  <c r="AJ47" i="12"/>
  <c r="AJ50" i="12"/>
  <c r="AJ55" i="12"/>
  <c r="AJ57" i="12"/>
  <c r="AJ59" i="12"/>
  <c r="AJ61" i="12"/>
  <c r="AJ63" i="12"/>
  <c r="AJ65" i="12"/>
  <c r="AJ67" i="12"/>
  <c r="AJ69" i="12"/>
  <c r="AJ71" i="12"/>
  <c r="AJ73" i="12"/>
  <c r="AJ75" i="12"/>
  <c r="AJ52" i="12"/>
  <c r="AJ46" i="12"/>
  <c r="AJ51" i="12"/>
  <c r="AJ56" i="12"/>
  <c r="AJ60" i="12"/>
  <c r="AJ64" i="12"/>
  <c r="AJ68" i="12"/>
  <c r="AJ72" i="12"/>
  <c r="AJ76" i="12"/>
  <c r="AJ49" i="12"/>
  <c r="AJ62" i="12"/>
  <c r="AJ54" i="12"/>
  <c r="AJ58" i="12"/>
  <c r="AJ66" i="12"/>
  <c r="AJ74" i="12"/>
  <c r="AJ70" i="12"/>
  <c r="AL34" i="12"/>
  <c r="AL35" i="12"/>
  <c r="AL36" i="12"/>
  <c r="AL37" i="12"/>
  <c r="AL38" i="12"/>
  <c r="AL39" i="12"/>
  <c r="AL40" i="12"/>
  <c r="AL42" i="12"/>
  <c r="AL44" i="12"/>
  <c r="AL43" i="12"/>
  <c r="AL46" i="12"/>
  <c r="AL48" i="12"/>
  <c r="AL50" i="12"/>
  <c r="AL52" i="12"/>
  <c r="AL54" i="12"/>
  <c r="AL51" i="12"/>
  <c r="AL45" i="12"/>
  <c r="AL53" i="12"/>
  <c r="AL56" i="12"/>
  <c r="AL58" i="12"/>
  <c r="AL60" i="12"/>
  <c r="AL62" i="12"/>
  <c r="AL64" i="12"/>
  <c r="AL66" i="12"/>
  <c r="AL68" i="12"/>
  <c r="AL70" i="12"/>
  <c r="AL72" i="12"/>
  <c r="AL74" i="12"/>
  <c r="AL76" i="12"/>
  <c r="AL47" i="12"/>
  <c r="AL57" i="12"/>
  <c r="AL61" i="12"/>
  <c r="AL65" i="12"/>
  <c r="AL69" i="12"/>
  <c r="AL73" i="12"/>
  <c r="AL77" i="12"/>
  <c r="AL79" i="12"/>
  <c r="AL81" i="12"/>
  <c r="AL41" i="12"/>
  <c r="AL84" i="12"/>
  <c r="AL27" i="12"/>
  <c r="AL31" i="12"/>
  <c r="AL33" i="12"/>
  <c r="AL85" i="12"/>
  <c r="AL63" i="12"/>
  <c r="AL71" i="12"/>
  <c r="AL82" i="12"/>
  <c r="AL32" i="12"/>
  <c r="AL49" i="12"/>
  <c r="AL59" i="12"/>
  <c r="AL67" i="12"/>
  <c r="AL75" i="12"/>
  <c r="AL80" i="12"/>
  <c r="AL83" i="12"/>
  <c r="AL86" i="12"/>
  <c r="AL29" i="12"/>
  <c r="AL55" i="12"/>
  <c r="AL78" i="12"/>
  <c r="AL28" i="12"/>
  <c r="AL30" i="12"/>
  <c r="AG40" i="12"/>
  <c r="AG34" i="12"/>
  <c r="AG38" i="12"/>
  <c r="AG42" i="12"/>
  <c r="AG44" i="12"/>
  <c r="AG45" i="12"/>
  <c r="AG46" i="12"/>
  <c r="AG47" i="12"/>
  <c r="AG48" i="12"/>
  <c r="AG49" i="12"/>
  <c r="AG50" i="12"/>
  <c r="AG51" i="12"/>
  <c r="AG52" i="12"/>
  <c r="AG53" i="12"/>
  <c r="AG54" i="12"/>
  <c r="AG55" i="12"/>
  <c r="AG39" i="12"/>
  <c r="AG41" i="12"/>
  <c r="AG43" i="12"/>
  <c r="AG56" i="12"/>
  <c r="AG58" i="12"/>
  <c r="AG60" i="12"/>
  <c r="AG62" i="12"/>
  <c r="AG64" i="12"/>
  <c r="AG66" i="12"/>
  <c r="AG68" i="12"/>
  <c r="AG70" i="12"/>
  <c r="AG72" i="12"/>
  <c r="AG74" i="12"/>
  <c r="AG76" i="12"/>
  <c r="AG35" i="12"/>
  <c r="AG36" i="12"/>
  <c r="AG37" i="12"/>
  <c r="AG59" i="12"/>
  <c r="AG63" i="12"/>
  <c r="AG67" i="12"/>
  <c r="AG71" i="12"/>
  <c r="AG75" i="12"/>
  <c r="AG77" i="12"/>
  <c r="AG79" i="12"/>
  <c r="AG81" i="12"/>
  <c r="AG28" i="12"/>
  <c r="AG27" i="12"/>
  <c r="AG83" i="12"/>
  <c r="AG61" i="12"/>
  <c r="AG80" i="12"/>
  <c r="AG85" i="12"/>
  <c r="AG30" i="12"/>
  <c r="AG32" i="12"/>
  <c r="AG57" i="12"/>
  <c r="AG65" i="12"/>
  <c r="AG73" i="12"/>
  <c r="AG78" i="12"/>
  <c r="AG82" i="12"/>
  <c r="AG84" i="12"/>
  <c r="AG29" i="12"/>
  <c r="AG31" i="12"/>
  <c r="AG33" i="12"/>
  <c r="AG86" i="12"/>
  <c r="AG69" i="12"/>
  <c r="B20" i="13" l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9" i="13"/>
  <c r="B90" i="13"/>
  <c r="B91" i="13"/>
  <c r="B92" i="13"/>
  <c r="B93" i="13"/>
  <c r="B94" i="13"/>
  <c r="B95" i="13"/>
  <c r="B96" i="13"/>
  <c r="B97" i="13"/>
  <c r="B98" i="13"/>
  <c r="B642" i="13" l="1"/>
  <c r="B643" i="13" s="1"/>
  <c r="B644" i="13" s="1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7" i="13"/>
  <c r="B328" i="13"/>
  <c r="B329" i="13"/>
  <c r="B330" i="13"/>
  <c r="B331" i="13"/>
  <c r="B332" i="13"/>
  <c r="B333" i="13"/>
  <c r="B334" i="13"/>
  <c r="B335" i="13"/>
  <c r="B336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388" i="13"/>
  <c r="B389" i="13"/>
  <c r="B390" i="13"/>
  <c r="B391" i="13"/>
  <c r="B392" i="13"/>
  <c r="B393" i="13"/>
  <c r="B394" i="13"/>
  <c r="B395" i="13"/>
  <c r="B396" i="13"/>
  <c r="B397" i="13"/>
  <c r="B398" i="13"/>
  <c r="B406" i="13"/>
  <c r="B407" i="13"/>
  <c r="B408" i="13"/>
  <c r="B409" i="13"/>
  <c r="B410" i="13"/>
  <c r="B411" i="13"/>
  <c r="B412" i="13"/>
  <c r="B413" i="13"/>
  <c r="B414" i="13"/>
  <c r="B415" i="13"/>
  <c r="B416" i="13"/>
  <c r="B417" i="13"/>
  <c r="B418" i="13"/>
  <c r="B419" i="13"/>
  <c r="B420" i="13"/>
  <c r="B421" i="13"/>
  <c r="B422" i="13"/>
  <c r="B423" i="13"/>
  <c r="B424" i="13"/>
  <c r="B425" i="13"/>
  <c r="B426" i="13"/>
  <c r="B427" i="13"/>
  <c r="B428" i="13"/>
  <c r="B429" i="13"/>
  <c r="B430" i="13"/>
  <c r="B431" i="13"/>
  <c r="B432" i="13"/>
  <c r="B433" i="13"/>
  <c r="B434" i="13"/>
  <c r="B435" i="13"/>
  <c r="B436" i="13"/>
  <c r="B437" i="13"/>
  <c r="B438" i="13"/>
  <c r="B439" i="13"/>
  <c r="B440" i="13"/>
  <c r="B441" i="13"/>
  <c r="B442" i="13"/>
  <c r="B443" i="13"/>
  <c r="B444" i="13"/>
  <c r="B445" i="13"/>
  <c r="B446" i="13"/>
  <c r="B447" i="13"/>
  <c r="B448" i="13"/>
  <c r="B449" i="13"/>
  <c r="B450" i="13"/>
  <c r="B451" i="13"/>
  <c r="B452" i="13"/>
  <c r="B453" i="13"/>
  <c r="B454" i="13"/>
  <c r="B455" i="13"/>
  <c r="B456" i="13"/>
  <c r="B457" i="13"/>
  <c r="B458" i="13"/>
  <c r="B459" i="13"/>
  <c r="B460" i="13"/>
  <c r="B461" i="13"/>
  <c r="B462" i="13"/>
  <c r="B463" i="13"/>
  <c r="B464" i="13"/>
  <c r="B465" i="13"/>
  <c r="B466" i="13"/>
  <c r="B467" i="13"/>
  <c r="B468" i="13"/>
  <c r="B469" i="13"/>
  <c r="B470" i="13"/>
  <c r="B471" i="13"/>
  <c r="B472" i="13"/>
  <c r="B473" i="13"/>
  <c r="B474" i="13"/>
  <c r="B475" i="13"/>
  <c r="B476" i="13"/>
  <c r="B477" i="13"/>
  <c r="B485" i="13"/>
  <c r="B486" i="13"/>
  <c r="B487" i="13"/>
  <c r="B488" i="13"/>
  <c r="B489" i="13"/>
  <c r="B490" i="13"/>
  <c r="B491" i="13"/>
  <c r="B492" i="13"/>
  <c r="B493" i="13"/>
  <c r="B494" i="13"/>
  <c r="B495" i="13"/>
  <c r="B496" i="13"/>
  <c r="B497" i="13"/>
  <c r="B498" i="13"/>
  <c r="B499" i="13"/>
  <c r="B500" i="13"/>
  <c r="B501" i="13"/>
  <c r="B502" i="13"/>
  <c r="B503" i="13"/>
  <c r="B504" i="13"/>
  <c r="B505" i="13"/>
  <c r="B506" i="13"/>
  <c r="B507" i="13"/>
  <c r="B508" i="13"/>
  <c r="B509" i="13"/>
  <c r="B510" i="13"/>
  <c r="B511" i="13"/>
  <c r="B512" i="13"/>
  <c r="B513" i="13"/>
  <c r="B514" i="13"/>
  <c r="B515" i="13"/>
  <c r="B516" i="13"/>
  <c r="B517" i="13"/>
  <c r="B518" i="13"/>
  <c r="B519" i="13"/>
  <c r="B520" i="13"/>
  <c r="B521" i="13"/>
  <c r="B522" i="13"/>
  <c r="B523" i="13"/>
  <c r="B524" i="13"/>
  <c r="B525" i="13"/>
  <c r="B526" i="13"/>
  <c r="B527" i="13"/>
  <c r="B528" i="13"/>
  <c r="B529" i="13"/>
  <c r="B530" i="13"/>
  <c r="B531" i="13"/>
  <c r="B532" i="13"/>
  <c r="B533" i="13"/>
  <c r="B534" i="13"/>
  <c r="B535" i="13"/>
  <c r="B536" i="13"/>
  <c r="B537" i="13"/>
  <c r="B538" i="13"/>
  <c r="B539" i="13"/>
  <c r="B540" i="13"/>
  <c r="B541" i="13"/>
  <c r="B542" i="13"/>
  <c r="B543" i="13"/>
  <c r="B544" i="13"/>
  <c r="B545" i="13"/>
  <c r="B546" i="13"/>
  <c r="B547" i="13"/>
  <c r="B548" i="13"/>
  <c r="B549" i="13"/>
  <c r="B550" i="13"/>
  <c r="B551" i="13"/>
  <c r="B552" i="13"/>
  <c r="B553" i="13"/>
  <c r="B554" i="13"/>
  <c r="B555" i="13"/>
  <c r="B556" i="13"/>
  <c r="B564" i="13"/>
  <c r="B565" i="13"/>
  <c r="B566" i="13"/>
  <c r="B567" i="13"/>
  <c r="B568" i="13"/>
  <c r="B569" i="13"/>
  <c r="B570" i="13"/>
  <c r="B571" i="13"/>
  <c r="B572" i="13"/>
  <c r="B573" i="13"/>
  <c r="B574" i="13"/>
  <c r="B575" i="13"/>
  <c r="B576" i="13"/>
  <c r="B577" i="13"/>
  <c r="B578" i="13"/>
  <c r="B579" i="13"/>
  <c r="B580" i="13"/>
  <c r="B581" i="13"/>
  <c r="B582" i="13"/>
  <c r="B583" i="13"/>
  <c r="B584" i="13"/>
  <c r="B585" i="13"/>
  <c r="B586" i="13"/>
  <c r="B587" i="13"/>
  <c r="B588" i="13"/>
  <c r="B589" i="13"/>
  <c r="B590" i="13"/>
  <c r="B591" i="13"/>
  <c r="B592" i="13"/>
  <c r="B593" i="13"/>
  <c r="B594" i="13"/>
  <c r="B595" i="13"/>
  <c r="B596" i="13"/>
  <c r="B597" i="13"/>
  <c r="B598" i="13"/>
  <c r="B599" i="13"/>
  <c r="B600" i="13"/>
  <c r="B601" i="13"/>
  <c r="B602" i="13"/>
  <c r="B603" i="13"/>
  <c r="B604" i="13"/>
  <c r="B605" i="13"/>
  <c r="B606" i="13"/>
  <c r="B607" i="13"/>
  <c r="B608" i="13"/>
  <c r="B609" i="13"/>
  <c r="B610" i="13"/>
  <c r="B611" i="13"/>
  <c r="B612" i="13"/>
  <c r="B613" i="13"/>
  <c r="B614" i="13"/>
  <c r="B615" i="13"/>
  <c r="B616" i="13"/>
  <c r="B617" i="13"/>
  <c r="B618" i="13"/>
  <c r="B619" i="13"/>
  <c r="B620" i="13"/>
  <c r="B621" i="13"/>
  <c r="B622" i="13"/>
  <c r="B623" i="13"/>
  <c r="B624" i="13"/>
  <c r="B625" i="13"/>
  <c r="B626" i="13"/>
  <c r="B627" i="13"/>
  <c r="B628" i="13"/>
  <c r="B629" i="13"/>
  <c r="B630" i="13"/>
  <c r="B631" i="13"/>
  <c r="B632" i="13"/>
  <c r="B633" i="13"/>
  <c r="B634" i="13"/>
  <c r="B635" i="13"/>
  <c r="B563" i="13"/>
  <c r="B484" i="13"/>
  <c r="B405" i="13"/>
  <c r="B326" i="13"/>
  <c r="B247" i="13"/>
  <c r="B16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H19" i="11" l="1"/>
  <c r="H18" i="11"/>
  <c r="A17" i="11"/>
  <c r="H15" i="11"/>
  <c r="H14" i="11"/>
  <c r="A13" i="11"/>
  <c r="H12" i="11"/>
  <c r="H10" i="11"/>
  <c r="A9" i="11"/>
  <c r="B8" i="11"/>
  <c r="A6" i="11"/>
  <c r="M4" i="11"/>
  <c r="G4" i="11"/>
  <c r="A4" i="11"/>
  <c r="A1" i="11"/>
  <c r="AB74" i="10"/>
  <c r="AF74" i="10" s="1"/>
  <c r="AB65" i="10"/>
  <c r="M12" i="10"/>
  <c r="AB11" i="10"/>
  <c r="M11" i="10"/>
  <c r="AB74" i="9"/>
  <c r="AB65" i="9"/>
  <c r="AF65" i="9" s="1"/>
  <c r="AB11" i="9"/>
  <c r="M11" i="9"/>
  <c r="AB74" i="8"/>
  <c r="AF74" i="8" s="1"/>
  <c r="AB65" i="8"/>
  <c r="AF65" i="8" s="1"/>
  <c r="AB11" i="8"/>
  <c r="M11" i="8"/>
  <c r="AB74" i="7"/>
  <c r="AF74" i="7" s="1"/>
  <c r="AB65" i="7"/>
  <c r="AF65" i="7" s="1"/>
  <c r="AB11" i="7"/>
  <c r="A12" i="7"/>
  <c r="A2" i="10"/>
  <c r="A2" i="9"/>
  <c r="A2" i="8"/>
  <c r="A2" i="7"/>
  <c r="E90" i="10"/>
  <c r="C89" i="10"/>
  <c r="I86" i="10"/>
  <c r="K85" i="10"/>
  <c r="I85" i="10"/>
  <c r="E85" i="10"/>
  <c r="K84" i="10"/>
  <c r="I84" i="10"/>
  <c r="E84" i="10"/>
  <c r="C83" i="10"/>
  <c r="C82" i="10"/>
  <c r="C81" i="10"/>
  <c r="I79" i="10"/>
  <c r="K78" i="10"/>
  <c r="I78" i="10"/>
  <c r="E78" i="10"/>
  <c r="K77" i="10"/>
  <c r="I77" i="10"/>
  <c r="E77" i="10"/>
  <c r="C76" i="10"/>
  <c r="C75" i="10"/>
  <c r="K74" i="10"/>
  <c r="I74" i="10"/>
  <c r="C74" i="10"/>
  <c r="K73" i="10"/>
  <c r="I73" i="10"/>
  <c r="C73" i="10"/>
  <c r="K72" i="10"/>
  <c r="I72" i="10"/>
  <c r="C72" i="10"/>
  <c r="A70" i="10"/>
  <c r="H66" i="10"/>
  <c r="I65" i="10"/>
  <c r="G65" i="10"/>
  <c r="A65" i="10"/>
  <c r="J64" i="10"/>
  <c r="G64" i="10"/>
  <c r="D64" i="10"/>
  <c r="A64" i="10"/>
  <c r="I63" i="10"/>
  <c r="C62" i="10"/>
  <c r="T10" i="10"/>
  <c r="S10" i="10"/>
  <c r="R10" i="10"/>
  <c r="K10" i="10"/>
  <c r="H10" i="10"/>
  <c r="F10" i="10"/>
  <c r="R8" i="10"/>
  <c r="F8" i="10"/>
  <c r="R7" i="10"/>
  <c r="K7" i="10"/>
  <c r="H7" i="10"/>
  <c r="F7" i="10"/>
  <c r="F5" i="10"/>
  <c r="U4" i="10"/>
  <c r="T4" i="10"/>
  <c r="S4" i="10"/>
  <c r="R4" i="10"/>
  <c r="Q4" i="10"/>
  <c r="P4" i="10"/>
  <c r="O4" i="10"/>
  <c r="N4" i="10"/>
  <c r="M4" i="10"/>
  <c r="K4" i="10"/>
  <c r="J4" i="10"/>
  <c r="I4" i="10"/>
  <c r="H4" i="10"/>
  <c r="G4" i="10"/>
  <c r="F4" i="10"/>
  <c r="E4" i="10"/>
  <c r="D4" i="10"/>
  <c r="E90" i="9"/>
  <c r="C89" i="9"/>
  <c r="I86" i="9"/>
  <c r="K85" i="9"/>
  <c r="I85" i="9"/>
  <c r="E85" i="9"/>
  <c r="K84" i="9"/>
  <c r="I84" i="9"/>
  <c r="E84" i="9"/>
  <c r="C83" i="9"/>
  <c r="C82" i="9"/>
  <c r="C81" i="9"/>
  <c r="I79" i="9"/>
  <c r="K78" i="9"/>
  <c r="I78" i="9"/>
  <c r="E78" i="9"/>
  <c r="K77" i="9"/>
  <c r="I77" i="9"/>
  <c r="E77" i="9"/>
  <c r="C76" i="9"/>
  <c r="C75" i="9"/>
  <c r="K74" i="9"/>
  <c r="I74" i="9"/>
  <c r="C74" i="9"/>
  <c r="K73" i="9"/>
  <c r="I73" i="9"/>
  <c r="C73" i="9"/>
  <c r="K72" i="9"/>
  <c r="I72" i="9"/>
  <c r="C72" i="9"/>
  <c r="A70" i="9"/>
  <c r="G65" i="9"/>
  <c r="J64" i="9"/>
  <c r="G64" i="9"/>
  <c r="T10" i="9"/>
  <c r="S10" i="9"/>
  <c r="R10" i="9"/>
  <c r="K10" i="9"/>
  <c r="H10" i="9"/>
  <c r="F10" i="9"/>
  <c r="R8" i="9"/>
  <c r="F8" i="9"/>
  <c r="R7" i="9"/>
  <c r="K7" i="9"/>
  <c r="H7" i="9"/>
  <c r="F7" i="9"/>
  <c r="F5" i="9"/>
  <c r="U4" i="9"/>
  <c r="T4" i="9"/>
  <c r="S4" i="9"/>
  <c r="R4" i="9"/>
  <c r="Q4" i="9"/>
  <c r="P4" i="9"/>
  <c r="O4" i="9"/>
  <c r="N4" i="9"/>
  <c r="M4" i="9"/>
  <c r="K4" i="9"/>
  <c r="J4" i="9"/>
  <c r="I4" i="9"/>
  <c r="H4" i="9"/>
  <c r="G4" i="9"/>
  <c r="F4" i="9"/>
  <c r="E4" i="9"/>
  <c r="D4" i="9"/>
  <c r="E90" i="8"/>
  <c r="C89" i="8"/>
  <c r="I86" i="8"/>
  <c r="K85" i="8"/>
  <c r="I85" i="8"/>
  <c r="E85" i="8"/>
  <c r="K84" i="8"/>
  <c r="I84" i="8"/>
  <c r="E84" i="8"/>
  <c r="C83" i="8"/>
  <c r="C82" i="8"/>
  <c r="C81" i="8"/>
  <c r="I79" i="8"/>
  <c r="K78" i="8"/>
  <c r="I78" i="8"/>
  <c r="E78" i="8"/>
  <c r="K77" i="8"/>
  <c r="I77" i="8"/>
  <c r="E77" i="8"/>
  <c r="C76" i="8"/>
  <c r="C75" i="8"/>
  <c r="K74" i="8"/>
  <c r="I74" i="8"/>
  <c r="C74" i="8"/>
  <c r="K73" i="8"/>
  <c r="I73" i="8"/>
  <c r="C73" i="8"/>
  <c r="K72" i="8"/>
  <c r="I72" i="8"/>
  <c r="C72" i="8"/>
  <c r="A70" i="8"/>
  <c r="H66" i="8"/>
  <c r="I65" i="8"/>
  <c r="G65" i="8"/>
  <c r="A65" i="8"/>
  <c r="J64" i="8"/>
  <c r="G64" i="8"/>
  <c r="D64" i="8"/>
  <c r="A64" i="8"/>
  <c r="I63" i="8"/>
  <c r="C62" i="8"/>
  <c r="T10" i="8"/>
  <c r="S10" i="8"/>
  <c r="R10" i="8"/>
  <c r="K10" i="8"/>
  <c r="H10" i="8"/>
  <c r="F10" i="8"/>
  <c r="R8" i="8"/>
  <c r="F8" i="8"/>
  <c r="R7" i="8"/>
  <c r="K7" i="8"/>
  <c r="H7" i="8"/>
  <c r="F7" i="8"/>
  <c r="F5" i="8"/>
  <c r="U4" i="8"/>
  <c r="T4" i="8"/>
  <c r="S4" i="8"/>
  <c r="R4" i="8"/>
  <c r="Q4" i="8"/>
  <c r="P4" i="8"/>
  <c r="O4" i="8"/>
  <c r="N4" i="8"/>
  <c r="M4" i="8"/>
  <c r="K4" i="8"/>
  <c r="J4" i="8"/>
  <c r="I4" i="8"/>
  <c r="H4" i="8"/>
  <c r="G4" i="8"/>
  <c r="F4" i="8"/>
  <c r="E4" i="8"/>
  <c r="D4" i="8"/>
  <c r="AJ10" i="10"/>
  <c r="AG10" i="10"/>
  <c r="AJ4" i="10"/>
  <c r="AI4" i="10"/>
  <c r="AH4" i="10"/>
  <c r="AG4" i="10"/>
  <c r="AF4" i="10"/>
  <c r="AE4" i="10"/>
  <c r="E94" i="9"/>
  <c r="AJ10" i="8"/>
  <c r="AG10" i="8"/>
  <c r="AJ4" i="8"/>
  <c r="AI4" i="8"/>
  <c r="AH4" i="8"/>
  <c r="AG4" i="8"/>
  <c r="AF4" i="8"/>
  <c r="AE4" i="8"/>
  <c r="E94" i="7"/>
  <c r="K74" i="7"/>
  <c r="K73" i="7"/>
  <c r="AJ10" i="7"/>
  <c r="AG10" i="7"/>
  <c r="AJ4" i="7"/>
  <c r="AI4" i="7"/>
  <c r="AH4" i="7"/>
  <c r="AG4" i="7"/>
  <c r="AF4" i="7"/>
  <c r="AE4" i="7"/>
  <c r="E90" i="7"/>
  <c r="C89" i="7"/>
  <c r="I86" i="7"/>
  <c r="K85" i="7"/>
  <c r="I85" i="7"/>
  <c r="E85" i="7"/>
  <c r="K84" i="7"/>
  <c r="I84" i="7"/>
  <c r="E84" i="7"/>
  <c r="C83" i="7"/>
  <c r="C82" i="7"/>
  <c r="C81" i="7"/>
  <c r="I79" i="7"/>
  <c r="K78" i="7"/>
  <c r="I78" i="7"/>
  <c r="E78" i="7"/>
  <c r="K77" i="7"/>
  <c r="I77" i="7"/>
  <c r="E77" i="7"/>
  <c r="C76" i="7"/>
  <c r="C75" i="7"/>
  <c r="I74" i="7"/>
  <c r="C74" i="7"/>
  <c r="I73" i="7"/>
  <c r="C73" i="7"/>
  <c r="K72" i="7"/>
  <c r="I72" i="7"/>
  <c r="C72" i="7"/>
  <c r="A70" i="7"/>
  <c r="H66" i="7"/>
  <c r="I65" i="7"/>
  <c r="G65" i="7"/>
  <c r="A65" i="7"/>
  <c r="J64" i="7"/>
  <c r="G64" i="7"/>
  <c r="D64" i="7"/>
  <c r="A64" i="7"/>
  <c r="I63" i="7"/>
  <c r="C62" i="7"/>
  <c r="T10" i="7"/>
  <c r="S10" i="7"/>
  <c r="R10" i="7"/>
  <c r="K10" i="7"/>
  <c r="H10" i="7"/>
  <c r="R8" i="7"/>
  <c r="R7" i="7"/>
  <c r="K7" i="7"/>
  <c r="H7" i="7"/>
  <c r="U4" i="7"/>
  <c r="T4" i="7"/>
  <c r="S4" i="7"/>
  <c r="R4" i="7"/>
  <c r="Q4" i="7"/>
  <c r="P4" i="7"/>
  <c r="O4" i="7"/>
  <c r="N4" i="7"/>
  <c r="M4" i="7"/>
  <c r="K4" i="7"/>
  <c r="J4" i="7"/>
  <c r="I4" i="7"/>
  <c r="H4" i="7"/>
  <c r="G4" i="7"/>
  <c r="F4" i="7"/>
  <c r="F10" i="7"/>
  <c r="F8" i="7"/>
  <c r="F7" i="7"/>
  <c r="F5" i="7"/>
  <c r="E4" i="7"/>
  <c r="D4" i="7"/>
  <c r="I65" i="9"/>
  <c r="I63" i="9"/>
  <c r="H66" i="9"/>
  <c r="A65" i="9"/>
  <c r="A64" i="9"/>
  <c r="C62" i="9"/>
  <c r="D64" i="9"/>
  <c r="AB66" i="10" l="1"/>
  <c r="AF65" i="10"/>
  <c r="AF74" i="9"/>
  <c r="AB67" i="10"/>
  <c r="AF66" i="10"/>
  <c r="AB12" i="9"/>
  <c r="AB13" i="9" s="1"/>
  <c r="AB14" i="9" s="1"/>
  <c r="AB15" i="9" s="1"/>
  <c r="AB16" i="9" s="1"/>
  <c r="AB17" i="9" s="1"/>
  <c r="AB18" i="9" s="1"/>
  <c r="AB19" i="9" s="1"/>
  <c r="AB20" i="9" s="1"/>
  <c r="AB21" i="9" s="1"/>
  <c r="AB22" i="9" s="1"/>
  <c r="AB23" i="9" s="1"/>
  <c r="AB24" i="9" s="1"/>
  <c r="AB25" i="9" s="1"/>
  <c r="AB26" i="9" s="1"/>
  <c r="AB27" i="9" s="1"/>
  <c r="AB28" i="9" s="1"/>
  <c r="AB29" i="9" s="1"/>
  <c r="AB30" i="9" s="1"/>
  <c r="AB31" i="9" s="1"/>
  <c r="AB32" i="9" s="1"/>
  <c r="AB33" i="9" s="1"/>
  <c r="AB34" i="9" s="1"/>
  <c r="AB35" i="9" s="1"/>
  <c r="AB36" i="9" s="1"/>
  <c r="AB37" i="9" s="1"/>
  <c r="AB38" i="9" s="1"/>
  <c r="AB39" i="9" s="1"/>
  <c r="AB40" i="9" s="1"/>
  <c r="AB41" i="9" s="1"/>
  <c r="AB42" i="9" s="1"/>
  <c r="AB43" i="9" s="1"/>
  <c r="AB44" i="9" s="1"/>
  <c r="AB45" i="9" s="1"/>
  <c r="AB46" i="9" s="1"/>
  <c r="AB47" i="9" s="1"/>
  <c r="AB48" i="9" s="1"/>
  <c r="AB49" i="9" s="1"/>
  <c r="AB50" i="9" s="1"/>
  <c r="AB51" i="9" s="1"/>
  <c r="AB52" i="9" s="1"/>
  <c r="AB53" i="9" s="1"/>
  <c r="AB54" i="9" s="1"/>
  <c r="AB55" i="9" s="1"/>
  <c r="AB56" i="9" s="1"/>
  <c r="AB57" i="9" s="1"/>
  <c r="AB58" i="9" s="1"/>
  <c r="AB59" i="9" s="1"/>
  <c r="AB60" i="9" s="1"/>
  <c r="AB12" i="7"/>
  <c r="AB66" i="8"/>
  <c r="AB75" i="8"/>
  <c r="AB66" i="9"/>
  <c r="AB12" i="10"/>
  <c r="M12" i="9"/>
  <c r="AB75" i="9"/>
  <c r="AB75" i="10"/>
  <c r="M13" i="8"/>
  <c r="A13" i="8"/>
  <c r="AB12" i="8"/>
  <c r="AB13" i="8" s="1"/>
  <c r="AB14" i="8" s="1"/>
  <c r="AB15" i="8" s="1"/>
  <c r="AB16" i="8" s="1"/>
  <c r="AB17" i="8" s="1"/>
  <c r="AB18" i="8" s="1"/>
  <c r="AB19" i="8" s="1"/>
  <c r="AB20" i="8" s="1"/>
  <c r="AB21" i="8" s="1"/>
  <c r="AB22" i="8" s="1"/>
  <c r="AB23" i="8" s="1"/>
  <c r="AB24" i="8" s="1"/>
  <c r="AB25" i="8" s="1"/>
  <c r="AB26" i="8" s="1"/>
  <c r="AB27" i="8" s="1"/>
  <c r="AB28" i="8" s="1"/>
  <c r="AB29" i="8" s="1"/>
  <c r="AB30" i="8" s="1"/>
  <c r="AB31" i="8" s="1"/>
  <c r="AB32" i="8" s="1"/>
  <c r="AB33" i="8" s="1"/>
  <c r="AB34" i="8" s="1"/>
  <c r="AB35" i="8" s="1"/>
  <c r="AB36" i="8" s="1"/>
  <c r="AB37" i="8" s="1"/>
  <c r="AB38" i="8" s="1"/>
  <c r="AB39" i="8" s="1"/>
  <c r="AB40" i="8" s="1"/>
  <c r="AB41" i="8" s="1"/>
  <c r="AB42" i="8" s="1"/>
  <c r="AB43" i="8" s="1"/>
  <c r="AB44" i="8" s="1"/>
  <c r="AB45" i="8" s="1"/>
  <c r="AB46" i="8" s="1"/>
  <c r="AB47" i="8" s="1"/>
  <c r="AB48" i="8" s="1"/>
  <c r="AB49" i="8" s="1"/>
  <c r="AB50" i="8" s="1"/>
  <c r="AB51" i="8" s="1"/>
  <c r="AB52" i="8" s="1"/>
  <c r="AB53" i="8" s="1"/>
  <c r="AB54" i="8" s="1"/>
  <c r="AB55" i="8" s="1"/>
  <c r="AB56" i="8" s="1"/>
  <c r="AB57" i="8" s="1"/>
  <c r="AB58" i="8" s="1"/>
  <c r="AB59" i="8" s="1"/>
  <c r="AB60" i="8" s="1"/>
  <c r="M12" i="8"/>
  <c r="AB66" i="7"/>
  <c r="M12" i="7"/>
  <c r="AB75" i="7"/>
  <c r="J61" i="10"/>
  <c r="AI10" i="10"/>
  <c r="J10" i="10"/>
  <c r="J61" i="9"/>
  <c r="AI10" i="9"/>
  <c r="J10" i="9"/>
  <c r="J61" i="8"/>
  <c r="AI10" i="8"/>
  <c r="J10" i="8"/>
  <c r="J61" i="7"/>
  <c r="AI10" i="7"/>
  <c r="J10" i="7"/>
  <c r="B558" i="13"/>
  <c r="B479" i="13"/>
  <c r="B400" i="13"/>
  <c r="B321" i="13"/>
  <c r="B242" i="13"/>
  <c r="B163" i="13"/>
  <c r="B84" i="13"/>
  <c r="AB67" i="7" l="1"/>
  <c r="AF66" i="7"/>
  <c r="AB76" i="7"/>
  <c r="AF75" i="7"/>
  <c r="AB76" i="10"/>
  <c r="AF75" i="10"/>
  <c r="AB76" i="8"/>
  <c r="AF75" i="8"/>
  <c r="AB76" i="9"/>
  <c r="AF75" i="9"/>
  <c r="AB67" i="8"/>
  <c r="AF66" i="8"/>
  <c r="AB67" i="9"/>
  <c r="AF66" i="9"/>
  <c r="AB68" i="10"/>
  <c r="AF67" i="10"/>
  <c r="AB13" i="7"/>
  <c r="AB13" i="10"/>
  <c r="AB14" i="10" s="1"/>
  <c r="AB15" i="10" s="1"/>
  <c r="AB16" i="10" s="1"/>
  <c r="AB17" i="10" s="1"/>
  <c r="AB18" i="10" s="1"/>
  <c r="AB19" i="10" s="1"/>
  <c r="AB20" i="10" s="1"/>
  <c r="AB21" i="10" s="1"/>
  <c r="AB22" i="10" s="1"/>
  <c r="AB23" i="10" s="1"/>
  <c r="AB24" i="10" s="1"/>
  <c r="AB25" i="10" s="1"/>
  <c r="AB26" i="10" s="1"/>
  <c r="AB27" i="10" s="1"/>
  <c r="AB28" i="10" s="1"/>
  <c r="AB29" i="10" s="1"/>
  <c r="AB30" i="10" s="1"/>
  <c r="M13" i="9"/>
  <c r="A13" i="9"/>
  <c r="M13" i="10"/>
  <c r="A13" i="10"/>
  <c r="A14" i="8"/>
  <c r="M14" i="8"/>
  <c r="M13" i="7"/>
  <c r="A13" i="7"/>
  <c r="D8" i="13"/>
  <c r="E8" i="13" s="1"/>
  <c r="B682" i="13"/>
  <c r="C561" i="13"/>
  <c r="C482" i="13"/>
  <c r="C403" i="13"/>
  <c r="C324" i="13"/>
  <c r="C245" i="13"/>
  <c r="C166" i="13"/>
  <c r="C87" i="13"/>
  <c r="A563" i="13"/>
  <c r="A484" i="13"/>
  <c r="A405" i="13"/>
  <c r="A326" i="13"/>
  <c r="A247" i="13"/>
  <c r="A168" i="13"/>
  <c r="A89" i="13"/>
  <c r="A11" i="13"/>
  <c r="A169" i="13" s="1"/>
  <c r="AB69" i="10" l="1"/>
  <c r="AF68" i="10"/>
  <c r="AB68" i="8"/>
  <c r="AF67" i="8"/>
  <c r="AB77" i="8"/>
  <c r="AF76" i="8"/>
  <c r="AB77" i="7"/>
  <c r="AF76" i="7"/>
  <c r="AB68" i="9"/>
  <c r="AF67" i="9"/>
  <c r="AB77" i="9"/>
  <c r="AF76" i="9"/>
  <c r="AB77" i="10"/>
  <c r="AF76" i="10"/>
  <c r="AB68" i="7"/>
  <c r="AF67" i="7"/>
  <c r="D166" i="13"/>
  <c r="D324" i="13"/>
  <c r="AB14" i="7"/>
  <c r="A90" i="13"/>
  <c r="D482" i="13"/>
  <c r="D87" i="13"/>
  <c r="D245" i="13"/>
  <c r="D403" i="13"/>
  <c r="D561" i="13"/>
  <c r="M14" i="10"/>
  <c r="A14" i="10"/>
  <c r="A14" i="9"/>
  <c r="M14" i="9"/>
  <c r="M15" i="8"/>
  <c r="A15" i="8"/>
  <c r="A14" i="7"/>
  <c r="M14" i="7"/>
  <c r="A248" i="13"/>
  <c r="B667" i="13"/>
  <c r="A12" i="13"/>
  <c r="A13" i="13" s="1"/>
  <c r="B650" i="13"/>
  <c r="A406" i="13"/>
  <c r="A327" i="13"/>
  <c r="A564" i="13"/>
  <c r="A485" i="13"/>
  <c r="E324" i="13"/>
  <c r="E245" i="13"/>
  <c r="F8" i="13"/>
  <c r="F561" i="13" s="1"/>
  <c r="E403" i="13"/>
  <c r="E87" i="13"/>
  <c r="E561" i="13"/>
  <c r="E482" i="13"/>
  <c r="E166" i="13"/>
  <c r="B658" i="13"/>
  <c r="B666" i="13"/>
  <c r="B675" i="13"/>
  <c r="B690" i="13"/>
  <c r="B691" i="13"/>
  <c r="B674" i="13"/>
  <c r="B698" i="13"/>
  <c r="F166" i="13"/>
  <c r="AB69" i="7" l="1"/>
  <c r="AF68" i="7"/>
  <c r="AB78" i="9"/>
  <c r="AF77" i="9"/>
  <c r="AB78" i="7"/>
  <c r="AF77" i="7"/>
  <c r="AF68" i="8"/>
  <c r="AB69" i="8"/>
  <c r="AB78" i="10"/>
  <c r="AF77" i="10"/>
  <c r="AB69" i="9"/>
  <c r="AF68" i="9"/>
  <c r="AB78" i="8"/>
  <c r="AF77" i="8"/>
  <c r="AB70" i="10"/>
  <c r="AF69" i="10"/>
  <c r="AB15" i="7"/>
  <c r="A91" i="13"/>
  <c r="A328" i="13"/>
  <c r="M15" i="10"/>
  <c r="A15" i="10"/>
  <c r="A15" i="9"/>
  <c r="M15" i="9"/>
  <c r="A16" i="8"/>
  <c r="M16" i="8"/>
  <c r="M15" i="7"/>
  <c r="A15" i="7"/>
  <c r="A407" i="13"/>
  <c r="F482" i="13"/>
  <c r="F403" i="13"/>
  <c r="F87" i="13"/>
  <c r="F324" i="13"/>
  <c r="A565" i="13"/>
  <c r="A170" i="13"/>
  <c r="F245" i="13"/>
  <c r="A249" i="13"/>
  <c r="A486" i="13"/>
  <c r="B651" i="13"/>
  <c r="B699" i="13"/>
  <c r="B659" i="13"/>
  <c r="B683" i="13"/>
  <c r="A14" i="13"/>
  <c r="A566" i="13"/>
  <c r="A250" i="13"/>
  <c r="A487" i="13"/>
  <c r="A408" i="13"/>
  <c r="A171" i="13"/>
  <c r="A92" i="13"/>
  <c r="A329" i="13"/>
  <c r="D265" i="1"/>
  <c r="I265" i="1" s="1"/>
  <c r="D266" i="1"/>
  <c r="G266" i="1" s="1"/>
  <c r="D267" i="1"/>
  <c r="G267" i="1" s="1"/>
  <c r="D268" i="1"/>
  <c r="G268" i="1" s="1"/>
  <c r="I264" i="1"/>
  <c r="D250" i="1"/>
  <c r="D249" i="1"/>
  <c r="D248" i="1"/>
  <c r="G193" i="1"/>
  <c r="G194" i="1"/>
  <c r="G195" i="1"/>
  <c r="G196" i="1"/>
  <c r="G192" i="1"/>
  <c r="AF69" i="8" l="1"/>
  <c r="AB70" i="8"/>
  <c r="AB71" i="10"/>
  <c r="AF71" i="10" s="1"/>
  <c r="AF70" i="10"/>
  <c r="AB70" i="9"/>
  <c r="AF69" i="9"/>
  <c r="AB79" i="9"/>
  <c r="AF78" i="9"/>
  <c r="AB79" i="8"/>
  <c r="AF78" i="8"/>
  <c r="AB79" i="10"/>
  <c r="AF78" i="10"/>
  <c r="AB79" i="7"/>
  <c r="AF78" i="7"/>
  <c r="AB70" i="7"/>
  <c r="AF69" i="7"/>
  <c r="AB16" i="7"/>
  <c r="A16" i="9"/>
  <c r="M16" i="9"/>
  <c r="A16" i="10"/>
  <c r="M16" i="10"/>
  <c r="M17" i="8"/>
  <c r="A17" i="8"/>
  <c r="A16" i="7"/>
  <c r="M16" i="7"/>
  <c r="J264" i="1"/>
  <c r="B645" i="13"/>
  <c r="B668" i="13"/>
  <c r="B676" i="13"/>
  <c r="B684" i="13"/>
  <c r="B652" i="13"/>
  <c r="B692" i="13"/>
  <c r="B700" i="13"/>
  <c r="B660" i="13"/>
  <c r="H264" i="1"/>
  <c r="A15" i="13"/>
  <c r="A330" i="13"/>
  <c r="A567" i="13"/>
  <c r="A251" i="13"/>
  <c r="A488" i="13"/>
  <c r="A409" i="13"/>
  <c r="A172" i="13"/>
  <c r="A93" i="13"/>
  <c r="I267" i="1"/>
  <c r="F267" i="1"/>
  <c r="J267" i="1"/>
  <c r="E266" i="1"/>
  <c r="J266" i="1"/>
  <c r="F266" i="1"/>
  <c r="H265" i="1"/>
  <c r="G264" i="1"/>
  <c r="E264" i="1"/>
  <c r="K264" i="1"/>
  <c r="F264" i="1"/>
  <c r="F268" i="1"/>
  <c r="I268" i="1"/>
  <c r="J268" i="1"/>
  <c r="E268" i="1"/>
  <c r="H268" i="1"/>
  <c r="K268" i="1"/>
  <c r="H267" i="1"/>
  <c r="E267" i="1"/>
  <c r="K267" i="1"/>
  <c r="I266" i="1"/>
  <c r="H266" i="1"/>
  <c r="K266" i="1"/>
  <c r="G265" i="1"/>
  <c r="K265" i="1"/>
  <c r="J265" i="1"/>
  <c r="F265" i="1"/>
  <c r="E265" i="1"/>
  <c r="G148" i="1"/>
  <c r="G39" i="1"/>
  <c r="AB71" i="7" l="1"/>
  <c r="AF71" i="7" s="1"/>
  <c r="AF70" i="7"/>
  <c r="AB80" i="10"/>
  <c r="AF80" i="10" s="1"/>
  <c r="AF79" i="10"/>
  <c r="AB80" i="9"/>
  <c r="AF80" i="9" s="1"/>
  <c r="AF79" i="9"/>
  <c r="AF70" i="8"/>
  <c r="AB71" i="8"/>
  <c r="AF71" i="8" s="1"/>
  <c r="AB80" i="7"/>
  <c r="AF80" i="7" s="1"/>
  <c r="AF79" i="7"/>
  <c r="AB80" i="8"/>
  <c r="AF80" i="8" s="1"/>
  <c r="AF79" i="8"/>
  <c r="AB71" i="9"/>
  <c r="AF71" i="9" s="1"/>
  <c r="AF70" i="9"/>
  <c r="AB17" i="7"/>
  <c r="A17" i="10"/>
  <c r="M17" i="10"/>
  <c r="M17" i="9"/>
  <c r="A17" i="9"/>
  <c r="A18" i="8"/>
  <c r="M18" i="8"/>
  <c r="M17" i="7"/>
  <c r="A17" i="7"/>
  <c r="B693" i="13"/>
  <c r="B669" i="13"/>
  <c r="B653" i="13"/>
  <c r="B685" i="13"/>
  <c r="B661" i="13"/>
  <c r="B701" i="13"/>
  <c r="B677" i="13"/>
  <c r="A16" i="13"/>
  <c r="H16" i="13" s="1"/>
  <c r="A410" i="13"/>
  <c r="A331" i="13"/>
  <c r="H331" i="13" s="1"/>
  <c r="A568" i="13"/>
  <c r="H568" i="13" s="1"/>
  <c r="A252" i="13"/>
  <c r="H252" i="13" s="1"/>
  <c r="A489" i="13"/>
  <c r="H489" i="13" s="1"/>
  <c r="A173" i="13"/>
  <c r="H173" i="13" s="1"/>
  <c r="A94" i="13"/>
  <c r="H94" i="13" s="1"/>
  <c r="AF8" i="10"/>
  <c r="G8" i="10"/>
  <c r="AF8" i="9"/>
  <c r="G8" i="9"/>
  <c r="AF8" i="8"/>
  <c r="G8" i="8"/>
  <c r="AF8" i="7"/>
  <c r="G8" i="7"/>
  <c r="E94" i="10"/>
  <c r="AF10" i="10"/>
  <c r="AJ9" i="10"/>
  <c r="AG9" i="10"/>
  <c r="AA9" i="10"/>
  <c r="U9" i="10"/>
  <c r="T9" i="10"/>
  <c r="S9" i="10"/>
  <c r="R9" i="10"/>
  <c r="K9" i="10"/>
  <c r="H9" i="10"/>
  <c r="F9" i="10"/>
  <c r="AG8" i="10"/>
  <c r="S8" i="10"/>
  <c r="H8" i="10"/>
  <c r="AJ7" i="10"/>
  <c r="AF7" i="10"/>
  <c r="G7" i="10"/>
  <c r="AJ6" i="10"/>
  <c r="AF6" i="10"/>
  <c r="G6" i="10"/>
  <c r="AF5" i="10"/>
  <c r="AA5" i="10"/>
  <c r="U5" i="10"/>
  <c r="T5" i="10"/>
  <c r="S5" i="10"/>
  <c r="R5" i="10"/>
  <c r="Q5" i="10"/>
  <c r="P5" i="10"/>
  <c r="G5" i="10"/>
  <c r="B3" i="10"/>
  <c r="AJ10" i="9"/>
  <c r="AG10" i="9"/>
  <c r="AJ9" i="9"/>
  <c r="AG9" i="9"/>
  <c r="AA9" i="9"/>
  <c r="U9" i="9"/>
  <c r="T9" i="9"/>
  <c r="S9" i="9"/>
  <c r="R9" i="9"/>
  <c r="K9" i="9"/>
  <c r="H9" i="9"/>
  <c r="F9" i="9"/>
  <c r="AG8" i="9"/>
  <c r="S8" i="9"/>
  <c r="H8" i="9"/>
  <c r="AJ7" i="9"/>
  <c r="AF7" i="9"/>
  <c r="G7" i="9"/>
  <c r="AJ6" i="9"/>
  <c r="AF6" i="9"/>
  <c r="G6" i="9"/>
  <c r="AF5" i="9"/>
  <c r="AA5" i="9"/>
  <c r="U5" i="9"/>
  <c r="T5" i="9"/>
  <c r="S5" i="9"/>
  <c r="R5" i="9"/>
  <c r="Q5" i="9"/>
  <c r="P5" i="9"/>
  <c r="G5" i="9"/>
  <c r="AJ4" i="9"/>
  <c r="AI4" i="9"/>
  <c r="AH4" i="9"/>
  <c r="AG4" i="9"/>
  <c r="AF4" i="9"/>
  <c r="AE4" i="9"/>
  <c r="B3" i="9"/>
  <c r="E94" i="8"/>
  <c r="AJ9" i="8"/>
  <c r="AG9" i="8"/>
  <c r="AA9" i="8"/>
  <c r="U9" i="8"/>
  <c r="T9" i="8"/>
  <c r="S9" i="8"/>
  <c r="R9" i="8"/>
  <c r="K9" i="8"/>
  <c r="H9" i="8"/>
  <c r="F9" i="8"/>
  <c r="AG8" i="8"/>
  <c r="S8" i="8"/>
  <c r="H8" i="8"/>
  <c r="AJ7" i="8"/>
  <c r="AF7" i="8"/>
  <c r="G7" i="8"/>
  <c r="AJ6" i="8"/>
  <c r="AF6" i="8"/>
  <c r="G6" i="8"/>
  <c r="AF5" i="8"/>
  <c r="AA5" i="8"/>
  <c r="U5" i="8"/>
  <c r="T5" i="8"/>
  <c r="S5" i="8"/>
  <c r="R5" i="8"/>
  <c r="Q5" i="8"/>
  <c r="P5" i="8"/>
  <c r="G5" i="8"/>
  <c r="B3" i="8"/>
  <c r="AF15" i="7"/>
  <c r="AJ9" i="7"/>
  <c r="AG9" i="7"/>
  <c r="AA9" i="7"/>
  <c r="U9" i="7"/>
  <c r="T9" i="7"/>
  <c r="S9" i="7"/>
  <c r="R9" i="7"/>
  <c r="K9" i="7"/>
  <c r="H9" i="7"/>
  <c r="F9" i="7"/>
  <c r="AG8" i="7"/>
  <c r="S8" i="7"/>
  <c r="H8" i="7"/>
  <c r="AJ7" i="7"/>
  <c r="AF7" i="7"/>
  <c r="G7" i="7"/>
  <c r="AJ6" i="7"/>
  <c r="AF6" i="7"/>
  <c r="G6" i="7"/>
  <c r="AF5" i="7"/>
  <c r="AA5" i="7"/>
  <c r="U5" i="7"/>
  <c r="T5" i="7"/>
  <c r="S5" i="7"/>
  <c r="R5" i="7"/>
  <c r="Q5" i="7"/>
  <c r="P5" i="7"/>
  <c r="G5" i="7"/>
  <c r="B3" i="7"/>
  <c r="H16" i="11"/>
  <c r="H6" i="11"/>
  <c r="H5" i="11"/>
  <c r="H4" i="11"/>
  <c r="K240" i="6"/>
  <c r="J240" i="6"/>
  <c r="I240" i="6"/>
  <c r="H240" i="6"/>
  <c r="G240" i="6"/>
  <c r="F240" i="6"/>
  <c r="E240" i="6"/>
  <c r="D240" i="6"/>
  <c r="K239" i="6"/>
  <c r="J239" i="6"/>
  <c r="I239" i="6"/>
  <c r="H239" i="6"/>
  <c r="G239" i="6"/>
  <c r="F239" i="6"/>
  <c r="E239" i="6"/>
  <c r="D239" i="6"/>
  <c r="K238" i="6"/>
  <c r="J238" i="6"/>
  <c r="I238" i="6"/>
  <c r="H238" i="6"/>
  <c r="G238" i="6"/>
  <c r="F238" i="6"/>
  <c r="E238" i="6"/>
  <c r="D238" i="6"/>
  <c r="K237" i="6"/>
  <c r="J237" i="6"/>
  <c r="I237" i="6"/>
  <c r="H237" i="6"/>
  <c r="G237" i="6"/>
  <c r="F237" i="6"/>
  <c r="E237" i="6"/>
  <c r="D237" i="6"/>
  <c r="K236" i="6"/>
  <c r="J236" i="6"/>
  <c r="I236" i="6"/>
  <c r="H236" i="6"/>
  <c r="G236" i="6"/>
  <c r="F236" i="6"/>
  <c r="E236" i="6"/>
  <c r="D236" i="6"/>
  <c r="K235" i="6"/>
  <c r="J235" i="6"/>
  <c r="I235" i="6"/>
  <c r="H235" i="6"/>
  <c r="G235" i="6"/>
  <c r="F235" i="6"/>
  <c r="E235" i="6"/>
  <c r="D235" i="6"/>
  <c r="K234" i="6"/>
  <c r="J234" i="6"/>
  <c r="I234" i="6"/>
  <c r="H234" i="6"/>
  <c r="G234" i="6"/>
  <c r="F234" i="6"/>
  <c r="E234" i="6"/>
  <c r="D234" i="6"/>
  <c r="K233" i="6"/>
  <c r="J233" i="6"/>
  <c r="I233" i="6"/>
  <c r="H233" i="6"/>
  <c r="G233" i="6"/>
  <c r="F233" i="6"/>
  <c r="E233" i="6"/>
  <c r="D233" i="6"/>
  <c r="K232" i="6"/>
  <c r="J232" i="6"/>
  <c r="I232" i="6"/>
  <c r="H232" i="6"/>
  <c r="G232" i="6"/>
  <c r="F232" i="6"/>
  <c r="E232" i="6"/>
  <c r="D232" i="6"/>
  <c r="K231" i="6"/>
  <c r="J231" i="6"/>
  <c r="I231" i="6"/>
  <c r="H231" i="6"/>
  <c r="G231" i="6"/>
  <c r="F231" i="6"/>
  <c r="E231" i="6"/>
  <c r="D231" i="6"/>
  <c r="K230" i="6"/>
  <c r="J230" i="6"/>
  <c r="I230" i="6"/>
  <c r="H230" i="6"/>
  <c r="G230" i="6"/>
  <c r="F230" i="6"/>
  <c r="E230" i="6"/>
  <c r="D230" i="6"/>
  <c r="K229" i="6"/>
  <c r="J229" i="6"/>
  <c r="I229" i="6"/>
  <c r="H229" i="6"/>
  <c r="G229" i="6"/>
  <c r="F229" i="6"/>
  <c r="E229" i="6"/>
  <c r="D229" i="6"/>
  <c r="K228" i="6"/>
  <c r="J228" i="6"/>
  <c r="I228" i="6"/>
  <c r="H228" i="6"/>
  <c r="G228" i="6"/>
  <c r="F228" i="6"/>
  <c r="E228" i="6"/>
  <c r="D228" i="6"/>
  <c r="K227" i="6"/>
  <c r="J227" i="6"/>
  <c r="I227" i="6"/>
  <c r="H227" i="6"/>
  <c r="G227" i="6"/>
  <c r="F227" i="6"/>
  <c r="E227" i="6"/>
  <c r="D227" i="6"/>
  <c r="K226" i="6"/>
  <c r="J226" i="6"/>
  <c r="I226" i="6"/>
  <c r="H226" i="6"/>
  <c r="G226" i="6"/>
  <c r="F226" i="6"/>
  <c r="E226" i="6"/>
  <c r="D226" i="6"/>
  <c r="K225" i="6"/>
  <c r="J225" i="6"/>
  <c r="I225" i="6"/>
  <c r="H225" i="6"/>
  <c r="G225" i="6"/>
  <c r="F225" i="6"/>
  <c r="E225" i="6"/>
  <c r="D225" i="6"/>
  <c r="K224" i="6"/>
  <c r="J224" i="6"/>
  <c r="I224" i="6"/>
  <c r="H224" i="6"/>
  <c r="G224" i="6"/>
  <c r="F224" i="6"/>
  <c r="E224" i="6"/>
  <c r="D224" i="6"/>
  <c r="K223" i="6"/>
  <c r="J223" i="6"/>
  <c r="I223" i="6"/>
  <c r="H223" i="6"/>
  <c r="G223" i="6"/>
  <c r="F223" i="6"/>
  <c r="E223" i="6"/>
  <c r="D223" i="6"/>
  <c r="K222" i="6"/>
  <c r="J222" i="6"/>
  <c r="I222" i="6"/>
  <c r="H222" i="6"/>
  <c r="G222" i="6"/>
  <c r="F222" i="6"/>
  <c r="E222" i="6"/>
  <c r="D222" i="6"/>
  <c r="K221" i="6"/>
  <c r="J221" i="6"/>
  <c r="I221" i="6"/>
  <c r="H221" i="6"/>
  <c r="G221" i="6"/>
  <c r="F221" i="6"/>
  <c r="E221" i="6"/>
  <c r="D221" i="6"/>
  <c r="K220" i="6"/>
  <c r="J220" i="6"/>
  <c r="I220" i="6"/>
  <c r="H220" i="6"/>
  <c r="G220" i="6"/>
  <c r="F220" i="6"/>
  <c r="E220" i="6"/>
  <c r="D220" i="6"/>
  <c r="K219" i="6"/>
  <c r="J219" i="6"/>
  <c r="I219" i="6"/>
  <c r="H219" i="6"/>
  <c r="G219" i="6"/>
  <c r="F219" i="6"/>
  <c r="E219" i="6"/>
  <c r="D219" i="6"/>
  <c r="K218" i="6"/>
  <c r="J218" i="6"/>
  <c r="I218" i="6"/>
  <c r="H218" i="6"/>
  <c r="G218" i="6"/>
  <c r="F218" i="6"/>
  <c r="E218" i="6"/>
  <c r="D218" i="6"/>
  <c r="K217" i="6"/>
  <c r="J217" i="6"/>
  <c r="I217" i="6"/>
  <c r="H217" i="6"/>
  <c r="G217" i="6"/>
  <c r="F217" i="6"/>
  <c r="E217" i="6"/>
  <c r="D217" i="6"/>
  <c r="K216" i="6"/>
  <c r="J216" i="6"/>
  <c r="I216" i="6"/>
  <c r="H216" i="6"/>
  <c r="G216" i="6"/>
  <c r="F216" i="6"/>
  <c r="E216" i="6"/>
  <c r="D216" i="6"/>
  <c r="K215" i="6"/>
  <c r="J215" i="6"/>
  <c r="I215" i="6"/>
  <c r="H215" i="6"/>
  <c r="G215" i="6"/>
  <c r="F215" i="6"/>
  <c r="E215" i="6"/>
  <c r="D215" i="6"/>
  <c r="K214" i="6"/>
  <c r="J214" i="6"/>
  <c r="I214" i="6"/>
  <c r="H214" i="6"/>
  <c r="G214" i="6"/>
  <c r="F214" i="6"/>
  <c r="E214" i="6"/>
  <c r="D214" i="6"/>
  <c r="K213" i="6"/>
  <c r="J213" i="6"/>
  <c r="I213" i="6"/>
  <c r="H213" i="6"/>
  <c r="G213" i="6"/>
  <c r="F213" i="6"/>
  <c r="E213" i="6"/>
  <c r="D213" i="6"/>
  <c r="K212" i="6"/>
  <c r="J212" i="6"/>
  <c r="I212" i="6"/>
  <c r="H212" i="6"/>
  <c r="G212" i="6"/>
  <c r="F212" i="6"/>
  <c r="E212" i="6"/>
  <c r="D212" i="6"/>
  <c r="K211" i="6"/>
  <c r="J211" i="6"/>
  <c r="I211" i="6"/>
  <c r="H211" i="6"/>
  <c r="G211" i="6"/>
  <c r="F211" i="6"/>
  <c r="E211" i="6"/>
  <c r="D211" i="6"/>
  <c r="K210" i="6"/>
  <c r="J210" i="6"/>
  <c r="I210" i="6"/>
  <c r="H210" i="6"/>
  <c r="G210" i="6"/>
  <c r="F210" i="6"/>
  <c r="E210" i="6"/>
  <c r="D210" i="6"/>
  <c r="K209" i="6"/>
  <c r="J209" i="6"/>
  <c r="I209" i="6"/>
  <c r="H209" i="6"/>
  <c r="G209" i="6"/>
  <c r="F209" i="6"/>
  <c r="E209" i="6"/>
  <c r="D209" i="6"/>
  <c r="K208" i="6"/>
  <c r="J208" i="6"/>
  <c r="I208" i="6"/>
  <c r="H208" i="6"/>
  <c r="G208" i="6"/>
  <c r="F208" i="6"/>
  <c r="E208" i="6"/>
  <c r="D208" i="6"/>
  <c r="K207" i="6"/>
  <c r="J207" i="6"/>
  <c r="I207" i="6"/>
  <c r="H207" i="6"/>
  <c r="G207" i="6"/>
  <c r="F207" i="6"/>
  <c r="E207" i="6"/>
  <c r="D207" i="6"/>
  <c r="K206" i="6"/>
  <c r="J206" i="6"/>
  <c r="I206" i="6"/>
  <c r="H206" i="6"/>
  <c r="G206" i="6"/>
  <c r="F206" i="6"/>
  <c r="E206" i="6"/>
  <c r="D206" i="6"/>
  <c r="K205" i="6"/>
  <c r="J205" i="6"/>
  <c r="I205" i="6"/>
  <c r="H205" i="6"/>
  <c r="G205" i="6"/>
  <c r="F205" i="6"/>
  <c r="E205" i="6"/>
  <c r="D205" i="6"/>
  <c r="K204" i="6"/>
  <c r="J204" i="6"/>
  <c r="I204" i="6"/>
  <c r="H204" i="6"/>
  <c r="G204" i="6"/>
  <c r="F204" i="6"/>
  <c r="E204" i="6"/>
  <c r="D204" i="6"/>
  <c r="K203" i="6"/>
  <c r="J203" i="6"/>
  <c r="I203" i="6"/>
  <c r="H203" i="6"/>
  <c r="G203" i="6"/>
  <c r="F203" i="6"/>
  <c r="E203" i="6"/>
  <c r="D203" i="6"/>
  <c r="K202" i="6"/>
  <c r="J202" i="6"/>
  <c r="I202" i="6"/>
  <c r="H202" i="6"/>
  <c r="G202" i="6"/>
  <c r="F202" i="6"/>
  <c r="E202" i="6"/>
  <c r="D202" i="6"/>
  <c r="K201" i="6"/>
  <c r="J201" i="6"/>
  <c r="I201" i="6"/>
  <c r="H201" i="6"/>
  <c r="G201" i="6"/>
  <c r="F201" i="6"/>
  <c r="E201" i="6"/>
  <c r="D201" i="6"/>
  <c r="K200" i="6"/>
  <c r="J200" i="6"/>
  <c r="I200" i="6"/>
  <c r="H200" i="6"/>
  <c r="G200" i="6"/>
  <c r="F200" i="6"/>
  <c r="E200" i="6"/>
  <c r="D200" i="6"/>
  <c r="K199" i="6"/>
  <c r="J199" i="6"/>
  <c r="I199" i="6"/>
  <c r="H199" i="6"/>
  <c r="G199" i="6"/>
  <c r="F199" i="6"/>
  <c r="E199" i="6"/>
  <c r="D199" i="6"/>
  <c r="K198" i="6"/>
  <c r="J198" i="6"/>
  <c r="I198" i="6"/>
  <c r="H198" i="6"/>
  <c r="G198" i="6"/>
  <c r="F198" i="6"/>
  <c r="E198" i="6"/>
  <c r="D198" i="6"/>
  <c r="K197" i="6"/>
  <c r="J197" i="6"/>
  <c r="I197" i="6"/>
  <c r="H197" i="6"/>
  <c r="G197" i="6"/>
  <c r="F197" i="6"/>
  <c r="E197" i="6"/>
  <c r="D197" i="6"/>
  <c r="K196" i="6"/>
  <c r="J196" i="6"/>
  <c r="I196" i="6"/>
  <c r="H196" i="6"/>
  <c r="G196" i="6"/>
  <c r="F196" i="6"/>
  <c r="E196" i="6"/>
  <c r="D196" i="6"/>
  <c r="K195" i="6"/>
  <c r="J195" i="6"/>
  <c r="I195" i="6"/>
  <c r="H195" i="6"/>
  <c r="G195" i="6"/>
  <c r="F195" i="6"/>
  <c r="E195" i="6"/>
  <c r="D195" i="6"/>
  <c r="K194" i="6"/>
  <c r="J194" i="6"/>
  <c r="I194" i="6"/>
  <c r="H194" i="6"/>
  <c r="G194" i="6"/>
  <c r="F194" i="6"/>
  <c r="E194" i="6"/>
  <c r="D194" i="6"/>
  <c r="K193" i="6"/>
  <c r="J193" i="6"/>
  <c r="I193" i="6"/>
  <c r="H193" i="6"/>
  <c r="G193" i="6"/>
  <c r="F193" i="6"/>
  <c r="E193" i="6"/>
  <c r="D193" i="6"/>
  <c r="K192" i="6"/>
  <c r="J192" i="6"/>
  <c r="I192" i="6"/>
  <c r="H192" i="6"/>
  <c r="G192" i="6"/>
  <c r="F192" i="6"/>
  <c r="E192" i="6"/>
  <c r="D192" i="6"/>
  <c r="K191" i="6"/>
  <c r="J191" i="6"/>
  <c r="I191" i="6"/>
  <c r="H191" i="6"/>
  <c r="G191" i="6"/>
  <c r="F191" i="6"/>
  <c r="E191" i="6"/>
  <c r="E241" i="6" s="1"/>
  <c r="D191" i="6"/>
  <c r="L168" i="6"/>
  <c r="A168" i="6"/>
  <c r="K160" i="6"/>
  <c r="J160" i="6"/>
  <c r="I160" i="6"/>
  <c r="H160" i="6"/>
  <c r="G160" i="6"/>
  <c r="F160" i="6"/>
  <c r="E160" i="6"/>
  <c r="D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A110" i="6"/>
  <c r="A111" i="6" s="1"/>
  <c r="C111" i="6" s="1"/>
  <c r="K99" i="6"/>
  <c r="J99" i="6"/>
  <c r="I99" i="6"/>
  <c r="H99" i="6"/>
  <c r="G99" i="6"/>
  <c r="F99" i="6"/>
  <c r="E99" i="6"/>
  <c r="D99" i="6"/>
  <c r="L98" i="6"/>
  <c r="L97" i="6"/>
  <c r="L96" i="6"/>
  <c r="L95" i="6"/>
  <c r="L94" i="6"/>
  <c r="L93" i="6"/>
  <c r="L92" i="6"/>
  <c r="A92" i="6"/>
  <c r="A93" i="6" s="1"/>
  <c r="A94" i="6" s="1"/>
  <c r="A95" i="6" s="1"/>
  <c r="K83" i="6"/>
  <c r="J83" i="6"/>
  <c r="I83" i="6"/>
  <c r="H83" i="6"/>
  <c r="G83" i="6"/>
  <c r="F83" i="6"/>
  <c r="E83" i="6"/>
  <c r="D83" i="6"/>
  <c r="L82" i="6"/>
  <c r="L81" i="6"/>
  <c r="L80" i="6"/>
  <c r="L79" i="6"/>
  <c r="L78" i="6"/>
  <c r="L77" i="6"/>
  <c r="L76" i="6"/>
  <c r="A76" i="6"/>
  <c r="A77" i="6" s="1"/>
  <c r="A78" i="6" s="1"/>
  <c r="A79" i="6" s="1"/>
  <c r="K67" i="6"/>
  <c r="J67" i="6"/>
  <c r="I67" i="6"/>
  <c r="H67" i="6"/>
  <c r="G67" i="6"/>
  <c r="F67" i="6"/>
  <c r="E67" i="6"/>
  <c r="D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A17" i="6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E6" i="6"/>
  <c r="A6" i="6"/>
  <c r="F5" i="6"/>
  <c r="K240" i="5"/>
  <c r="J240" i="5"/>
  <c r="I240" i="5"/>
  <c r="H240" i="5"/>
  <c r="G240" i="5"/>
  <c r="F240" i="5"/>
  <c r="E240" i="5"/>
  <c r="D240" i="5"/>
  <c r="K239" i="5"/>
  <c r="J239" i="5"/>
  <c r="I239" i="5"/>
  <c r="H239" i="5"/>
  <c r="G239" i="5"/>
  <c r="F239" i="5"/>
  <c r="E239" i="5"/>
  <c r="D239" i="5"/>
  <c r="K238" i="5"/>
  <c r="J238" i="5"/>
  <c r="I238" i="5"/>
  <c r="H238" i="5"/>
  <c r="G238" i="5"/>
  <c r="F238" i="5"/>
  <c r="E238" i="5"/>
  <c r="D238" i="5"/>
  <c r="K237" i="5"/>
  <c r="J237" i="5"/>
  <c r="I237" i="5"/>
  <c r="H237" i="5"/>
  <c r="G237" i="5"/>
  <c r="F237" i="5"/>
  <c r="E237" i="5"/>
  <c r="D237" i="5"/>
  <c r="K236" i="5"/>
  <c r="J236" i="5"/>
  <c r="I236" i="5"/>
  <c r="H236" i="5"/>
  <c r="G236" i="5"/>
  <c r="F236" i="5"/>
  <c r="E236" i="5"/>
  <c r="D236" i="5"/>
  <c r="K235" i="5"/>
  <c r="J235" i="5"/>
  <c r="I235" i="5"/>
  <c r="H235" i="5"/>
  <c r="G235" i="5"/>
  <c r="F235" i="5"/>
  <c r="E235" i="5"/>
  <c r="D235" i="5"/>
  <c r="K234" i="5"/>
  <c r="J234" i="5"/>
  <c r="I234" i="5"/>
  <c r="H234" i="5"/>
  <c r="G234" i="5"/>
  <c r="F234" i="5"/>
  <c r="E234" i="5"/>
  <c r="D234" i="5"/>
  <c r="K233" i="5"/>
  <c r="J233" i="5"/>
  <c r="I233" i="5"/>
  <c r="H233" i="5"/>
  <c r="G233" i="5"/>
  <c r="F233" i="5"/>
  <c r="E233" i="5"/>
  <c r="D233" i="5"/>
  <c r="K232" i="5"/>
  <c r="J232" i="5"/>
  <c r="I232" i="5"/>
  <c r="H232" i="5"/>
  <c r="G232" i="5"/>
  <c r="F232" i="5"/>
  <c r="E232" i="5"/>
  <c r="D232" i="5"/>
  <c r="K231" i="5"/>
  <c r="J231" i="5"/>
  <c r="I231" i="5"/>
  <c r="H231" i="5"/>
  <c r="G231" i="5"/>
  <c r="F231" i="5"/>
  <c r="E231" i="5"/>
  <c r="D231" i="5"/>
  <c r="K230" i="5"/>
  <c r="J230" i="5"/>
  <c r="I230" i="5"/>
  <c r="H230" i="5"/>
  <c r="G230" i="5"/>
  <c r="F230" i="5"/>
  <c r="E230" i="5"/>
  <c r="D230" i="5"/>
  <c r="K229" i="5"/>
  <c r="J229" i="5"/>
  <c r="I229" i="5"/>
  <c r="H229" i="5"/>
  <c r="G229" i="5"/>
  <c r="F229" i="5"/>
  <c r="E229" i="5"/>
  <c r="D229" i="5"/>
  <c r="K228" i="5"/>
  <c r="J228" i="5"/>
  <c r="I228" i="5"/>
  <c r="H228" i="5"/>
  <c r="G228" i="5"/>
  <c r="F228" i="5"/>
  <c r="E228" i="5"/>
  <c r="D228" i="5"/>
  <c r="K227" i="5"/>
  <c r="J227" i="5"/>
  <c r="I227" i="5"/>
  <c r="H227" i="5"/>
  <c r="G227" i="5"/>
  <c r="F227" i="5"/>
  <c r="E227" i="5"/>
  <c r="D227" i="5"/>
  <c r="K226" i="5"/>
  <c r="J226" i="5"/>
  <c r="I226" i="5"/>
  <c r="H226" i="5"/>
  <c r="G226" i="5"/>
  <c r="F226" i="5"/>
  <c r="E226" i="5"/>
  <c r="D226" i="5"/>
  <c r="K225" i="5"/>
  <c r="J225" i="5"/>
  <c r="I225" i="5"/>
  <c r="H225" i="5"/>
  <c r="G225" i="5"/>
  <c r="F225" i="5"/>
  <c r="E225" i="5"/>
  <c r="D225" i="5"/>
  <c r="K224" i="5"/>
  <c r="J224" i="5"/>
  <c r="I224" i="5"/>
  <c r="H224" i="5"/>
  <c r="G224" i="5"/>
  <c r="F224" i="5"/>
  <c r="E224" i="5"/>
  <c r="D224" i="5"/>
  <c r="K223" i="5"/>
  <c r="J223" i="5"/>
  <c r="I223" i="5"/>
  <c r="H223" i="5"/>
  <c r="G223" i="5"/>
  <c r="F223" i="5"/>
  <c r="E223" i="5"/>
  <c r="D223" i="5"/>
  <c r="K222" i="5"/>
  <c r="J222" i="5"/>
  <c r="I222" i="5"/>
  <c r="H222" i="5"/>
  <c r="G222" i="5"/>
  <c r="F222" i="5"/>
  <c r="E222" i="5"/>
  <c r="D222" i="5"/>
  <c r="K221" i="5"/>
  <c r="J221" i="5"/>
  <c r="I221" i="5"/>
  <c r="H221" i="5"/>
  <c r="G221" i="5"/>
  <c r="F221" i="5"/>
  <c r="E221" i="5"/>
  <c r="D221" i="5"/>
  <c r="K220" i="5"/>
  <c r="J220" i="5"/>
  <c r="I220" i="5"/>
  <c r="H220" i="5"/>
  <c r="G220" i="5"/>
  <c r="F220" i="5"/>
  <c r="E220" i="5"/>
  <c r="D220" i="5"/>
  <c r="K219" i="5"/>
  <c r="J219" i="5"/>
  <c r="I219" i="5"/>
  <c r="H219" i="5"/>
  <c r="G219" i="5"/>
  <c r="F219" i="5"/>
  <c r="E219" i="5"/>
  <c r="D219" i="5"/>
  <c r="K218" i="5"/>
  <c r="J218" i="5"/>
  <c r="I218" i="5"/>
  <c r="H218" i="5"/>
  <c r="G218" i="5"/>
  <c r="F218" i="5"/>
  <c r="E218" i="5"/>
  <c r="D218" i="5"/>
  <c r="K217" i="5"/>
  <c r="J217" i="5"/>
  <c r="I217" i="5"/>
  <c r="H217" i="5"/>
  <c r="G217" i="5"/>
  <c r="F217" i="5"/>
  <c r="E217" i="5"/>
  <c r="D217" i="5"/>
  <c r="K216" i="5"/>
  <c r="J216" i="5"/>
  <c r="I216" i="5"/>
  <c r="H216" i="5"/>
  <c r="G216" i="5"/>
  <c r="F216" i="5"/>
  <c r="E216" i="5"/>
  <c r="D216" i="5"/>
  <c r="K215" i="5"/>
  <c r="J215" i="5"/>
  <c r="I215" i="5"/>
  <c r="H215" i="5"/>
  <c r="G215" i="5"/>
  <c r="F215" i="5"/>
  <c r="E215" i="5"/>
  <c r="D215" i="5"/>
  <c r="K214" i="5"/>
  <c r="J214" i="5"/>
  <c r="I214" i="5"/>
  <c r="H214" i="5"/>
  <c r="G214" i="5"/>
  <c r="F214" i="5"/>
  <c r="E214" i="5"/>
  <c r="D214" i="5"/>
  <c r="K213" i="5"/>
  <c r="J213" i="5"/>
  <c r="I213" i="5"/>
  <c r="H213" i="5"/>
  <c r="G213" i="5"/>
  <c r="F213" i="5"/>
  <c r="E213" i="5"/>
  <c r="D213" i="5"/>
  <c r="K212" i="5"/>
  <c r="J212" i="5"/>
  <c r="I212" i="5"/>
  <c r="H212" i="5"/>
  <c r="G212" i="5"/>
  <c r="F212" i="5"/>
  <c r="E212" i="5"/>
  <c r="D212" i="5"/>
  <c r="K211" i="5"/>
  <c r="J211" i="5"/>
  <c r="I211" i="5"/>
  <c r="H211" i="5"/>
  <c r="G211" i="5"/>
  <c r="F211" i="5"/>
  <c r="E211" i="5"/>
  <c r="D211" i="5"/>
  <c r="K210" i="5"/>
  <c r="J210" i="5"/>
  <c r="I210" i="5"/>
  <c r="H210" i="5"/>
  <c r="G210" i="5"/>
  <c r="F210" i="5"/>
  <c r="E210" i="5"/>
  <c r="D210" i="5"/>
  <c r="K209" i="5"/>
  <c r="J209" i="5"/>
  <c r="I209" i="5"/>
  <c r="H209" i="5"/>
  <c r="G209" i="5"/>
  <c r="F209" i="5"/>
  <c r="E209" i="5"/>
  <c r="D209" i="5"/>
  <c r="K208" i="5"/>
  <c r="J208" i="5"/>
  <c r="I208" i="5"/>
  <c r="H208" i="5"/>
  <c r="G208" i="5"/>
  <c r="F208" i="5"/>
  <c r="E208" i="5"/>
  <c r="D208" i="5"/>
  <c r="K207" i="5"/>
  <c r="J207" i="5"/>
  <c r="I207" i="5"/>
  <c r="H207" i="5"/>
  <c r="G207" i="5"/>
  <c r="F207" i="5"/>
  <c r="E207" i="5"/>
  <c r="D207" i="5"/>
  <c r="K206" i="5"/>
  <c r="J206" i="5"/>
  <c r="I206" i="5"/>
  <c r="H206" i="5"/>
  <c r="G206" i="5"/>
  <c r="F206" i="5"/>
  <c r="E206" i="5"/>
  <c r="D206" i="5"/>
  <c r="K205" i="5"/>
  <c r="J205" i="5"/>
  <c r="I205" i="5"/>
  <c r="H205" i="5"/>
  <c r="G205" i="5"/>
  <c r="F205" i="5"/>
  <c r="E205" i="5"/>
  <c r="D205" i="5"/>
  <c r="K204" i="5"/>
  <c r="J204" i="5"/>
  <c r="I204" i="5"/>
  <c r="H204" i="5"/>
  <c r="G204" i="5"/>
  <c r="F204" i="5"/>
  <c r="E204" i="5"/>
  <c r="D204" i="5"/>
  <c r="K203" i="5"/>
  <c r="J203" i="5"/>
  <c r="I203" i="5"/>
  <c r="H203" i="5"/>
  <c r="G203" i="5"/>
  <c r="F203" i="5"/>
  <c r="E203" i="5"/>
  <c r="D203" i="5"/>
  <c r="K202" i="5"/>
  <c r="J202" i="5"/>
  <c r="I202" i="5"/>
  <c r="H202" i="5"/>
  <c r="G202" i="5"/>
  <c r="F202" i="5"/>
  <c r="E202" i="5"/>
  <c r="D202" i="5"/>
  <c r="K201" i="5"/>
  <c r="J201" i="5"/>
  <c r="I201" i="5"/>
  <c r="H201" i="5"/>
  <c r="G201" i="5"/>
  <c r="F201" i="5"/>
  <c r="E201" i="5"/>
  <c r="D201" i="5"/>
  <c r="K200" i="5"/>
  <c r="J200" i="5"/>
  <c r="I200" i="5"/>
  <c r="H200" i="5"/>
  <c r="G200" i="5"/>
  <c r="F200" i="5"/>
  <c r="E200" i="5"/>
  <c r="D200" i="5"/>
  <c r="K199" i="5"/>
  <c r="J199" i="5"/>
  <c r="I199" i="5"/>
  <c r="H199" i="5"/>
  <c r="G199" i="5"/>
  <c r="F199" i="5"/>
  <c r="E199" i="5"/>
  <c r="D199" i="5"/>
  <c r="K198" i="5"/>
  <c r="J198" i="5"/>
  <c r="I198" i="5"/>
  <c r="H198" i="5"/>
  <c r="G198" i="5"/>
  <c r="F198" i="5"/>
  <c r="E198" i="5"/>
  <c r="D198" i="5"/>
  <c r="K197" i="5"/>
  <c r="J197" i="5"/>
  <c r="I197" i="5"/>
  <c r="H197" i="5"/>
  <c r="G197" i="5"/>
  <c r="F197" i="5"/>
  <c r="E197" i="5"/>
  <c r="D197" i="5"/>
  <c r="K196" i="5"/>
  <c r="J196" i="5"/>
  <c r="I196" i="5"/>
  <c r="H196" i="5"/>
  <c r="G196" i="5"/>
  <c r="F196" i="5"/>
  <c r="E196" i="5"/>
  <c r="D196" i="5"/>
  <c r="K195" i="5"/>
  <c r="J195" i="5"/>
  <c r="I195" i="5"/>
  <c r="H195" i="5"/>
  <c r="G195" i="5"/>
  <c r="F195" i="5"/>
  <c r="E195" i="5"/>
  <c r="D195" i="5"/>
  <c r="K194" i="5"/>
  <c r="J194" i="5"/>
  <c r="I194" i="5"/>
  <c r="H194" i="5"/>
  <c r="G194" i="5"/>
  <c r="F194" i="5"/>
  <c r="E194" i="5"/>
  <c r="D194" i="5"/>
  <c r="K193" i="5"/>
  <c r="J193" i="5"/>
  <c r="I193" i="5"/>
  <c r="H193" i="5"/>
  <c r="G193" i="5"/>
  <c r="F193" i="5"/>
  <c r="E193" i="5"/>
  <c r="D193" i="5"/>
  <c r="K192" i="5"/>
  <c r="J192" i="5"/>
  <c r="I192" i="5"/>
  <c r="H192" i="5"/>
  <c r="G192" i="5"/>
  <c r="F192" i="5"/>
  <c r="E192" i="5"/>
  <c r="D192" i="5"/>
  <c r="K191" i="5"/>
  <c r="J191" i="5"/>
  <c r="I191" i="5"/>
  <c r="I241" i="5" s="1"/>
  <c r="H191" i="5"/>
  <c r="G191" i="5"/>
  <c r="F191" i="5"/>
  <c r="E191" i="5"/>
  <c r="E241" i="5" s="1"/>
  <c r="D191" i="5"/>
  <c r="L168" i="5"/>
  <c r="E62" i="9" s="1"/>
  <c r="A168" i="5"/>
  <c r="C168" i="5" s="1"/>
  <c r="K160" i="5"/>
  <c r="J160" i="5"/>
  <c r="I160" i="5"/>
  <c r="H160" i="5"/>
  <c r="G160" i="5"/>
  <c r="F160" i="5"/>
  <c r="E160" i="5"/>
  <c r="D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A110" i="5"/>
  <c r="C110" i="5" s="1"/>
  <c r="K99" i="5"/>
  <c r="J99" i="5"/>
  <c r="I99" i="5"/>
  <c r="H99" i="5"/>
  <c r="G99" i="5"/>
  <c r="F99" i="5"/>
  <c r="E99" i="5"/>
  <c r="D99" i="5"/>
  <c r="L98" i="5"/>
  <c r="L97" i="5"/>
  <c r="L96" i="5"/>
  <c r="L95" i="5"/>
  <c r="L94" i="5"/>
  <c r="L93" i="5"/>
  <c r="L92" i="5"/>
  <c r="A92" i="5"/>
  <c r="C92" i="5" s="1"/>
  <c r="K83" i="5"/>
  <c r="J83" i="5"/>
  <c r="I83" i="5"/>
  <c r="H83" i="5"/>
  <c r="G83" i="5"/>
  <c r="F83" i="5"/>
  <c r="E83" i="5"/>
  <c r="D83" i="5"/>
  <c r="L82" i="5"/>
  <c r="L81" i="5"/>
  <c r="L80" i="5"/>
  <c r="L79" i="5"/>
  <c r="L78" i="5"/>
  <c r="L77" i="5"/>
  <c r="L76" i="5"/>
  <c r="A76" i="5"/>
  <c r="A77" i="5" s="1"/>
  <c r="A78" i="5" s="1"/>
  <c r="A79" i="5" s="1"/>
  <c r="K67" i="5"/>
  <c r="J67" i="5"/>
  <c r="I67" i="5"/>
  <c r="H67" i="5"/>
  <c r="G67" i="5"/>
  <c r="F67" i="5"/>
  <c r="E67" i="5"/>
  <c r="D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A17" i="5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E6" i="5"/>
  <c r="A6" i="5"/>
  <c r="F5" i="5"/>
  <c r="K240" i="4"/>
  <c r="J240" i="4"/>
  <c r="I240" i="4"/>
  <c r="H240" i="4"/>
  <c r="G240" i="4"/>
  <c r="F240" i="4"/>
  <c r="E240" i="4"/>
  <c r="D240" i="4"/>
  <c r="K239" i="4"/>
  <c r="J239" i="4"/>
  <c r="I239" i="4"/>
  <c r="H239" i="4"/>
  <c r="G239" i="4"/>
  <c r="F239" i="4"/>
  <c r="E239" i="4"/>
  <c r="D239" i="4"/>
  <c r="K238" i="4"/>
  <c r="J238" i="4"/>
  <c r="I238" i="4"/>
  <c r="H238" i="4"/>
  <c r="G238" i="4"/>
  <c r="F238" i="4"/>
  <c r="E238" i="4"/>
  <c r="D238" i="4"/>
  <c r="K237" i="4"/>
  <c r="J237" i="4"/>
  <c r="I237" i="4"/>
  <c r="H237" i="4"/>
  <c r="G237" i="4"/>
  <c r="F237" i="4"/>
  <c r="E237" i="4"/>
  <c r="D237" i="4"/>
  <c r="K236" i="4"/>
  <c r="J236" i="4"/>
  <c r="I236" i="4"/>
  <c r="H236" i="4"/>
  <c r="G236" i="4"/>
  <c r="F236" i="4"/>
  <c r="E236" i="4"/>
  <c r="D236" i="4"/>
  <c r="K235" i="4"/>
  <c r="J235" i="4"/>
  <c r="I235" i="4"/>
  <c r="H235" i="4"/>
  <c r="G235" i="4"/>
  <c r="F235" i="4"/>
  <c r="E235" i="4"/>
  <c r="D235" i="4"/>
  <c r="K234" i="4"/>
  <c r="J234" i="4"/>
  <c r="I234" i="4"/>
  <c r="H234" i="4"/>
  <c r="G234" i="4"/>
  <c r="F234" i="4"/>
  <c r="E234" i="4"/>
  <c r="D234" i="4"/>
  <c r="K233" i="4"/>
  <c r="J233" i="4"/>
  <c r="I233" i="4"/>
  <c r="H233" i="4"/>
  <c r="G233" i="4"/>
  <c r="F233" i="4"/>
  <c r="E233" i="4"/>
  <c r="D233" i="4"/>
  <c r="K232" i="4"/>
  <c r="J232" i="4"/>
  <c r="I232" i="4"/>
  <c r="H232" i="4"/>
  <c r="G232" i="4"/>
  <c r="F232" i="4"/>
  <c r="E232" i="4"/>
  <c r="D232" i="4"/>
  <c r="K231" i="4"/>
  <c r="J231" i="4"/>
  <c r="I231" i="4"/>
  <c r="H231" i="4"/>
  <c r="G231" i="4"/>
  <c r="F231" i="4"/>
  <c r="E231" i="4"/>
  <c r="D231" i="4"/>
  <c r="K230" i="4"/>
  <c r="J230" i="4"/>
  <c r="I230" i="4"/>
  <c r="H230" i="4"/>
  <c r="G230" i="4"/>
  <c r="F230" i="4"/>
  <c r="E230" i="4"/>
  <c r="D230" i="4"/>
  <c r="K229" i="4"/>
  <c r="J229" i="4"/>
  <c r="I229" i="4"/>
  <c r="H229" i="4"/>
  <c r="G229" i="4"/>
  <c r="F229" i="4"/>
  <c r="E229" i="4"/>
  <c r="D229" i="4"/>
  <c r="K228" i="4"/>
  <c r="J228" i="4"/>
  <c r="I228" i="4"/>
  <c r="H228" i="4"/>
  <c r="G228" i="4"/>
  <c r="F228" i="4"/>
  <c r="E228" i="4"/>
  <c r="D228" i="4"/>
  <c r="K227" i="4"/>
  <c r="J227" i="4"/>
  <c r="I227" i="4"/>
  <c r="H227" i="4"/>
  <c r="G227" i="4"/>
  <c r="F227" i="4"/>
  <c r="E227" i="4"/>
  <c r="D227" i="4"/>
  <c r="K226" i="4"/>
  <c r="J226" i="4"/>
  <c r="I226" i="4"/>
  <c r="H226" i="4"/>
  <c r="G226" i="4"/>
  <c r="F226" i="4"/>
  <c r="E226" i="4"/>
  <c r="D226" i="4"/>
  <c r="K225" i="4"/>
  <c r="J225" i="4"/>
  <c r="I225" i="4"/>
  <c r="H225" i="4"/>
  <c r="G225" i="4"/>
  <c r="F225" i="4"/>
  <c r="E225" i="4"/>
  <c r="D225" i="4"/>
  <c r="K224" i="4"/>
  <c r="J224" i="4"/>
  <c r="I224" i="4"/>
  <c r="H224" i="4"/>
  <c r="G224" i="4"/>
  <c r="F224" i="4"/>
  <c r="E224" i="4"/>
  <c r="D224" i="4"/>
  <c r="K223" i="4"/>
  <c r="J223" i="4"/>
  <c r="I223" i="4"/>
  <c r="H223" i="4"/>
  <c r="G223" i="4"/>
  <c r="F223" i="4"/>
  <c r="E223" i="4"/>
  <c r="D223" i="4"/>
  <c r="K222" i="4"/>
  <c r="J222" i="4"/>
  <c r="I222" i="4"/>
  <c r="H222" i="4"/>
  <c r="G222" i="4"/>
  <c r="F222" i="4"/>
  <c r="E222" i="4"/>
  <c r="D222" i="4"/>
  <c r="K221" i="4"/>
  <c r="J221" i="4"/>
  <c r="I221" i="4"/>
  <c r="H221" i="4"/>
  <c r="G221" i="4"/>
  <c r="F221" i="4"/>
  <c r="E221" i="4"/>
  <c r="D221" i="4"/>
  <c r="K220" i="4"/>
  <c r="J220" i="4"/>
  <c r="I220" i="4"/>
  <c r="H220" i="4"/>
  <c r="G220" i="4"/>
  <c r="F220" i="4"/>
  <c r="E220" i="4"/>
  <c r="D220" i="4"/>
  <c r="K219" i="4"/>
  <c r="J219" i="4"/>
  <c r="I219" i="4"/>
  <c r="H219" i="4"/>
  <c r="G219" i="4"/>
  <c r="F219" i="4"/>
  <c r="E219" i="4"/>
  <c r="D219" i="4"/>
  <c r="K218" i="4"/>
  <c r="J218" i="4"/>
  <c r="I218" i="4"/>
  <c r="H218" i="4"/>
  <c r="G218" i="4"/>
  <c r="F218" i="4"/>
  <c r="E218" i="4"/>
  <c r="D218" i="4"/>
  <c r="K217" i="4"/>
  <c r="J217" i="4"/>
  <c r="I217" i="4"/>
  <c r="H217" i="4"/>
  <c r="G217" i="4"/>
  <c r="F217" i="4"/>
  <c r="E217" i="4"/>
  <c r="D217" i="4"/>
  <c r="K216" i="4"/>
  <c r="J216" i="4"/>
  <c r="I216" i="4"/>
  <c r="H216" i="4"/>
  <c r="G216" i="4"/>
  <c r="F216" i="4"/>
  <c r="E216" i="4"/>
  <c r="D216" i="4"/>
  <c r="K215" i="4"/>
  <c r="J215" i="4"/>
  <c r="I215" i="4"/>
  <c r="H215" i="4"/>
  <c r="G215" i="4"/>
  <c r="F215" i="4"/>
  <c r="E215" i="4"/>
  <c r="D215" i="4"/>
  <c r="K214" i="4"/>
  <c r="J214" i="4"/>
  <c r="I214" i="4"/>
  <c r="H214" i="4"/>
  <c r="G214" i="4"/>
  <c r="F214" i="4"/>
  <c r="E214" i="4"/>
  <c r="D214" i="4"/>
  <c r="K213" i="4"/>
  <c r="J213" i="4"/>
  <c r="I213" i="4"/>
  <c r="H213" i="4"/>
  <c r="G213" i="4"/>
  <c r="F213" i="4"/>
  <c r="E213" i="4"/>
  <c r="D213" i="4"/>
  <c r="K212" i="4"/>
  <c r="J212" i="4"/>
  <c r="I212" i="4"/>
  <c r="H212" i="4"/>
  <c r="G212" i="4"/>
  <c r="F212" i="4"/>
  <c r="E212" i="4"/>
  <c r="D212" i="4"/>
  <c r="K211" i="4"/>
  <c r="J211" i="4"/>
  <c r="I211" i="4"/>
  <c r="H211" i="4"/>
  <c r="G211" i="4"/>
  <c r="F211" i="4"/>
  <c r="E211" i="4"/>
  <c r="D211" i="4"/>
  <c r="K210" i="4"/>
  <c r="J210" i="4"/>
  <c r="I210" i="4"/>
  <c r="H210" i="4"/>
  <c r="G210" i="4"/>
  <c r="F210" i="4"/>
  <c r="E210" i="4"/>
  <c r="D210" i="4"/>
  <c r="K209" i="4"/>
  <c r="J209" i="4"/>
  <c r="I209" i="4"/>
  <c r="H209" i="4"/>
  <c r="G209" i="4"/>
  <c r="F209" i="4"/>
  <c r="E209" i="4"/>
  <c r="D209" i="4"/>
  <c r="K208" i="4"/>
  <c r="J208" i="4"/>
  <c r="I208" i="4"/>
  <c r="H208" i="4"/>
  <c r="G208" i="4"/>
  <c r="F208" i="4"/>
  <c r="E208" i="4"/>
  <c r="D208" i="4"/>
  <c r="K207" i="4"/>
  <c r="J207" i="4"/>
  <c r="I207" i="4"/>
  <c r="H207" i="4"/>
  <c r="G207" i="4"/>
  <c r="F207" i="4"/>
  <c r="E207" i="4"/>
  <c r="D207" i="4"/>
  <c r="K206" i="4"/>
  <c r="J206" i="4"/>
  <c r="I206" i="4"/>
  <c r="H206" i="4"/>
  <c r="G206" i="4"/>
  <c r="F206" i="4"/>
  <c r="E206" i="4"/>
  <c r="D206" i="4"/>
  <c r="K205" i="4"/>
  <c r="J205" i="4"/>
  <c r="I205" i="4"/>
  <c r="H205" i="4"/>
  <c r="G205" i="4"/>
  <c r="F205" i="4"/>
  <c r="E205" i="4"/>
  <c r="D205" i="4"/>
  <c r="K204" i="4"/>
  <c r="J204" i="4"/>
  <c r="I204" i="4"/>
  <c r="H204" i="4"/>
  <c r="G204" i="4"/>
  <c r="F204" i="4"/>
  <c r="E204" i="4"/>
  <c r="D204" i="4"/>
  <c r="K203" i="4"/>
  <c r="J203" i="4"/>
  <c r="I203" i="4"/>
  <c r="H203" i="4"/>
  <c r="G203" i="4"/>
  <c r="F203" i="4"/>
  <c r="E203" i="4"/>
  <c r="D203" i="4"/>
  <c r="K202" i="4"/>
  <c r="J202" i="4"/>
  <c r="I202" i="4"/>
  <c r="H202" i="4"/>
  <c r="G202" i="4"/>
  <c r="F202" i="4"/>
  <c r="E202" i="4"/>
  <c r="D202" i="4"/>
  <c r="K201" i="4"/>
  <c r="J201" i="4"/>
  <c r="I201" i="4"/>
  <c r="H201" i="4"/>
  <c r="G201" i="4"/>
  <c r="F201" i="4"/>
  <c r="E201" i="4"/>
  <c r="D201" i="4"/>
  <c r="K200" i="4"/>
  <c r="J200" i="4"/>
  <c r="I200" i="4"/>
  <c r="H200" i="4"/>
  <c r="G200" i="4"/>
  <c r="F200" i="4"/>
  <c r="E200" i="4"/>
  <c r="D200" i="4"/>
  <c r="K199" i="4"/>
  <c r="J199" i="4"/>
  <c r="I199" i="4"/>
  <c r="H199" i="4"/>
  <c r="G199" i="4"/>
  <c r="F199" i="4"/>
  <c r="E199" i="4"/>
  <c r="D199" i="4"/>
  <c r="K198" i="4"/>
  <c r="J198" i="4"/>
  <c r="I198" i="4"/>
  <c r="H198" i="4"/>
  <c r="G198" i="4"/>
  <c r="F198" i="4"/>
  <c r="E198" i="4"/>
  <c r="D198" i="4"/>
  <c r="K197" i="4"/>
  <c r="J197" i="4"/>
  <c r="I197" i="4"/>
  <c r="H197" i="4"/>
  <c r="G197" i="4"/>
  <c r="F197" i="4"/>
  <c r="E197" i="4"/>
  <c r="D197" i="4"/>
  <c r="K196" i="4"/>
  <c r="J196" i="4"/>
  <c r="I196" i="4"/>
  <c r="H196" i="4"/>
  <c r="G196" i="4"/>
  <c r="F196" i="4"/>
  <c r="E196" i="4"/>
  <c r="D196" i="4"/>
  <c r="K195" i="4"/>
  <c r="J195" i="4"/>
  <c r="I195" i="4"/>
  <c r="H195" i="4"/>
  <c r="G195" i="4"/>
  <c r="F195" i="4"/>
  <c r="E195" i="4"/>
  <c r="D195" i="4"/>
  <c r="K194" i="4"/>
  <c r="J194" i="4"/>
  <c r="I194" i="4"/>
  <c r="H194" i="4"/>
  <c r="G194" i="4"/>
  <c r="F194" i="4"/>
  <c r="E194" i="4"/>
  <c r="D194" i="4"/>
  <c r="K193" i="4"/>
  <c r="J193" i="4"/>
  <c r="I193" i="4"/>
  <c r="H193" i="4"/>
  <c r="G193" i="4"/>
  <c r="F193" i="4"/>
  <c r="E193" i="4"/>
  <c r="D193" i="4"/>
  <c r="K192" i="4"/>
  <c r="J192" i="4"/>
  <c r="I192" i="4"/>
  <c r="H192" i="4"/>
  <c r="G192" i="4"/>
  <c r="F192" i="4"/>
  <c r="E192" i="4"/>
  <c r="D192" i="4"/>
  <c r="K191" i="4"/>
  <c r="J191" i="4"/>
  <c r="I191" i="4"/>
  <c r="H191" i="4"/>
  <c r="G191" i="4"/>
  <c r="F191" i="4"/>
  <c r="E191" i="4"/>
  <c r="D191" i="4"/>
  <c r="L168" i="4"/>
  <c r="A168" i="4"/>
  <c r="K160" i="4"/>
  <c r="J160" i="4"/>
  <c r="I160" i="4"/>
  <c r="H160" i="4"/>
  <c r="G160" i="4"/>
  <c r="F160" i="4"/>
  <c r="E160" i="4"/>
  <c r="D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A110" i="4"/>
  <c r="C110" i="4" s="1"/>
  <c r="K99" i="4"/>
  <c r="J99" i="4"/>
  <c r="I99" i="4"/>
  <c r="H99" i="4"/>
  <c r="G99" i="4"/>
  <c r="F99" i="4"/>
  <c r="E99" i="4"/>
  <c r="D99" i="4"/>
  <c r="L98" i="4"/>
  <c r="L97" i="4"/>
  <c r="L96" i="4"/>
  <c r="L95" i="4"/>
  <c r="L94" i="4"/>
  <c r="L93" i="4"/>
  <c r="L92" i="4"/>
  <c r="A92" i="4"/>
  <c r="A93" i="4" s="1"/>
  <c r="A94" i="4" s="1"/>
  <c r="A95" i="4" s="1"/>
  <c r="K83" i="4"/>
  <c r="J83" i="4"/>
  <c r="I83" i="4"/>
  <c r="H83" i="4"/>
  <c r="G83" i="4"/>
  <c r="F83" i="4"/>
  <c r="E83" i="4"/>
  <c r="D83" i="4"/>
  <c r="L82" i="4"/>
  <c r="L81" i="4"/>
  <c r="L80" i="4"/>
  <c r="L79" i="4"/>
  <c r="L78" i="4"/>
  <c r="L77" i="4"/>
  <c r="L76" i="4"/>
  <c r="A76" i="4"/>
  <c r="A77" i="4" s="1"/>
  <c r="A78" i="4" s="1"/>
  <c r="A79" i="4" s="1"/>
  <c r="K67" i="4"/>
  <c r="J67" i="4"/>
  <c r="I67" i="4"/>
  <c r="H67" i="4"/>
  <c r="G67" i="4"/>
  <c r="F67" i="4"/>
  <c r="E67" i="4"/>
  <c r="D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A17" i="4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E6" i="4"/>
  <c r="A6" i="4"/>
  <c r="F5" i="4"/>
  <c r="K240" i="3"/>
  <c r="J240" i="3"/>
  <c r="I240" i="3"/>
  <c r="H240" i="3"/>
  <c r="G240" i="3"/>
  <c r="F240" i="3"/>
  <c r="E240" i="3"/>
  <c r="D240" i="3"/>
  <c r="K239" i="3"/>
  <c r="J239" i="3"/>
  <c r="I239" i="3"/>
  <c r="H239" i="3"/>
  <c r="G239" i="3"/>
  <c r="F239" i="3"/>
  <c r="E239" i="3"/>
  <c r="D239" i="3"/>
  <c r="K238" i="3"/>
  <c r="J238" i="3"/>
  <c r="I238" i="3"/>
  <c r="H238" i="3"/>
  <c r="G238" i="3"/>
  <c r="F238" i="3"/>
  <c r="E238" i="3"/>
  <c r="D238" i="3"/>
  <c r="K237" i="3"/>
  <c r="J237" i="3"/>
  <c r="I237" i="3"/>
  <c r="H237" i="3"/>
  <c r="G237" i="3"/>
  <c r="F237" i="3"/>
  <c r="E237" i="3"/>
  <c r="D237" i="3"/>
  <c r="K236" i="3"/>
  <c r="J236" i="3"/>
  <c r="I236" i="3"/>
  <c r="H236" i="3"/>
  <c r="G236" i="3"/>
  <c r="F236" i="3"/>
  <c r="E236" i="3"/>
  <c r="D236" i="3"/>
  <c r="K235" i="3"/>
  <c r="J235" i="3"/>
  <c r="I235" i="3"/>
  <c r="H235" i="3"/>
  <c r="G235" i="3"/>
  <c r="F235" i="3"/>
  <c r="E235" i="3"/>
  <c r="D235" i="3"/>
  <c r="K234" i="3"/>
  <c r="J234" i="3"/>
  <c r="I234" i="3"/>
  <c r="H234" i="3"/>
  <c r="G234" i="3"/>
  <c r="F234" i="3"/>
  <c r="E234" i="3"/>
  <c r="D234" i="3"/>
  <c r="K233" i="3"/>
  <c r="J233" i="3"/>
  <c r="I233" i="3"/>
  <c r="H233" i="3"/>
  <c r="G233" i="3"/>
  <c r="F233" i="3"/>
  <c r="E233" i="3"/>
  <c r="D233" i="3"/>
  <c r="K232" i="3"/>
  <c r="J232" i="3"/>
  <c r="I232" i="3"/>
  <c r="H232" i="3"/>
  <c r="G232" i="3"/>
  <c r="F232" i="3"/>
  <c r="E232" i="3"/>
  <c r="D232" i="3"/>
  <c r="K231" i="3"/>
  <c r="J231" i="3"/>
  <c r="I231" i="3"/>
  <c r="H231" i="3"/>
  <c r="G231" i="3"/>
  <c r="F231" i="3"/>
  <c r="E231" i="3"/>
  <c r="D231" i="3"/>
  <c r="K230" i="3"/>
  <c r="J230" i="3"/>
  <c r="I230" i="3"/>
  <c r="H230" i="3"/>
  <c r="G230" i="3"/>
  <c r="F230" i="3"/>
  <c r="E230" i="3"/>
  <c r="D230" i="3"/>
  <c r="K229" i="3"/>
  <c r="J229" i="3"/>
  <c r="I229" i="3"/>
  <c r="H229" i="3"/>
  <c r="G229" i="3"/>
  <c r="F229" i="3"/>
  <c r="E229" i="3"/>
  <c r="D229" i="3"/>
  <c r="K228" i="3"/>
  <c r="J228" i="3"/>
  <c r="I228" i="3"/>
  <c r="H228" i="3"/>
  <c r="G228" i="3"/>
  <c r="F228" i="3"/>
  <c r="E228" i="3"/>
  <c r="D228" i="3"/>
  <c r="K227" i="3"/>
  <c r="J227" i="3"/>
  <c r="I227" i="3"/>
  <c r="H227" i="3"/>
  <c r="G227" i="3"/>
  <c r="F227" i="3"/>
  <c r="E227" i="3"/>
  <c r="D227" i="3"/>
  <c r="K226" i="3"/>
  <c r="J226" i="3"/>
  <c r="I226" i="3"/>
  <c r="H226" i="3"/>
  <c r="G226" i="3"/>
  <c r="F226" i="3"/>
  <c r="E226" i="3"/>
  <c r="D226" i="3"/>
  <c r="K225" i="3"/>
  <c r="J225" i="3"/>
  <c r="I225" i="3"/>
  <c r="H225" i="3"/>
  <c r="G225" i="3"/>
  <c r="F225" i="3"/>
  <c r="E225" i="3"/>
  <c r="D225" i="3"/>
  <c r="K224" i="3"/>
  <c r="J224" i="3"/>
  <c r="I224" i="3"/>
  <c r="H224" i="3"/>
  <c r="G224" i="3"/>
  <c r="F224" i="3"/>
  <c r="E224" i="3"/>
  <c r="D224" i="3"/>
  <c r="K223" i="3"/>
  <c r="J223" i="3"/>
  <c r="I223" i="3"/>
  <c r="H223" i="3"/>
  <c r="G223" i="3"/>
  <c r="F223" i="3"/>
  <c r="E223" i="3"/>
  <c r="D223" i="3"/>
  <c r="K222" i="3"/>
  <c r="J222" i="3"/>
  <c r="I222" i="3"/>
  <c r="H222" i="3"/>
  <c r="G222" i="3"/>
  <c r="F222" i="3"/>
  <c r="E222" i="3"/>
  <c r="D222" i="3"/>
  <c r="K221" i="3"/>
  <c r="J221" i="3"/>
  <c r="I221" i="3"/>
  <c r="H221" i="3"/>
  <c r="G221" i="3"/>
  <c r="F221" i="3"/>
  <c r="E221" i="3"/>
  <c r="D221" i="3"/>
  <c r="K220" i="3"/>
  <c r="J220" i="3"/>
  <c r="I220" i="3"/>
  <c r="H220" i="3"/>
  <c r="G220" i="3"/>
  <c r="F220" i="3"/>
  <c r="E220" i="3"/>
  <c r="D220" i="3"/>
  <c r="K219" i="3"/>
  <c r="J219" i="3"/>
  <c r="I219" i="3"/>
  <c r="H219" i="3"/>
  <c r="G219" i="3"/>
  <c r="F219" i="3"/>
  <c r="E219" i="3"/>
  <c r="D219" i="3"/>
  <c r="K218" i="3"/>
  <c r="J218" i="3"/>
  <c r="I218" i="3"/>
  <c r="H218" i="3"/>
  <c r="G218" i="3"/>
  <c r="F218" i="3"/>
  <c r="E218" i="3"/>
  <c r="D218" i="3"/>
  <c r="K217" i="3"/>
  <c r="J217" i="3"/>
  <c r="I217" i="3"/>
  <c r="H217" i="3"/>
  <c r="G217" i="3"/>
  <c r="F217" i="3"/>
  <c r="E217" i="3"/>
  <c r="D217" i="3"/>
  <c r="K216" i="3"/>
  <c r="J216" i="3"/>
  <c r="I216" i="3"/>
  <c r="H216" i="3"/>
  <c r="G216" i="3"/>
  <c r="F216" i="3"/>
  <c r="E216" i="3"/>
  <c r="D216" i="3"/>
  <c r="K215" i="3"/>
  <c r="J215" i="3"/>
  <c r="I215" i="3"/>
  <c r="H215" i="3"/>
  <c r="G215" i="3"/>
  <c r="F215" i="3"/>
  <c r="E215" i="3"/>
  <c r="D215" i="3"/>
  <c r="K214" i="3"/>
  <c r="J214" i="3"/>
  <c r="I214" i="3"/>
  <c r="H214" i="3"/>
  <c r="G214" i="3"/>
  <c r="F214" i="3"/>
  <c r="E214" i="3"/>
  <c r="D214" i="3"/>
  <c r="K213" i="3"/>
  <c r="J213" i="3"/>
  <c r="I213" i="3"/>
  <c r="H213" i="3"/>
  <c r="G213" i="3"/>
  <c r="F213" i="3"/>
  <c r="E213" i="3"/>
  <c r="D213" i="3"/>
  <c r="K212" i="3"/>
  <c r="J212" i="3"/>
  <c r="I212" i="3"/>
  <c r="H212" i="3"/>
  <c r="G212" i="3"/>
  <c r="F212" i="3"/>
  <c r="E212" i="3"/>
  <c r="D212" i="3"/>
  <c r="K211" i="3"/>
  <c r="J211" i="3"/>
  <c r="I211" i="3"/>
  <c r="H211" i="3"/>
  <c r="G211" i="3"/>
  <c r="F211" i="3"/>
  <c r="E211" i="3"/>
  <c r="D211" i="3"/>
  <c r="K210" i="3"/>
  <c r="J210" i="3"/>
  <c r="I210" i="3"/>
  <c r="H210" i="3"/>
  <c r="G210" i="3"/>
  <c r="F210" i="3"/>
  <c r="E210" i="3"/>
  <c r="D210" i="3"/>
  <c r="K209" i="3"/>
  <c r="J209" i="3"/>
  <c r="I209" i="3"/>
  <c r="H209" i="3"/>
  <c r="G209" i="3"/>
  <c r="F209" i="3"/>
  <c r="E209" i="3"/>
  <c r="D209" i="3"/>
  <c r="K208" i="3"/>
  <c r="J208" i="3"/>
  <c r="I208" i="3"/>
  <c r="H208" i="3"/>
  <c r="G208" i="3"/>
  <c r="F208" i="3"/>
  <c r="E208" i="3"/>
  <c r="D208" i="3"/>
  <c r="K207" i="3"/>
  <c r="J207" i="3"/>
  <c r="I207" i="3"/>
  <c r="H207" i="3"/>
  <c r="G207" i="3"/>
  <c r="F207" i="3"/>
  <c r="E207" i="3"/>
  <c r="D207" i="3"/>
  <c r="K206" i="3"/>
  <c r="J206" i="3"/>
  <c r="I206" i="3"/>
  <c r="H206" i="3"/>
  <c r="G206" i="3"/>
  <c r="F206" i="3"/>
  <c r="E206" i="3"/>
  <c r="D206" i="3"/>
  <c r="K205" i="3"/>
  <c r="J205" i="3"/>
  <c r="I205" i="3"/>
  <c r="H205" i="3"/>
  <c r="G205" i="3"/>
  <c r="F205" i="3"/>
  <c r="E205" i="3"/>
  <c r="D205" i="3"/>
  <c r="K204" i="3"/>
  <c r="J204" i="3"/>
  <c r="I204" i="3"/>
  <c r="H204" i="3"/>
  <c r="G204" i="3"/>
  <c r="F204" i="3"/>
  <c r="E204" i="3"/>
  <c r="D204" i="3"/>
  <c r="K203" i="3"/>
  <c r="J203" i="3"/>
  <c r="I203" i="3"/>
  <c r="H203" i="3"/>
  <c r="G203" i="3"/>
  <c r="F203" i="3"/>
  <c r="E203" i="3"/>
  <c r="D203" i="3"/>
  <c r="K202" i="3"/>
  <c r="J202" i="3"/>
  <c r="I202" i="3"/>
  <c r="H202" i="3"/>
  <c r="G202" i="3"/>
  <c r="F202" i="3"/>
  <c r="E202" i="3"/>
  <c r="D202" i="3"/>
  <c r="K201" i="3"/>
  <c r="J201" i="3"/>
  <c r="I201" i="3"/>
  <c r="H201" i="3"/>
  <c r="G201" i="3"/>
  <c r="F201" i="3"/>
  <c r="E201" i="3"/>
  <c r="D201" i="3"/>
  <c r="K200" i="3"/>
  <c r="J200" i="3"/>
  <c r="I200" i="3"/>
  <c r="H200" i="3"/>
  <c r="G200" i="3"/>
  <c r="F200" i="3"/>
  <c r="E200" i="3"/>
  <c r="D200" i="3"/>
  <c r="K199" i="3"/>
  <c r="J199" i="3"/>
  <c r="I199" i="3"/>
  <c r="H199" i="3"/>
  <c r="G199" i="3"/>
  <c r="F199" i="3"/>
  <c r="E199" i="3"/>
  <c r="D199" i="3"/>
  <c r="K198" i="3"/>
  <c r="J198" i="3"/>
  <c r="I198" i="3"/>
  <c r="H198" i="3"/>
  <c r="G198" i="3"/>
  <c r="F198" i="3"/>
  <c r="E198" i="3"/>
  <c r="D198" i="3"/>
  <c r="K197" i="3"/>
  <c r="J197" i="3"/>
  <c r="I197" i="3"/>
  <c r="H197" i="3"/>
  <c r="G197" i="3"/>
  <c r="F197" i="3"/>
  <c r="E197" i="3"/>
  <c r="D197" i="3"/>
  <c r="K196" i="3"/>
  <c r="J196" i="3"/>
  <c r="I196" i="3"/>
  <c r="H196" i="3"/>
  <c r="G196" i="3"/>
  <c r="F196" i="3"/>
  <c r="E196" i="3"/>
  <c r="D196" i="3"/>
  <c r="K195" i="3"/>
  <c r="J195" i="3"/>
  <c r="I195" i="3"/>
  <c r="H195" i="3"/>
  <c r="G195" i="3"/>
  <c r="F195" i="3"/>
  <c r="E195" i="3"/>
  <c r="D195" i="3"/>
  <c r="K194" i="3"/>
  <c r="J194" i="3"/>
  <c r="I194" i="3"/>
  <c r="H194" i="3"/>
  <c r="G194" i="3"/>
  <c r="F194" i="3"/>
  <c r="E194" i="3"/>
  <c r="D194" i="3"/>
  <c r="K193" i="3"/>
  <c r="J193" i="3"/>
  <c r="I193" i="3"/>
  <c r="H193" i="3"/>
  <c r="G193" i="3"/>
  <c r="F193" i="3"/>
  <c r="E193" i="3"/>
  <c r="D193" i="3"/>
  <c r="K192" i="3"/>
  <c r="J192" i="3"/>
  <c r="I192" i="3"/>
  <c r="H192" i="3"/>
  <c r="G192" i="3"/>
  <c r="F192" i="3"/>
  <c r="E192" i="3"/>
  <c r="D192" i="3"/>
  <c r="K191" i="3"/>
  <c r="J191" i="3"/>
  <c r="I191" i="3"/>
  <c r="I241" i="3" s="1"/>
  <c r="H191" i="3"/>
  <c r="G191" i="3"/>
  <c r="F191" i="3"/>
  <c r="E191" i="3"/>
  <c r="D191" i="3"/>
  <c r="L168" i="3"/>
  <c r="A168" i="3"/>
  <c r="C168" i="3" s="1"/>
  <c r="K160" i="3"/>
  <c r="J160" i="3"/>
  <c r="I160" i="3"/>
  <c r="H160" i="3"/>
  <c r="G160" i="3"/>
  <c r="F160" i="3"/>
  <c r="E160" i="3"/>
  <c r="D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A110" i="3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K99" i="3"/>
  <c r="J99" i="3"/>
  <c r="I99" i="3"/>
  <c r="H99" i="3"/>
  <c r="G99" i="3"/>
  <c r="F99" i="3"/>
  <c r="E99" i="3"/>
  <c r="D99" i="3"/>
  <c r="L98" i="3"/>
  <c r="L97" i="3"/>
  <c r="L96" i="3"/>
  <c r="L95" i="3"/>
  <c r="L94" i="3"/>
  <c r="L93" i="3"/>
  <c r="L92" i="3"/>
  <c r="A92" i="3"/>
  <c r="A93" i="3" s="1"/>
  <c r="K83" i="3"/>
  <c r="J83" i="3"/>
  <c r="I83" i="3"/>
  <c r="H83" i="3"/>
  <c r="G83" i="3"/>
  <c r="F83" i="3"/>
  <c r="E83" i="3"/>
  <c r="D83" i="3"/>
  <c r="L82" i="3"/>
  <c r="L81" i="3"/>
  <c r="L80" i="3"/>
  <c r="L79" i="3"/>
  <c r="L78" i="3"/>
  <c r="L77" i="3"/>
  <c r="L76" i="3"/>
  <c r="A76" i="3"/>
  <c r="A77" i="3" s="1"/>
  <c r="K67" i="3"/>
  <c r="J67" i="3"/>
  <c r="I67" i="3"/>
  <c r="H67" i="3"/>
  <c r="G67" i="3"/>
  <c r="F67" i="3"/>
  <c r="E67" i="3"/>
  <c r="D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A17" i="3"/>
  <c r="E6" i="3"/>
  <c r="A6" i="3"/>
  <c r="F5" i="3"/>
  <c r="L77" i="2"/>
  <c r="A77" i="2"/>
  <c r="K69" i="2"/>
  <c r="J69" i="2"/>
  <c r="I69" i="2"/>
  <c r="H69" i="2"/>
  <c r="G69" i="2"/>
  <c r="F69" i="2"/>
  <c r="E69" i="2"/>
  <c r="D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A19" i="2"/>
  <c r="A20" i="2" s="1"/>
  <c r="E6" i="2"/>
  <c r="A6" i="2"/>
  <c r="F5" i="2"/>
  <c r="H567" i="13"/>
  <c r="H566" i="13"/>
  <c r="H565" i="13"/>
  <c r="H564" i="13"/>
  <c r="H563" i="13"/>
  <c r="H488" i="13"/>
  <c r="H487" i="13"/>
  <c r="H486" i="13"/>
  <c r="H485" i="13"/>
  <c r="H484" i="13"/>
  <c r="H410" i="13"/>
  <c r="H409" i="13"/>
  <c r="H408" i="13"/>
  <c r="H407" i="13"/>
  <c r="H406" i="13"/>
  <c r="H405" i="13"/>
  <c r="H330" i="13"/>
  <c r="H329" i="13"/>
  <c r="H328" i="13"/>
  <c r="H327" i="13"/>
  <c r="H326" i="13"/>
  <c r="H251" i="13"/>
  <c r="H250" i="13"/>
  <c r="H249" i="13"/>
  <c r="H248" i="13"/>
  <c r="H247" i="13"/>
  <c r="H172" i="13"/>
  <c r="H171" i="13"/>
  <c r="H170" i="13"/>
  <c r="H169" i="13"/>
  <c r="H168" i="13"/>
  <c r="H93" i="13"/>
  <c r="H92" i="13"/>
  <c r="H91" i="13"/>
  <c r="H90" i="13"/>
  <c r="H89" i="13"/>
  <c r="H15" i="13"/>
  <c r="H14" i="13"/>
  <c r="H13" i="13"/>
  <c r="H12" i="13"/>
  <c r="H11" i="13"/>
  <c r="H10" i="13"/>
  <c r="A3" i="13"/>
  <c r="A2" i="13"/>
  <c r="A1" i="13"/>
  <c r="C6" i="12"/>
  <c r="L12" i="11"/>
  <c r="K12" i="11"/>
  <c r="J12" i="11"/>
  <c r="I12" i="11"/>
  <c r="M6" i="11"/>
  <c r="M5" i="11"/>
  <c r="M3" i="11"/>
  <c r="M2" i="11"/>
  <c r="X11" i="7"/>
  <c r="B530" i="1"/>
  <c r="B386" i="1"/>
  <c r="B361" i="1"/>
  <c r="B334" i="1"/>
  <c r="N268" i="1"/>
  <c r="N267" i="1"/>
  <c r="N266" i="1"/>
  <c r="N265" i="1"/>
  <c r="N264" i="1"/>
  <c r="G239" i="1"/>
  <c r="F239" i="1"/>
  <c r="G238" i="1"/>
  <c r="F238" i="1"/>
  <c r="G237" i="1"/>
  <c r="F237" i="1"/>
  <c r="G236" i="1"/>
  <c r="F236" i="1"/>
  <c r="G235" i="1"/>
  <c r="F235" i="1"/>
  <c r="G234" i="1"/>
  <c r="F234" i="1"/>
  <c r="G233" i="1"/>
  <c r="F233" i="1"/>
  <c r="G232" i="1"/>
  <c r="J9" i="7" s="1"/>
  <c r="F232" i="1"/>
  <c r="G219" i="1"/>
  <c r="F219" i="1"/>
  <c r="G218" i="1"/>
  <c r="F218" i="1"/>
  <c r="G217" i="1"/>
  <c r="F217" i="1"/>
  <c r="G216" i="1"/>
  <c r="F216" i="1"/>
  <c r="G215" i="1"/>
  <c r="F215" i="1"/>
  <c r="G214" i="1"/>
  <c r="F214" i="1"/>
  <c r="G213" i="1"/>
  <c r="F213" i="1"/>
  <c r="G212" i="1"/>
  <c r="AI9" i="7" s="1"/>
  <c r="F212" i="1"/>
  <c r="AI8" i="8" s="1"/>
  <c r="D200" i="1"/>
  <c r="I24" i="11" s="1"/>
  <c r="H163" i="1"/>
  <c r="H162" i="1"/>
  <c r="H161" i="1"/>
  <c r="H160" i="1"/>
  <c r="E94" i="1"/>
  <c r="E93" i="1"/>
  <c r="E88" i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H82" i="1"/>
  <c r="H83" i="1" s="1"/>
  <c r="H84" i="1" s="1"/>
  <c r="H85" i="1" s="1"/>
  <c r="B80" i="1"/>
  <c r="B81" i="1" s="1"/>
  <c r="B82" i="1" s="1"/>
  <c r="B83" i="1" s="1"/>
  <c r="B84" i="1" s="1"/>
  <c r="B85" i="1" s="1"/>
  <c r="B86" i="1" s="1"/>
  <c r="B87" i="1" s="1"/>
  <c r="B11" i="10" s="1"/>
  <c r="B12" i="10" s="1"/>
  <c r="B13" i="10" s="1"/>
  <c r="B14" i="10" s="1"/>
  <c r="B15" i="10" s="1"/>
  <c r="B16" i="10" s="1"/>
  <c r="B17" i="10" s="1"/>
  <c r="D75" i="1"/>
  <c r="M3" i="1"/>
  <c r="E62" i="10" l="1"/>
  <c r="A80" i="6"/>
  <c r="AE65" i="10"/>
  <c r="AE66" i="10"/>
  <c r="AE67" i="10"/>
  <c r="AE68" i="10"/>
  <c r="A96" i="6"/>
  <c r="A97" i="6" s="1"/>
  <c r="AE74" i="10"/>
  <c r="AE75" i="10"/>
  <c r="AE76" i="10"/>
  <c r="AE77" i="10"/>
  <c r="AE78" i="10"/>
  <c r="A42" i="6"/>
  <c r="A80" i="5"/>
  <c r="A81" i="5" s="1"/>
  <c r="A82" i="5" s="1"/>
  <c r="AE65" i="9"/>
  <c r="AE66" i="9"/>
  <c r="AE67" i="9"/>
  <c r="AE68" i="9"/>
  <c r="AE69" i="9"/>
  <c r="AE70" i="9"/>
  <c r="A42" i="5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E13" i="9"/>
  <c r="AE14" i="9"/>
  <c r="AE17" i="9"/>
  <c r="B18" i="10"/>
  <c r="AF16" i="7"/>
  <c r="AF11" i="7"/>
  <c r="AF12" i="7"/>
  <c r="AF13" i="7"/>
  <c r="AF14" i="7"/>
  <c r="AB18" i="7"/>
  <c r="AF17" i="7"/>
  <c r="AC74" i="10"/>
  <c r="AC11" i="10"/>
  <c r="AC74" i="9"/>
  <c r="N11" i="9"/>
  <c r="AC74" i="8"/>
  <c r="AC11" i="8"/>
  <c r="B11" i="8"/>
  <c r="AC65" i="7"/>
  <c r="N11" i="7"/>
  <c r="N18" i="10"/>
  <c r="AC65" i="10"/>
  <c r="N11" i="10"/>
  <c r="N12" i="10"/>
  <c r="AC65" i="9"/>
  <c r="AC11" i="9"/>
  <c r="B11" i="9"/>
  <c r="B12" i="9" s="1"/>
  <c r="AC65" i="8"/>
  <c r="N11" i="8"/>
  <c r="AC74" i="7"/>
  <c r="AC11" i="7"/>
  <c r="B11" i="7"/>
  <c r="E241" i="3"/>
  <c r="A18" i="9"/>
  <c r="M18" i="9"/>
  <c r="A18" i="10"/>
  <c r="M18" i="10"/>
  <c r="D62" i="10"/>
  <c r="F62" i="10" s="1"/>
  <c r="D62" i="9"/>
  <c r="F62" i="9" s="1"/>
  <c r="D62" i="7"/>
  <c r="D62" i="8"/>
  <c r="C168" i="4"/>
  <c r="E62" i="8"/>
  <c r="E62" i="7"/>
  <c r="A80" i="4"/>
  <c r="A81" i="4" s="1"/>
  <c r="A82" i="4" s="1"/>
  <c r="AE66" i="8"/>
  <c r="AE67" i="8"/>
  <c r="AE68" i="8"/>
  <c r="A96" i="4"/>
  <c r="A97" i="4" s="1"/>
  <c r="A98" i="4" s="1"/>
  <c r="AE74" i="8"/>
  <c r="AE75" i="8"/>
  <c r="AE76" i="8"/>
  <c r="AE77" i="8"/>
  <c r="AE78" i="8"/>
  <c r="A135" i="3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E17" i="7" s="1"/>
  <c r="A42" i="4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M19" i="8"/>
  <c r="A19" i="8"/>
  <c r="A18" i="7"/>
  <c r="M18" i="7"/>
  <c r="AE71" i="9"/>
  <c r="AE18" i="9"/>
  <c r="AE80" i="8"/>
  <c r="E241" i="4"/>
  <c r="I241" i="4"/>
  <c r="M158" i="4"/>
  <c r="M110" i="3"/>
  <c r="AI8" i="10"/>
  <c r="A93" i="5"/>
  <c r="A94" i="5" s="1"/>
  <c r="A95" i="5" s="1"/>
  <c r="J8" i="8"/>
  <c r="J8" i="7"/>
  <c r="J8" i="10"/>
  <c r="J8" i="9"/>
  <c r="AI8" i="7"/>
  <c r="AI8" i="9"/>
  <c r="A17" i="13"/>
  <c r="A490" i="13"/>
  <c r="H490" i="13" s="1"/>
  <c r="A411" i="13"/>
  <c r="H411" i="13" s="1"/>
  <c r="A332" i="13"/>
  <c r="H332" i="13" s="1"/>
  <c r="A95" i="13"/>
  <c r="H95" i="13" s="1"/>
  <c r="A569" i="13"/>
  <c r="H569" i="13" s="1"/>
  <c r="A253" i="13"/>
  <c r="H253" i="13" s="1"/>
  <c r="A174" i="13"/>
  <c r="H174" i="13" s="1"/>
  <c r="I82" i="1"/>
  <c r="C17" i="6"/>
  <c r="L160" i="5"/>
  <c r="I161" i="5" s="1"/>
  <c r="C77" i="2"/>
  <c r="M158" i="5"/>
  <c r="M111" i="3"/>
  <c r="M116" i="3"/>
  <c r="M117" i="3"/>
  <c r="M118" i="3"/>
  <c r="M119" i="3"/>
  <c r="M120" i="3"/>
  <c r="M123" i="3"/>
  <c r="M124" i="3"/>
  <c r="M125" i="3"/>
  <c r="M126" i="3"/>
  <c r="M127" i="3"/>
  <c r="M128" i="3"/>
  <c r="M130" i="3"/>
  <c r="M131" i="3"/>
  <c r="M132" i="3"/>
  <c r="M133" i="3"/>
  <c r="M134" i="3"/>
  <c r="M138" i="3"/>
  <c r="M139" i="3"/>
  <c r="M140" i="3"/>
  <c r="M141" i="3"/>
  <c r="M142" i="3"/>
  <c r="M143" i="3"/>
  <c r="M147" i="3"/>
  <c r="M148" i="3"/>
  <c r="M149" i="3"/>
  <c r="M151" i="3"/>
  <c r="M152" i="3"/>
  <c r="M155" i="3"/>
  <c r="M157" i="3"/>
  <c r="M158" i="3"/>
  <c r="M159" i="3"/>
  <c r="M114" i="4"/>
  <c r="M116" i="4"/>
  <c r="M118" i="4"/>
  <c r="M122" i="4"/>
  <c r="M124" i="4"/>
  <c r="M126" i="4"/>
  <c r="M139" i="4"/>
  <c r="M141" i="4"/>
  <c r="M154" i="4"/>
  <c r="M156" i="4"/>
  <c r="M141" i="6"/>
  <c r="M158" i="6"/>
  <c r="C168" i="6"/>
  <c r="I241" i="6"/>
  <c r="C110" i="6"/>
  <c r="L160" i="6"/>
  <c r="M122" i="6"/>
  <c r="M124" i="6"/>
  <c r="M126" i="6"/>
  <c r="M132" i="6"/>
  <c r="M133" i="6"/>
  <c r="M134" i="6"/>
  <c r="M138" i="6"/>
  <c r="M139" i="6"/>
  <c r="M140" i="6"/>
  <c r="M142" i="6"/>
  <c r="M146" i="6"/>
  <c r="M147" i="6"/>
  <c r="M148" i="6"/>
  <c r="M149" i="6"/>
  <c r="M150" i="6"/>
  <c r="M154" i="6"/>
  <c r="M155" i="6"/>
  <c r="M156" i="6"/>
  <c r="M157" i="6"/>
  <c r="M124" i="5"/>
  <c r="M126" i="5"/>
  <c r="M141" i="5"/>
  <c r="M156" i="5"/>
  <c r="M122" i="5"/>
  <c r="M139" i="5"/>
  <c r="M154" i="5"/>
  <c r="M156" i="3"/>
  <c r="L160" i="3"/>
  <c r="F161" i="3" s="1"/>
  <c r="M150" i="3"/>
  <c r="G83" i="7"/>
  <c r="G83" i="8"/>
  <c r="G83" i="9"/>
  <c r="G82" i="10"/>
  <c r="L99" i="4"/>
  <c r="L160" i="4"/>
  <c r="J161" i="4" s="1"/>
  <c r="A94" i="3"/>
  <c r="C94" i="3" s="1"/>
  <c r="C93" i="3"/>
  <c r="C92" i="3"/>
  <c r="C76" i="3"/>
  <c r="C18" i="6"/>
  <c r="G81" i="10"/>
  <c r="G83" i="10"/>
  <c r="M123" i="6"/>
  <c r="M113" i="6"/>
  <c r="M114" i="6"/>
  <c r="M115" i="6"/>
  <c r="M116" i="6"/>
  <c r="M117" i="6"/>
  <c r="M118" i="6"/>
  <c r="M121" i="6"/>
  <c r="M129" i="6"/>
  <c r="M130" i="6"/>
  <c r="M131" i="6"/>
  <c r="M125" i="6"/>
  <c r="G82" i="9"/>
  <c r="M113" i="5"/>
  <c r="M114" i="5"/>
  <c r="M115" i="5"/>
  <c r="M116" i="5"/>
  <c r="M117" i="5"/>
  <c r="M118" i="5"/>
  <c r="M121" i="5"/>
  <c r="M123" i="5"/>
  <c r="M125" i="5"/>
  <c r="M129" i="5"/>
  <c r="M130" i="5"/>
  <c r="M131" i="5"/>
  <c r="M132" i="5"/>
  <c r="M133" i="5"/>
  <c r="M134" i="5"/>
  <c r="M137" i="5"/>
  <c r="M138" i="5"/>
  <c r="M140" i="5"/>
  <c r="M142" i="5"/>
  <c r="M145" i="5"/>
  <c r="M146" i="5"/>
  <c r="M147" i="5"/>
  <c r="M148" i="5"/>
  <c r="M149" i="5"/>
  <c r="M150" i="5"/>
  <c r="M153" i="5"/>
  <c r="M155" i="5"/>
  <c r="M157" i="5"/>
  <c r="G81" i="9"/>
  <c r="G82" i="8"/>
  <c r="M110" i="4"/>
  <c r="M113" i="4"/>
  <c r="M115" i="4"/>
  <c r="M117" i="4"/>
  <c r="M121" i="4"/>
  <c r="M123" i="4"/>
  <c r="M125" i="4"/>
  <c r="M129" i="4"/>
  <c r="M130" i="4"/>
  <c r="M131" i="4"/>
  <c r="M132" i="4"/>
  <c r="M133" i="4"/>
  <c r="M134" i="4"/>
  <c r="M137" i="4"/>
  <c r="M138" i="4"/>
  <c r="M140" i="4"/>
  <c r="M142" i="4"/>
  <c r="M145" i="4"/>
  <c r="M146" i="4"/>
  <c r="M147" i="4"/>
  <c r="M148" i="4"/>
  <c r="M149" i="4"/>
  <c r="M150" i="4"/>
  <c r="M153" i="4"/>
  <c r="M155" i="4"/>
  <c r="M157" i="4"/>
  <c r="G81" i="8"/>
  <c r="G82" i="7"/>
  <c r="G81" i="7"/>
  <c r="P10" i="10"/>
  <c r="E10" i="9"/>
  <c r="AE10" i="8"/>
  <c r="Q10" i="8"/>
  <c r="D10" i="8"/>
  <c r="E10" i="7"/>
  <c r="AE10" i="9"/>
  <c r="Q10" i="9"/>
  <c r="D10" i="9"/>
  <c r="P10" i="8"/>
  <c r="AE10" i="7"/>
  <c r="Q10" i="7"/>
  <c r="D10" i="7"/>
  <c r="E10" i="10"/>
  <c r="P10" i="9"/>
  <c r="P10" i="7"/>
  <c r="E5" i="2"/>
  <c r="E5" i="4"/>
  <c r="AE10" i="10"/>
  <c r="Q10" i="10"/>
  <c r="E10" i="8"/>
  <c r="E5" i="6"/>
  <c r="E5" i="5"/>
  <c r="E5" i="3"/>
  <c r="D10" i="10"/>
  <c r="L99" i="3"/>
  <c r="L67" i="3"/>
  <c r="C10" i="16" s="1"/>
  <c r="L67" i="5"/>
  <c r="I10" i="16" s="1"/>
  <c r="M115" i="3"/>
  <c r="L99" i="5"/>
  <c r="C17" i="4"/>
  <c r="C76" i="6"/>
  <c r="AI9" i="10"/>
  <c r="AI9" i="8"/>
  <c r="J9" i="10"/>
  <c r="J9" i="8"/>
  <c r="C19" i="2"/>
  <c r="C76" i="4"/>
  <c r="M113" i="3"/>
  <c r="M114" i="3"/>
  <c r="M121" i="3"/>
  <c r="M122" i="3"/>
  <c r="M129" i="3"/>
  <c r="M137" i="3"/>
  <c r="M145" i="3"/>
  <c r="M146" i="3"/>
  <c r="M153" i="3"/>
  <c r="M154" i="3"/>
  <c r="L83" i="4"/>
  <c r="H241" i="4"/>
  <c r="M112" i="4"/>
  <c r="M119" i="4"/>
  <c r="M120" i="4"/>
  <c r="M127" i="4"/>
  <c r="M128" i="4"/>
  <c r="M135" i="4"/>
  <c r="M136" i="4"/>
  <c r="M143" i="4"/>
  <c r="M144" i="4"/>
  <c r="M151" i="4"/>
  <c r="M152" i="4"/>
  <c r="M159" i="4"/>
  <c r="M110" i="5"/>
  <c r="M111" i="5"/>
  <c r="H241" i="5"/>
  <c r="M112" i="5"/>
  <c r="M119" i="5"/>
  <c r="M120" i="5"/>
  <c r="M127" i="5"/>
  <c r="M128" i="5"/>
  <c r="M135" i="5"/>
  <c r="M136" i="5"/>
  <c r="M143" i="5"/>
  <c r="M144" i="5"/>
  <c r="M151" i="5"/>
  <c r="M152" i="5"/>
  <c r="M159" i="5"/>
  <c r="L83" i="6"/>
  <c r="M110" i="6"/>
  <c r="M111" i="6"/>
  <c r="H241" i="6"/>
  <c r="M112" i="6"/>
  <c r="M119" i="6"/>
  <c r="M120" i="6"/>
  <c r="M127" i="6"/>
  <c r="M128" i="6"/>
  <c r="I85" i="1"/>
  <c r="C92" i="4"/>
  <c r="L69" i="2"/>
  <c r="F70" i="2" s="1"/>
  <c r="L99" i="6"/>
  <c r="AG74" i="8"/>
  <c r="J9" i="9"/>
  <c r="AI9" i="9"/>
  <c r="M137" i="6"/>
  <c r="M145" i="6"/>
  <c r="M153" i="6"/>
  <c r="M135" i="6"/>
  <c r="M136" i="6"/>
  <c r="M143" i="6"/>
  <c r="M144" i="6"/>
  <c r="M151" i="6"/>
  <c r="M152" i="6"/>
  <c r="M159" i="6"/>
  <c r="AF12" i="10"/>
  <c r="G12" i="10"/>
  <c r="G11" i="10"/>
  <c r="AF11" i="10"/>
  <c r="G11" i="9"/>
  <c r="X11" i="9"/>
  <c r="AF11" i="9"/>
  <c r="G11" i="8"/>
  <c r="AF11" i="8"/>
  <c r="G11" i="7"/>
  <c r="C80" i="6"/>
  <c r="A81" i="6"/>
  <c r="L67" i="6"/>
  <c r="L10" i="16" s="1"/>
  <c r="A112" i="6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D241" i="6"/>
  <c r="F241" i="6"/>
  <c r="J241" i="6"/>
  <c r="C78" i="6"/>
  <c r="G241" i="6"/>
  <c r="K241" i="6"/>
  <c r="C17" i="5"/>
  <c r="D241" i="5"/>
  <c r="L83" i="5"/>
  <c r="F241" i="5"/>
  <c r="J241" i="5"/>
  <c r="A111" i="5"/>
  <c r="G241" i="5"/>
  <c r="K241" i="5"/>
  <c r="M111" i="4"/>
  <c r="D241" i="4"/>
  <c r="L67" i="4"/>
  <c r="A111" i="4"/>
  <c r="F241" i="4"/>
  <c r="J241" i="4"/>
  <c r="G241" i="4"/>
  <c r="K241" i="4"/>
  <c r="M135" i="3"/>
  <c r="M136" i="3"/>
  <c r="M112" i="3"/>
  <c r="M144" i="3"/>
  <c r="A18" i="3"/>
  <c r="C17" i="3"/>
  <c r="A78" i="3"/>
  <c r="C77" i="3"/>
  <c r="H241" i="3"/>
  <c r="D241" i="3"/>
  <c r="L83" i="3"/>
  <c r="F241" i="3"/>
  <c r="J241" i="3"/>
  <c r="G241" i="3"/>
  <c r="K241" i="3"/>
  <c r="A21" i="2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C20" i="2"/>
  <c r="X12" i="10"/>
  <c r="X11" i="10"/>
  <c r="X11" i="8"/>
  <c r="C77" i="6"/>
  <c r="C79" i="6"/>
  <c r="C92" i="6"/>
  <c r="C18" i="5"/>
  <c r="C77" i="5"/>
  <c r="D161" i="5"/>
  <c r="C76" i="5"/>
  <c r="C93" i="4"/>
  <c r="C110" i="3"/>
  <c r="B88" i="1"/>
  <c r="B89" i="1" s="1"/>
  <c r="E82" i="1"/>
  <c r="I84" i="1"/>
  <c r="H86" i="1"/>
  <c r="I83" i="1"/>
  <c r="F68" i="4" l="1"/>
  <c r="F10" i="16"/>
  <c r="J161" i="5"/>
  <c r="AG78" i="10"/>
  <c r="H62" i="10"/>
  <c r="AG77" i="10"/>
  <c r="A98" i="6"/>
  <c r="AE80" i="10" s="1"/>
  <c r="AE79" i="10"/>
  <c r="AG66" i="10"/>
  <c r="AG74" i="10"/>
  <c r="A135" i="6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E11" i="10"/>
  <c r="E12" i="10"/>
  <c r="E14" i="10"/>
  <c r="E15" i="10"/>
  <c r="E16" i="10"/>
  <c r="A43" i="6"/>
  <c r="AG76" i="10"/>
  <c r="AE69" i="10"/>
  <c r="AG65" i="10"/>
  <c r="AG67" i="10"/>
  <c r="AG75" i="10"/>
  <c r="AG68" i="10"/>
  <c r="AG70" i="9"/>
  <c r="A96" i="5"/>
  <c r="A97" i="5" s="1"/>
  <c r="AE74" i="9"/>
  <c r="AE75" i="9"/>
  <c r="AE76" i="9"/>
  <c r="AE77" i="9"/>
  <c r="AG71" i="9"/>
  <c r="H62" i="9"/>
  <c r="AE16" i="9"/>
  <c r="AE12" i="9"/>
  <c r="AG66" i="9"/>
  <c r="AG67" i="9"/>
  <c r="F161" i="5"/>
  <c r="H161" i="5"/>
  <c r="G161" i="5"/>
  <c r="E161" i="5"/>
  <c r="AE15" i="9"/>
  <c r="AE11" i="9"/>
  <c r="AG69" i="9"/>
  <c r="AG65" i="9"/>
  <c r="K161" i="5"/>
  <c r="AG68" i="9"/>
  <c r="B19" i="10"/>
  <c r="F62" i="8"/>
  <c r="H62" i="8" s="1"/>
  <c r="AC66" i="9"/>
  <c r="AC67" i="9" s="1"/>
  <c r="AC68" i="9" s="1"/>
  <c r="AC69" i="9" s="1"/>
  <c r="AC70" i="9" s="1"/>
  <c r="AC71" i="9" s="1"/>
  <c r="AC75" i="8"/>
  <c r="AC76" i="8" s="1"/>
  <c r="AC77" i="8" s="1"/>
  <c r="AC78" i="8" s="1"/>
  <c r="AC79" i="8" s="1"/>
  <c r="AC80" i="8" s="1"/>
  <c r="N13" i="10"/>
  <c r="AC66" i="8"/>
  <c r="AC67" i="8" s="1"/>
  <c r="AC68" i="8" s="1"/>
  <c r="AC69" i="8" s="1"/>
  <c r="AC70" i="8" s="1"/>
  <c r="AC71" i="8" s="1"/>
  <c r="AB19" i="7"/>
  <c r="AF18" i="7"/>
  <c r="N12" i="7"/>
  <c r="B12" i="7"/>
  <c r="AC66" i="10"/>
  <c r="AC67" i="10" s="1"/>
  <c r="AC68" i="10" s="1"/>
  <c r="AC69" i="10" s="1"/>
  <c r="AC70" i="10" s="1"/>
  <c r="AC71" i="10" s="1"/>
  <c r="AC66" i="7"/>
  <c r="AC67" i="7" s="1"/>
  <c r="AC68" i="7" s="1"/>
  <c r="AC69" i="7" s="1"/>
  <c r="AC70" i="7" s="1"/>
  <c r="AC71" i="7" s="1"/>
  <c r="AC12" i="10"/>
  <c r="AC13" i="10" s="1"/>
  <c r="AC14" i="10" s="1"/>
  <c r="AC15" i="10" s="1"/>
  <c r="AC16" i="10" s="1"/>
  <c r="AC17" i="10" s="1"/>
  <c r="AC18" i="10" s="1"/>
  <c r="AC19" i="10" s="1"/>
  <c r="AC20" i="10" s="1"/>
  <c r="AC21" i="10" s="1"/>
  <c r="AC22" i="10" s="1"/>
  <c r="AC23" i="10" s="1"/>
  <c r="AC24" i="10" s="1"/>
  <c r="AC25" i="10" s="1"/>
  <c r="AC26" i="10" s="1"/>
  <c r="AC27" i="10" s="1"/>
  <c r="AC28" i="10" s="1"/>
  <c r="AC29" i="10" s="1"/>
  <c r="AC30" i="10" s="1"/>
  <c r="AC12" i="7"/>
  <c r="AC13" i="7" s="1"/>
  <c r="AC14" i="7" s="1"/>
  <c r="AC15" i="7" s="1"/>
  <c r="AC16" i="7" s="1"/>
  <c r="AC17" i="7" s="1"/>
  <c r="AC18" i="7" s="1"/>
  <c r="AC19" i="7" s="1"/>
  <c r="N12" i="9"/>
  <c r="B12" i="8"/>
  <c r="N12" i="8"/>
  <c r="AC75" i="9"/>
  <c r="AC76" i="9" s="1"/>
  <c r="AC77" i="9" s="1"/>
  <c r="AC78" i="9" s="1"/>
  <c r="AC79" i="9" s="1"/>
  <c r="AC80" i="9" s="1"/>
  <c r="AC75" i="10"/>
  <c r="AC76" i="10" s="1"/>
  <c r="AC77" i="10" s="1"/>
  <c r="AC78" i="10" s="1"/>
  <c r="AC79" i="10" s="1"/>
  <c r="AC80" i="10" s="1"/>
  <c r="AC75" i="7"/>
  <c r="AC76" i="7" s="1"/>
  <c r="AC77" i="7" s="1"/>
  <c r="AC78" i="7" s="1"/>
  <c r="AC79" i="7" s="1"/>
  <c r="AC80" i="7" s="1"/>
  <c r="AC12" i="9"/>
  <c r="AC13" i="9" s="1"/>
  <c r="AC14" i="9" s="1"/>
  <c r="AC15" i="9" s="1"/>
  <c r="AC16" i="9" s="1"/>
  <c r="AC17" i="9" s="1"/>
  <c r="AC18" i="9" s="1"/>
  <c r="AC19" i="9" s="1"/>
  <c r="AC20" i="9" s="1"/>
  <c r="AC21" i="9" s="1"/>
  <c r="AC22" i="9" s="1"/>
  <c r="AC23" i="9" s="1"/>
  <c r="AC24" i="9" s="1"/>
  <c r="AC25" i="9" s="1"/>
  <c r="AC26" i="9" s="1"/>
  <c r="AC27" i="9" s="1"/>
  <c r="AC28" i="9" s="1"/>
  <c r="AC29" i="9" s="1"/>
  <c r="AC30" i="9" s="1"/>
  <c r="AC31" i="9" s="1"/>
  <c r="AC32" i="9" s="1"/>
  <c r="AC33" i="9" s="1"/>
  <c r="AC34" i="9" s="1"/>
  <c r="AC35" i="9" s="1"/>
  <c r="AC36" i="9" s="1"/>
  <c r="AC37" i="9" s="1"/>
  <c r="AC38" i="9" s="1"/>
  <c r="AC39" i="9" s="1"/>
  <c r="AC40" i="9" s="1"/>
  <c r="AC41" i="9" s="1"/>
  <c r="AC42" i="9" s="1"/>
  <c r="AC43" i="9" s="1"/>
  <c r="AC44" i="9" s="1"/>
  <c r="AC45" i="9" s="1"/>
  <c r="AC46" i="9" s="1"/>
  <c r="AC47" i="9" s="1"/>
  <c r="AC48" i="9" s="1"/>
  <c r="AC49" i="9" s="1"/>
  <c r="AC50" i="9" s="1"/>
  <c r="AC51" i="9" s="1"/>
  <c r="AC52" i="9" s="1"/>
  <c r="AC53" i="9" s="1"/>
  <c r="AC54" i="9" s="1"/>
  <c r="AC55" i="9" s="1"/>
  <c r="AC56" i="9" s="1"/>
  <c r="AC57" i="9" s="1"/>
  <c r="AC58" i="9" s="1"/>
  <c r="AC59" i="9" s="1"/>
  <c r="AC60" i="9" s="1"/>
  <c r="N15" i="10"/>
  <c r="N14" i="10"/>
  <c r="AC12" i="8"/>
  <c r="AC13" i="8" s="1"/>
  <c r="AC14" i="8" s="1"/>
  <c r="AC15" i="8" s="1"/>
  <c r="AC16" i="8" s="1"/>
  <c r="AC17" i="8" s="1"/>
  <c r="AC18" i="8" s="1"/>
  <c r="AC19" i="8" s="1"/>
  <c r="AC20" i="8" s="1"/>
  <c r="AC21" i="8" s="1"/>
  <c r="AC22" i="8" s="1"/>
  <c r="AC23" i="8" s="1"/>
  <c r="AC24" i="8" s="1"/>
  <c r="AC25" i="8" s="1"/>
  <c r="AC26" i="8" s="1"/>
  <c r="AC27" i="8" s="1"/>
  <c r="AC28" i="8" s="1"/>
  <c r="AC29" i="8" s="1"/>
  <c r="AC30" i="8" s="1"/>
  <c r="AC31" i="8" s="1"/>
  <c r="AC32" i="8" s="1"/>
  <c r="AC33" i="8" s="1"/>
  <c r="AC34" i="8" s="1"/>
  <c r="AC35" i="8" s="1"/>
  <c r="AC36" i="8" s="1"/>
  <c r="AC37" i="8" s="1"/>
  <c r="AC38" i="8" s="1"/>
  <c r="AC39" i="8" s="1"/>
  <c r="AC40" i="8" s="1"/>
  <c r="AC41" i="8" s="1"/>
  <c r="AC42" i="8" s="1"/>
  <c r="AC43" i="8" s="1"/>
  <c r="AC44" i="8" s="1"/>
  <c r="AC45" i="8" s="1"/>
  <c r="AC46" i="8" s="1"/>
  <c r="AC47" i="8" s="1"/>
  <c r="AC48" i="8" s="1"/>
  <c r="AC49" i="8" s="1"/>
  <c r="AC50" i="8" s="1"/>
  <c r="AC51" i="8" s="1"/>
  <c r="AC52" i="8" s="1"/>
  <c r="AC53" i="8" s="1"/>
  <c r="AC54" i="8" s="1"/>
  <c r="AC55" i="8" s="1"/>
  <c r="AC56" i="8" s="1"/>
  <c r="AC57" i="8" s="1"/>
  <c r="AC58" i="8" s="1"/>
  <c r="AC59" i="8" s="1"/>
  <c r="AC60" i="8" s="1"/>
  <c r="N17" i="10"/>
  <c r="N16" i="10"/>
  <c r="AE65" i="8"/>
  <c r="AG65" i="8" s="1"/>
  <c r="D161" i="3"/>
  <c r="AE14" i="8"/>
  <c r="AE71" i="8"/>
  <c r="AE69" i="8"/>
  <c r="I88" i="2"/>
  <c r="E88" i="2"/>
  <c r="H88" i="2"/>
  <c r="D88" i="2"/>
  <c r="F88" i="2"/>
  <c r="K88" i="2"/>
  <c r="G88" i="2"/>
  <c r="J88" i="2"/>
  <c r="I89" i="2"/>
  <c r="E89" i="2"/>
  <c r="F89" i="2"/>
  <c r="H89" i="2"/>
  <c r="D89" i="2"/>
  <c r="J89" i="2"/>
  <c r="K89" i="2"/>
  <c r="G89" i="2"/>
  <c r="I161" i="3"/>
  <c r="K70" i="2"/>
  <c r="E14" i="7"/>
  <c r="AE17" i="8"/>
  <c r="E13" i="7"/>
  <c r="F62" i="7"/>
  <c r="H62" i="7" s="1"/>
  <c r="AE79" i="8"/>
  <c r="AE70" i="8"/>
  <c r="M19" i="10"/>
  <c r="N19" i="10"/>
  <c r="A19" i="10"/>
  <c r="M19" i="9"/>
  <c r="A19" i="9"/>
  <c r="D70" i="2"/>
  <c r="J70" i="2"/>
  <c r="AE15" i="8"/>
  <c r="AE11" i="8"/>
  <c r="AG11" i="8" s="1"/>
  <c r="E12" i="7"/>
  <c r="E16" i="7"/>
  <c r="AE13" i="8"/>
  <c r="E15" i="7"/>
  <c r="E11" i="7"/>
  <c r="AE18" i="8"/>
  <c r="AE16" i="8"/>
  <c r="AE12" i="8"/>
  <c r="E18" i="10"/>
  <c r="A20" i="8"/>
  <c r="M20" i="8"/>
  <c r="M19" i="7"/>
  <c r="A19" i="7"/>
  <c r="AE19" i="9"/>
  <c r="AE19" i="8"/>
  <c r="E18" i="7"/>
  <c r="G161" i="4"/>
  <c r="E161" i="3"/>
  <c r="K161" i="3"/>
  <c r="E161" i="4"/>
  <c r="H161" i="3"/>
  <c r="G161" i="3"/>
  <c r="J161" i="3"/>
  <c r="A18" i="13"/>
  <c r="A570" i="13"/>
  <c r="H570" i="13" s="1"/>
  <c r="A254" i="13"/>
  <c r="H254" i="13" s="1"/>
  <c r="A491" i="13"/>
  <c r="H491" i="13" s="1"/>
  <c r="A412" i="13"/>
  <c r="H412" i="13" s="1"/>
  <c r="A333" i="13"/>
  <c r="H333" i="13" s="1"/>
  <c r="A175" i="13"/>
  <c r="H175" i="13" s="1"/>
  <c r="A96" i="13"/>
  <c r="H96" i="13" s="1"/>
  <c r="H17" i="13"/>
  <c r="D161" i="4"/>
  <c r="K161" i="4"/>
  <c r="I161" i="4"/>
  <c r="F161" i="4"/>
  <c r="H161" i="4"/>
  <c r="E70" i="2"/>
  <c r="A95" i="3"/>
  <c r="M160" i="5"/>
  <c r="D162" i="5" s="1"/>
  <c r="G13" i="10"/>
  <c r="H70" i="2"/>
  <c r="I70" i="2"/>
  <c r="G70" i="2"/>
  <c r="C21" i="2"/>
  <c r="M160" i="6"/>
  <c r="X12" i="9"/>
  <c r="B17" i="6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17" i="3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92" i="6"/>
  <c r="B93" i="6" s="1"/>
  <c r="B94" i="6" s="1"/>
  <c r="B95" i="6" s="1"/>
  <c r="B96" i="6" s="1"/>
  <c r="B97" i="6" s="1"/>
  <c r="B98" i="6" s="1"/>
  <c r="B76" i="6"/>
  <c r="B77" i="6" s="1"/>
  <c r="B78" i="6" s="1"/>
  <c r="B79" i="6" s="1"/>
  <c r="B80" i="6" s="1"/>
  <c r="B81" i="6" s="1"/>
  <c r="B82" i="6" s="1"/>
  <c r="B110" i="6"/>
  <c r="B76" i="3"/>
  <c r="B77" i="3" s="1"/>
  <c r="B78" i="3" s="1"/>
  <c r="B79" i="3" s="1"/>
  <c r="B80" i="3" s="1"/>
  <c r="B81" i="3" s="1"/>
  <c r="B82" i="3" s="1"/>
  <c r="A44" i="2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M160" i="3"/>
  <c r="D162" i="3" s="1"/>
  <c r="M160" i="4"/>
  <c r="E162" i="4" s="1"/>
  <c r="G68" i="4"/>
  <c r="E68" i="4"/>
  <c r="C112" i="6"/>
  <c r="G14" i="10"/>
  <c r="G12" i="9"/>
  <c r="AF12" i="9"/>
  <c r="AF12" i="8"/>
  <c r="G12" i="8"/>
  <c r="X12" i="8"/>
  <c r="AG75" i="8"/>
  <c r="AG66" i="8"/>
  <c r="G12" i="7"/>
  <c r="X12" i="7"/>
  <c r="A82" i="6"/>
  <c r="C82" i="6" s="1"/>
  <c r="C81" i="6"/>
  <c r="C111" i="5"/>
  <c r="A112" i="5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D68" i="4"/>
  <c r="H68" i="4"/>
  <c r="I68" i="4"/>
  <c r="K68" i="4"/>
  <c r="J68" i="4"/>
  <c r="C111" i="4"/>
  <c r="A112" i="4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9" i="3"/>
  <c r="C18" i="3"/>
  <c r="A79" i="3"/>
  <c r="C78" i="3"/>
  <c r="X13" i="10"/>
  <c r="K68" i="6"/>
  <c r="G68" i="6"/>
  <c r="H68" i="6"/>
  <c r="F68" i="6"/>
  <c r="E68" i="6"/>
  <c r="D68" i="6"/>
  <c r="J68" i="6"/>
  <c r="I68" i="6"/>
  <c r="C93" i="6"/>
  <c r="C19" i="6"/>
  <c r="C113" i="6"/>
  <c r="C78" i="5"/>
  <c r="C93" i="5"/>
  <c r="K68" i="5"/>
  <c r="G68" i="5"/>
  <c r="J68" i="5"/>
  <c r="E68" i="5"/>
  <c r="F68" i="5"/>
  <c r="I68" i="5"/>
  <c r="D68" i="5"/>
  <c r="H68" i="5"/>
  <c r="C19" i="5"/>
  <c r="C94" i="4"/>
  <c r="C77" i="4"/>
  <c r="C18" i="4"/>
  <c r="C111" i="3"/>
  <c r="G68" i="3"/>
  <c r="K68" i="3"/>
  <c r="D68" i="3"/>
  <c r="H68" i="3"/>
  <c r="E68" i="3"/>
  <c r="I68" i="3"/>
  <c r="J68" i="3"/>
  <c r="F68" i="3"/>
  <c r="C22" i="2"/>
  <c r="I86" i="1"/>
  <c r="H87" i="1"/>
  <c r="B90" i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AE71" i="10" l="1"/>
  <c r="AG80" i="10"/>
  <c r="AG79" i="10"/>
  <c r="AG69" i="10"/>
  <c r="A44" i="6"/>
  <c r="E17" i="10"/>
  <c r="E13" i="10"/>
  <c r="AE70" i="10"/>
  <c r="AG77" i="9"/>
  <c r="A98" i="5"/>
  <c r="AE80" i="9" s="1"/>
  <c r="AG12" i="9"/>
  <c r="AG76" i="9"/>
  <c r="AG11" i="9"/>
  <c r="AE79" i="9"/>
  <c r="AG75" i="9"/>
  <c r="AE78" i="9"/>
  <c r="AG74" i="9"/>
  <c r="AC20" i="7"/>
  <c r="B20" i="10"/>
  <c r="AB20" i="7"/>
  <c r="AC21" i="7" s="1"/>
  <c r="AF19" i="7"/>
  <c r="B13" i="9"/>
  <c r="N13" i="9"/>
  <c r="N13" i="7"/>
  <c r="B13" i="7"/>
  <c r="N13" i="8"/>
  <c r="B13" i="8"/>
  <c r="G162" i="5"/>
  <c r="AG12" i="8"/>
  <c r="I91" i="2"/>
  <c r="E91" i="2"/>
  <c r="J91" i="2"/>
  <c r="H91" i="2"/>
  <c r="D91" i="2"/>
  <c r="K91" i="2"/>
  <c r="G91" i="2"/>
  <c r="F91" i="2"/>
  <c r="M20" i="2"/>
  <c r="M19" i="2"/>
  <c r="I90" i="2"/>
  <c r="E90" i="2"/>
  <c r="J90" i="2"/>
  <c r="H90" i="2"/>
  <c r="D90" i="2"/>
  <c r="K90" i="2"/>
  <c r="G90" i="2"/>
  <c r="F90" i="2"/>
  <c r="A20" i="9"/>
  <c r="M20" i="9"/>
  <c r="D18" i="8"/>
  <c r="D15" i="10"/>
  <c r="F15" i="10" s="1"/>
  <c r="L14" i="16" s="1"/>
  <c r="D15" i="9"/>
  <c r="D13" i="10"/>
  <c r="D13" i="8"/>
  <c r="D12" i="10"/>
  <c r="F12" i="10" s="1"/>
  <c r="L11" i="16" s="1"/>
  <c r="D12" i="8"/>
  <c r="D11" i="9"/>
  <c r="D11" i="8"/>
  <c r="D19" i="9"/>
  <c r="D17" i="7"/>
  <c r="F17" i="7" s="1"/>
  <c r="C16" i="16" s="1"/>
  <c r="D18" i="9"/>
  <c r="D16" i="10"/>
  <c r="F16" i="10" s="1"/>
  <c r="L15" i="16" s="1"/>
  <c r="D17" i="8"/>
  <c r="D14" i="7"/>
  <c r="F14" i="7" s="1"/>
  <c r="C13" i="16" s="1"/>
  <c r="D13" i="7"/>
  <c r="F13" i="7" s="1"/>
  <c r="C12" i="16" s="1"/>
  <c r="O11" i="10"/>
  <c r="M20" i="10"/>
  <c r="N20" i="10"/>
  <c r="A20" i="10"/>
  <c r="D17" i="10"/>
  <c r="F17" i="10" s="1"/>
  <c r="L16" i="16" s="1"/>
  <c r="D19" i="8"/>
  <c r="D16" i="7"/>
  <c r="F16" i="7" s="1"/>
  <c r="C15" i="16" s="1"/>
  <c r="D16" i="8"/>
  <c r="D15" i="8"/>
  <c r="D14" i="9"/>
  <c r="D12" i="7"/>
  <c r="F12" i="7" s="1"/>
  <c r="C11" i="16" s="1"/>
  <c r="D12" i="9"/>
  <c r="O11" i="7"/>
  <c r="D17" i="9"/>
  <c r="D18" i="10"/>
  <c r="F18" i="10" s="1"/>
  <c r="L17" i="16" s="1"/>
  <c r="D18" i="7"/>
  <c r="F18" i="7" s="1"/>
  <c r="C17" i="16" s="1"/>
  <c r="D20" i="8"/>
  <c r="D15" i="7"/>
  <c r="F15" i="7" s="1"/>
  <c r="C14" i="16" s="1"/>
  <c r="D16" i="9"/>
  <c r="D14" i="10"/>
  <c r="F14" i="10" s="1"/>
  <c r="L13" i="16" s="1"/>
  <c r="D14" i="8"/>
  <c r="D13" i="9"/>
  <c r="D11" i="7"/>
  <c r="D11" i="10"/>
  <c r="F11" i="10" s="1"/>
  <c r="AE76" i="7"/>
  <c r="AE67" i="7"/>
  <c r="E19" i="10"/>
  <c r="M21" i="8"/>
  <c r="A21" i="8"/>
  <c r="A20" i="7"/>
  <c r="M20" i="7"/>
  <c r="D19" i="10"/>
  <c r="AE20" i="9"/>
  <c r="AE20" i="8"/>
  <c r="D21" i="8"/>
  <c r="E19" i="7"/>
  <c r="D19" i="7"/>
  <c r="A19" i="13"/>
  <c r="A334" i="13"/>
  <c r="H334" i="13" s="1"/>
  <c r="A571" i="13"/>
  <c r="H571" i="13" s="1"/>
  <c r="A255" i="13"/>
  <c r="H255" i="13" s="1"/>
  <c r="A492" i="13"/>
  <c r="H492" i="13" s="1"/>
  <c r="A413" i="13"/>
  <c r="H413" i="13" s="1"/>
  <c r="A176" i="13"/>
  <c r="H176" i="13" s="1"/>
  <c r="A97" i="13"/>
  <c r="H97" i="13" s="1"/>
  <c r="H18" i="13"/>
  <c r="I162" i="5"/>
  <c r="X13" i="7"/>
  <c r="G13" i="7"/>
  <c r="B110" i="3"/>
  <c r="B191" i="3" s="1"/>
  <c r="B17" i="4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92" i="3"/>
  <c r="B93" i="3" s="1"/>
  <c r="B94" i="3" s="1"/>
  <c r="B95" i="3" s="1"/>
  <c r="B96" i="3" s="1"/>
  <c r="B97" i="3" s="1"/>
  <c r="B98" i="3" s="1"/>
  <c r="B110" i="4"/>
  <c r="B168" i="4" s="1"/>
  <c r="B76" i="4"/>
  <c r="B77" i="4" s="1"/>
  <c r="B78" i="4" s="1"/>
  <c r="B79" i="4" s="1"/>
  <c r="B80" i="4" s="1"/>
  <c r="B81" i="4" s="1"/>
  <c r="B82" i="4" s="1"/>
  <c r="B17" i="5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E86" i="1"/>
  <c r="B76" i="5"/>
  <c r="B77" i="5" s="1"/>
  <c r="B78" i="5" s="1"/>
  <c r="B79" i="5" s="1"/>
  <c r="B80" i="5" s="1"/>
  <c r="B81" i="5" s="1"/>
  <c r="B82" i="5" s="1"/>
  <c r="B92" i="4"/>
  <c r="B93" i="4" s="1"/>
  <c r="B94" i="4" s="1"/>
  <c r="B95" i="4" s="1"/>
  <c r="B96" i="4" s="1"/>
  <c r="B97" i="4" s="1"/>
  <c r="B98" i="4" s="1"/>
  <c r="B19" i="2"/>
  <c r="B20" i="2" s="1"/>
  <c r="B110" i="5"/>
  <c r="B168" i="5" s="1"/>
  <c r="B92" i="5"/>
  <c r="B93" i="5" s="1"/>
  <c r="B94" i="5" s="1"/>
  <c r="B95" i="5" s="1"/>
  <c r="B96" i="5" s="1"/>
  <c r="B97" i="5" s="1"/>
  <c r="B98" i="5" s="1"/>
  <c r="K162" i="5"/>
  <c r="H162" i="5"/>
  <c r="J162" i="5"/>
  <c r="E162" i="5"/>
  <c r="C95" i="3"/>
  <c r="A96" i="3"/>
  <c r="AE77" i="7" s="1"/>
  <c r="F162" i="5"/>
  <c r="AF13" i="10"/>
  <c r="C112" i="4"/>
  <c r="K162" i="4"/>
  <c r="I162" i="4"/>
  <c r="F162" i="3"/>
  <c r="E162" i="3"/>
  <c r="I162" i="3"/>
  <c r="K162" i="3"/>
  <c r="F162" i="4"/>
  <c r="D162" i="4"/>
  <c r="B191" i="6"/>
  <c r="B168" i="6"/>
  <c r="B111" i="6"/>
  <c r="H162" i="3"/>
  <c r="G162" i="3"/>
  <c r="J162" i="4"/>
  <c r="H162" i="4"/>
  <c r="C112" i="5"/>
  <c r="A135" i="4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X13" i="8"/>
  <c r="A135" i="5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J162" i="3"/>
  <c r="G162" i="4"/>
  <c r="G15" i="10"/>
  <c r="G13" i="9"/>
  <c r="X13" i="9"/>
  <c r="AF13" i="9"/>
  <c r="AG13" i="9" s="1"/>
  <c r="AG76" i="8"/>
  <c r="AF13" i="8"/>
  <c r="AG13" i="8" s="1"/>
  <c r="G13" i="8"/>
  <c r="AG67" i="8"/>
  <c r="AG67" i="7"/>
  <c r="A80" i="3"/>
  <c r="AE68" i="7" s="1"/>
  <c r="C79" i="3"/>
  <c r="A20" i="3"/>
  <c r="C19" i="3"/>
  <c r="X14" i="10"/>
  <c r="C20" i="6"/>
  <c r="C94" i="6"/>
  <c r="C114" i="6"/>
  <c r="C94" i="5"/>
  <c r="C79" i="5"/>
  <c r="C113" i="5"/>
  <c r="C20" i="5"/>
  <c r="C95" i="4"/>
  <c r="C19" i="4"/>
  <c r="C78" i="4"/>
  <c r="C113" i="4"/>
  <c r="C112" i="3"/>
  <c r="C23" i="2"/>
  <c r="H88" i="1"/>
  <c r="I87" i="1"/>
  <c r="F19" i="10" l="1"/>
  <c r="L18" i="16" s="1"/>
  <c r="F13" i="10"/>
  <c r="L12" i="16" s="1"/>
  <c r="H11" i="10"/>
  <c r="O12" i="10"/>
  <c r="P11" i="10"/>
  <c r="Q11" i="10"/>
  <c r="H14" i="10"/>
  <c r="AG70" i="10"/>
  <c r="AG71" i="10"/>
  <c r="H12" i="10"/>
  <c r="H15" i="10"/>
  <c r="A45" i="6"/>
  <c r="AG80" i="9"/>
  <c r="E12" i="9"/>
  <c r="F12" i="9" s="1"/>
  <c r="I11" i="16" s="1"/>
  <c r="E15" i="9"/>
  <c r="F15" i="9" s="1"/>
  <c r="I14" i="16" s="1"/>
  <c r="E11" i="9"/>
  <c r="F11" i="9" s="1"/>
  <c r="E19" i="9"/>
  <c r="F19" i="9" s="1"/>
  <c r="I18" i="16" s="1"/>
  <c r="E18" i="9"/>
  <c r="F18" i="9" s="1"/>
  <c r="I17" i="16" s="1"/>
  <c r="E14" i="9"/>
  <c r="AG78" i="9"/>
  <c r="E16" i="9"/>
  <c r="F16" i="9" s="1"/>
  <c r="I15" i="16" s="1"/>
  <c r="AG79" i="9"/>
  <c r="F14" i="9"/>
  <c r="I13" i="16" s="1"/>
  <c r="E17" i="9"/>
  <c r="F17" i="9" s="1"/>
  <c r="I16" i="16" s="1"/>
  <c r="E13" i="9"/>
  <c r="F13" i="9" s="1"/>
  <c r="I12" i="16" s="1"/>
  <c r="H12" i="7"/>
  <c r="B21" i="10"/>
  <c r="AB21" i="7"/>
  <c r="AC22" i="7" s="1"/>
  <c r="AF20" i="7"/>
  <c r="N14" i="7"/>
  <c r="B14" i="7"/>
  <c r="N14" i="8"/>
  <c r="B14" i="8"/>
  <c r="N14" i="9"/>
  <c r="B14" i="9"/>
  <c r="AG76" i="7"/>
  <c r="E20" i="9"/>
  <c r="I92" i="2"/>
  <c r="E92" i="2"/>
  <c r="H92" i="2"/>
  <c r="D92" i="2"/>
  <c r="F92" i="2"/>
  <c r="K92" i="2"/>
  <c r="G92" i="2"/>
  <c r="J92" i="2"/>
  <c r="D20" i="9"/>
  <c r="M22" i="2"/>
  <c r="M21" i="2"/>
  <c r="F19" i="7"/>
  <c r="C18" i="16" s="1"/>
  <c r="O11" i="9"/>
  <c r="O11" i="8"/>
  <c r="P11" i="8" s="1"/>
  <c r="H13" i="7"/>
  <c r="P11" i="7"/>
  <c r="Q11" i="7"/>
  <c r="F11" i="7"/>
  <c r="A21" i="9"/>
  <c r="M21" i="9"/>
  <c r="M21" i="10"/>
  <c r="A21" i="10"/>
  <c r="N21" i="10"/>
  <c r="E18" i="8"/>
  <c r="F18" i="8" s="1"/>
  <c r="F17" i="16" s="1"/>
  <c r="E13" i="8"/>
  <c r="F13" i="8" s="1"/>
  <c r="F12" i="16" s="1"/>
  <c r="E16" i="8"/>
  <c r="F16" i="8" s="1"/>
  <c r="F15" i="16" s="1"/>
  <c r="E14" i="8"/>
  <c r="F14" i="8" s="1"/>
  <c r="F13" i="16" s="1"/>
  <c r="E17" i="8"/>
  <c r="F17" i="8" s="1"/>
  <c r="F16" i="16" s="1"/>
  <c r="E11" i="8"/>
  <c r="AG77" i="7"/>
  <c r="E19" i="8"/>
  <c r="F19" i="8" s="1"/>
  <c r="F18" i="16" s="1"/>
  <c r="E15" i="8"/>
  <c r="F15" i="8" s="1"/>
  <c r="F14" i="16" s="1"/>
  <c r="E12" i="8"/>
  <c r="F12" i="8" s="1"/>
  <c r="F11" i="16" s="1"/>
  <c r="E20" i="8"/>
  <c r="F20" i="8" s="1"/>
  <c r="F19" i="16" s="1"/>
  <c r="B191" i="5"/>
  <c r="E20" i="10"/>
  <c r="A22" i="8"/>
  <c r="M22" i="8"/>
  <c r="E21" i="8"/>
  <c r="F21" i="8" s="1"/>
  <c r="F20" i="16" s="1"/>
  <c r="M21" i="7"/>
  <c r="A21" i="7"/>
  <c r="D20" i="10"/>
  <c r="AE21" i="9"/>
  <c r="AE21" i="8"/>
  <c r="E20" i="7"/>
  <c r="D20" i="7"/>
  <c r="B111" i="5"/>
  <c r="B112" i="5" s="1"/>
  <c r="A20" i="13"/>
  <c r="A414" i="13"/>
  <c r="H414" i="13" s="1"/>
  <c r="A335" i="13"/>
  <c r="H335" i="13" s="1"/>
  <c r="A572" i="13"/>
  <c r="H572" i="13" s="1"/>
  <c r="A493" i="13"/>
  <c r="H493" i="13" s="1"/>
  <c r="A177" i="13"/>
  <c r="H177" i="13" s="1"/>
  <c r="A256" i="13"/>
  <c r="H256" i="13" s="1"/>
  <c r="A98" i="13"/>
  <c r="H98" i="13" s="1"/>
  <c r="H19" i="13"/>
  <c r="B111" i="3"/>
  <c r="B192" i="3" s="1"/>
  <c r="B168" i="3"/>
  <c r="B111" i="4"/>
  <c r="B192" i="4" s="1"/>
  <c r="B191" i="4"/>
  <c r="X14" i="7"/>
  <c r="G14" i="7"/>
  <c r="H14" i="7" s="1"/>
  <c r="B77" i="2"/>
  <c r="B62" i="9" s="1"/>
  <c r="B88" i="2"/>
  <c r="C96" i="3"/>
  <c r="A97" i="3"/>
  <c r="AF14" i="10"/>
  <c r="B21" i="2"/>
  <c r="B89" i="2"/>
  <c r="B112" i="6"/>
  <c r="B192" i="6"/>
  <c r="G16" i="10"/>
  <c r="H16" i="10" s="1"/>
  <c r="AF14" i="9"/>
  <c r="AG14" i="9" s="1"/>
  <c r="G14" i="9"/>
  <c r="X14" i="9"/>
  <c r="G14" i="8"/>
  <c r="AG68" i="8"/>
  <c r="AF14" i="8"/>
  <c r="AG14" i="8" s="1"/>
  <c r="AG77" i="8"/>
  <c r="X14" i="8"/>
  <c r="AG68" i="7"/>
  <c r="A21" i="3"/>
  <c r="C20" i="3"/>
  <c r="A81" i="3"/>
  <c r="C80" i="3"/>
  <c r="X15" i="10"/>
  <c r="C95" i="6"/>
  <c r="C115" i="6"/>
  <c r="C21" i="6"/>
  <c r="C21" i="5"/>
  <c r="C80" i="5"/>
  <c r="C114" i="5"/>
  <c r="C95" i="5"/>
  <c r="C20" i="4"/>
  <c r="C114" i="4"/>
  <c r="C79" i="4"/>
  <c r="C96" i="4"/>
  <c r="C113" i="3"/>
  <c r="C24" i="2"/>
  <c r="H89" i="1"/>
  <c r="I88" i="1"/>
  <c r="H13" i="10" l="1"/>
  <c r="F20" i="9"/>
  <c r="I19" i="16" s="1"/>
  <c r="H13" i="8"/>
  <c r="F20" i="10"/>
  <c r="L19" i="16" s="1"/>
  <c r="O13" i="10"/>
  <c r="Q12" i="10"/>
  <c r="P12" i="10"/>
  <c r="R11" i="10"/>
  <c r="A46" i="6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H13" i="9"/>
  <c r="H12" i="9"/>
  <c r="H14" i="9"/>
  <c r="H11" i="9"/>
  <c r="O12" i="9"/>
  <c r="P11" i="9"/>
  <c r="Q11" i="9"/>
  <c r="Q11" i="8"/>
  <c r="R11" i="8" s="1"/>
  <c r="S11" i="8" s="1"/>
  <c r="H11" i="7"/>
  <c r="B22" i="10"/>
  <c r="AB22" i="7"/>
  <c r="AC23" i="7" s="1"/>
  <c r="AF21" i="7"/>
  <c r="N15" i="8"/>
  <c r="B15" i="8"/>
  <c r="B15" i="9"/>
  <c r="N15" i="9"/>
  <c r="N15" i="7"/>
  <c r="B15" i="7"/>
  <c r="I93" i="2"/>
  <c r="E93" i="2"/>
  <c r="F93" i="2"/>
  <c r="H93" i="2"/>
  <c r="D93" i="2"/>
  <c r="K93" i="2"/>
  <c r="G93" i="2"/>
  <c r="J93" i="2"/>
  <c r="M23" i="2"/>
  <c r="F20" i="7"/>
  <c r="C19" i="16" s="1"/>
  <c r="B62" i="10"/>
  <c r="M22" i="9"/>
  <c r="A22" i="9"/>
  <c r="E22" i="9" s="1"/>
  <c r="B62" i="7"/>
  <c r="H14" i="8"/>
  <c r="M22" i="10"/>
  <c r="N22" i="10"/>
  <c r="A22" i="10"/>
  <c r="H12" i="8"/>
  <c r="F11" i="8"/>
  <c r="R11" i="7"/>
  <c r="B62" i="8"/>
  <c r="AE69" i="7"/>
  <c r="B112" i="3"/>
  <c r="B193" i="3" s="1"/>
  <c r="AE78" i="7"/>
  <c r="AG78" i="7" s="1"/>
  <c r="E21" i="10"/>
  <c r="D21" i="9"/>
  <c r="E21" i="9"/>
  <c r="M23" i="8"/>
  <c r="A23" i="8"/>
  <c r="E22" i="8"/>
  <c r="D22" i="8"/>
  <c r="A22" i="7"/>
  <c r="M22" i="7"/>
  <c r="D21" i="10"/>
  <c r="AE22" i="9"/>
  <c r="AE22" i="8"/>
  <c r="D21" i="7"/>
  <c r="E21" i="7"/>
  <c r="B192" i="5"/>
  <c r="A21" i="13"/>
  <c r="A494" i="13"/>
  <c r="H494" i="13" s="1"/>
  <c r="A415" i="13"/>
  <c r="H415" i="13" s="1"/>
  <c r="A336" i="13"/>
  <c r="H336" i="13" s="1"/>
  <c r="A573" i="13"/>
  <c r="H573" i="13" s="1"/>
  <c r="A257" i="13"/>
  <c r="H257" i="13" s="1"/>
  <c r="A99" i="13"/>
  <c r="H99" i="13" s="1"/>
  <c r="A178" i="13"/>
  <c r="H178" i="13" s="1"/>
  <c r="H20" i="13"/>
  <c r="B112" i="4"/>
  <c r="B193" i="4" s="1"/>
  <c r="X15" i="7"/>
  <c r="G15" i="7"/>
  <c r="H15" i="7" s="1"/>
  <c r="AF15" i="10"/>
  <c r="C97" i="3"/>
  <c r="A98" i="3"/>
  <c r="C98" i="3" s="1"/>
  <c r="B193" i="6"/>
  <c r="B113" i="6"/>
  <c r="B22" i="2"/>
  <c r="B90" i="2"/>
  <c r="B193" i="5"/>
  <c r="B113" i="5"/>
  <c r="AF16" i="10"/>
  <c r="G17" i="10"/>
  <c r="H17" i="10" s="1"/>
  <c r="G15" i="9"/>
  <c r="H15" i="9" s="1"/>
  <c r="X15" i="9"/>
  <c r="AF15" i="9"/>
  <c r="AG15" i="9" s="1"/>
  <c r="G15" i="8"/>
  <c r="H15" i="8" s="1"/>
  <c r="X15" i="8"/>
  <c r="AG78" i="8"/>
  <c r="AG69" i="8"/>
  <c r="AF15" i="8"/>
  <c r="AG15" i="8" s="1"/>
  <c r="G16" i="7"/>
  <c r="H16" i="7" s="1"/>
  <c r="C21" i="3"/>
  <c r="A22" i="3"/>
  <c r="A82" i="3"/>
  <c r="C82" i="3" s="1"/>
  <c r="C81" i="3"/>
  <c r="X16" i="10"/>
  <c r="C116" i="6"/>
  <c r="C22" i="6"/>
  <c r="C96" i="6"/>
  <c r="C115" i="5"/>
  <c r="C22" i="5"/>
  <c r="C96" i="5"/>
  <c r="C82" i="5"/>
  <c r="C81" i="5"/>
  <c r="C80" i="4"/>
  <c r="C21" i="4"/>
  <c r="C98" i="4"/>
  <c r="C97" i="4"/>
  <c r="C115" i="4"/>
  <c r="C114" i="3"/>
  <c r="C25" i="2"/>
  <c r="H90" i="1"/>
  <c r="I89" i="1"/>
  <c r="F21" i="10" l="1"/>
  <c r="L20" i="16" s="1"/>
  <c r="R12" i="10"/>
  <c r="F21" i="9"/>
  <c r="I20" i="16" s="1"/>
  <c r="H11" i="8"/>
  <c r="R11" i="9"/>
  <c r="S11" i="9" s="1"/>
  <c r="S12" i="10"/>
  <c r="AE19" i="10"/>
  <c r="AE20" i="10"/>
  <c r="AE15" i="10"/>
  <c r="AG15" i="10" s="1"/>
  <c r="AE11" i="10"/>
  <c r="S11" i="10"/>
  <c r="AE18" i="10"/>
  <c r="AE13" i="10"/>
  <c r="AG13" i="10" s="1"/>
  <c r="AE17" i="10"/>
  <c r="AE22" i="10"/>
  <c r="AE16" i="10"/>
  <c r="AG16" i="10" s="1"/>
  <c r="AE12" i="10"/>
  <c r="AE21" i="10"/>
  <c r="O14" i="10"/>
  <c r="Q13" i="10"/>
  <c r="P13" i="10"/>
  <c r="O13" i="9"/>
  <c r="P12" i="9"/>
  <c r="R12" i="9" s="1"/>
  <c r="Q12" i="9"/>
  <c r="AE66" i="7"/>
  <c r="AG66" i="7" s="1"/>
  <c r="AE75" i="7"/>
  <c r="AG75" i="7" s="1"/>
  <c r="B23" i="10"/>
  <c r="D22" i="9"/>
  <c r="F22" i="9" s="1"/>
  <c r="I21" i="16" s="1"/>
  <c r="AB23" i="7"/>
  <c r="AC24" i="7" s="1"/>
  <c r="AF22" i="7"/>
  <c r="N16" i="9"/>
  <c r="B16" i="9"/>
  <c r="B16" i="7"/>
  <c r="N16" i="7"/>
  <c r="N16" i="8"/>
  <c r="B16" i="8"/>
  <c r="AE74" i="7"/>
  <c r="AG74" i="7" s="1"/>
  <c r="AE65" i="7"/>
  <c r="AG65" i="7" s="1"/>
  <c r="B113" i="3"/>
  <c r="B194" i="3" s="1"/>
  <c r="I94" i="2"/>
  <c r="E94" i="2"/>
  <c r="F94" i="2"/>
  <c r="H94" i="2"/>
  <c r="D94" i="2"/>
  <c r="J94" i="2"/>
  <c r="K94" i="2"/>
  <c r="G94" i="2"/>
  <c r="M24" i="2"/>
  <c r="D23" i="8"/>
  <c r="E23" i="8"/>
  <c r="F22" i="8"/>
  <c r="F21" i="16" s="1"/>
  <c r="F21" i="7"/>
  <c r="C20" i="16" s="1"/>
  <c r="A23" i="10"/>
  <c r="M23" i="10"/>
  <c r="F22" i="10"/>
  <c r="L21" i="16" s="1"/>
  <c r="N23" i="10"/>
  <c r="S11" i="7"/>
  <c r="AG69" i="7"/>
  <c r="M23" i="9"/>
  <c r="A23" i="9"/>
  <c r="AE79" i="7"/>
  <c r="AG79" i="7" s="1"/>
  <c r="AE71" i="7"/>
  <c r="AE70" i="7"/>
  <c r="AE80" i="7"/>
  <c r="B113" i="4"/>
  <c r="B114" i="4" s="1"/>
  <c r="E22" i="10"/>
  <c r="A24" i="8"/>
  <c r="M24" i="8"/>
  <c r="M23" i="7"/>
  <c r="A23" i="7"/>
  <c r="AE23" i="10"/>
  <c r="D22" i="10"/>
  <c r="AE23" i="9"/>
  <c r="AE23" i="8"/>
  <c r="D22" i="7"/>
  <c r="E22" i="7"/>
  <c r="A22" i="13"/>
  <c r="A574" i="13"/>
  <c r="H574" i="13" s="1"/>
  <c r="A258" i="13"/>
  <c r="H258" i="13" s="1"/>
  <c r="A495" i="13"/>
  <c r="H495" i="13" s="1"/>
  <c r="A416" i="13"/>
  <c r="H416" i="13" s="1"/>
  <c r="A179" i="13"/>
  <c r="H179" i="13" s="1"/>
  <c r="A337" i="13"/>
  <c r="H337" i="13" s="1"/>
  <c r="A100" i="13"/>
  <c r="H100" i="13" s="1"/>
  <c r="H21" i="13"/>
  <c r="X16" i="8"/>
  <c r="B194" i="6"/>
  <c r="B114" i="6"/>
  <c r="B114" i="5"/>
  <c r="B194" i="5"/>
  <c r="B91" i="2"/>
  <c r="B23" i="2"/>
  <c r="G18" i="10"/>
  <c r="H18" i="10" s="1"/>
  <c r="AF17" i="10"/>
  <c r="AF16" i="9"/>
  <c r="AG16" i="9" s="1"/>
  <c r="G16" i="9"/>
  <c r="H16" i="9" s="1"/>
  <c r="X16" i="9"/>
  <c r="AG70" i="8"/>
  <c r="AG79" i="8"/>
  <c r="AF16" i="8"/>
  <c r="AG16" i="8" s="1"/>
  <c r="G16" i="8"/>
  <c r="AG70" i="7"/>
  <c r="X16" i="7"/>
  <c r="C22" i="3"/>
  <c r="A23" i="3"/>
  <c r="X17" i="10"/>
  <c r="C97" i="6"/>
  <c r="C98" i="6"/>
  <c r="C117" i="6"/>
  <c r="C23" i="6"/>
  <c r="C23" i="5"/>
  <c r="C97" i="5"/>
  <c r="C98" i="5"/>
  <c r="C116" i="5"/>
  <c r="C81" i="4"/>
  <c r="C82" i="4"/>
  <c r="C116" i="4"/>
  <c r="C22" i="4"/>
  <c r="C115" i="3"/>
  <c r="C26" i="2"/>
  <c r="H91" i="1"/>
  <c r="I90" i="1"/>
  <c r="B114" i="3" l="1"/>
  <c r="F23" i="8"/>
  <c r="F22" i="16" s="1"/>
  <c r="AG12" i="10"/>
  <c r="O15" i="10"/>
  <c r="P14" i="10"/>
  <c r="R14" i="10" s="1"/>
  <c r="Q14" i="10"/>
  <c r="AG11" i="10"/>
  <c r="R13" i="10"/>
  <c r="AG17" i="10"/>
  <c r="S12" i="9"/>
  <c r="O14" i="9"/>
  <c r="Q13" i="9"/>
  <c r="P13" i="9"/>
  <c r="B24" i="10"/>
  <c r="AB24" i="7"/>
  <c r="AF23" i="7"/>
  <c r="B17" i="7"/>
  <c r="N17" i="7"/>
  <c r="N17" i="8"/>
  <c r="B17" i="8"/>
  <c r="B17" i="9"/>
  <c r="N17" i="9"/>
  <c r="J95" i="2"/>
  <c r="I95" i="2"/>
  <c r="E95" i="2"/>
  <c r="K95" i="2"/>
  <c r="H95" i="2"/>
  <c r="D95" i="2"/>
  <c r="G95" i="2"/>
  <c r="F95" i="2"/>
  <c r="M25" i="2"/>
  <c r="AG80" i="7"/>
  <c r="B194" i="4"/>
  <c r="F22" i="7"/>
  <c r="C21" i="16" s="1"/>
  <c r="A24" i="9"/>
  <c r="D24" i="9" s="1"/>
  <c r="M24" i="9"/>
  <c r="H16" i="8"/>
  <c r="E23" i="9"/>
  <c r="A24" i="10"/>
  <c r="M24" i="10"/>
  <c r="N24" i="10"/>
  <c r="E23" i="10"/>
  <c r="D23" i="9"/>
  <c r="M25" i="8"/>
  <c r="A25" i="8"/>
  <c r="D25" i="8" s="1"/>
  <c r="E24" i="8"/>
  <c r="D24" i="8"/>
  <c r="A24" i="7"/>
  <c r="M24" i="7"/>
  <c r="D23" i="10"/>
  <c r="AE24" i="10"/>
  <c r="AE24" i="9"/>
  <c r="AE24" i="8"/>
  <c r="E23" i="7"/>
  <c r="D23" i="7"/>
  <c r="F23" i="7" s="1"/>
  <c r="C22" i="16" s="1"/>
  <c r="A23" i="13"/>
  <c r="A338" i="13"/>
  <c r="H338" i="13" s="1"/>
  <c r="A575" i="13"/>
  <c r="H575" i="13" s="1"/>
  <c r="A259" i="13"/>
  <c r="H259" i="13" s="1"/>
  <c r="A496" i="13"/>
  <c r="H496" i="13" s="1"/>
  <c r="A180" i="13"/>
  <c r="H180" i="13" s="1"/>
  <c r="A417" i="13"/>
  <c r="H417" i="13" s="1"/>
  <c r="A101" i="13"/>
  <c r="H101" i="13" s="1"/>
  <c r="H22" i="13"/>
  <c r="X17" i="7"/>
  <c r="G17" i="7"/>
  <c r="X17" i="8"/>
  <c r="B92" i="2"/>
  <c r="B24" i="2"/>
  <c r="B195" i="5"/>
  <c r="B115" i="5"/>
  <c r="B195" i="6"/>
  <c r="B115" i="6"/>
  <c r="B195" i="3"/>
  <c r="B115" i="3"/>
  <c r="B195" i="4"/>
  <c r="B115" i="4"/>
  <c r="G19" i="10"/>
  <c r="H19" i="10" s="1"/>
  <c r="AF18" i="10"/>
  <c r="AG18" i="10" s="1"/>
  <c r="G17" i="9"/>
  <c r="H17" i="9" s="1"/>
  <c r="X17" i="9"/>
  <c r="AF17" i="9"/>
  <c r="AG17" i="9" s="1"/>
  <c r="AF17" i="8"/>
  <c r="AG17" i="8" s="1"/>
  <c r="G17" i="8"/>
  <c r="AG80" i="8"/>
  <c r="AG71" i="8"/>
  <c r="AG71" i="7"/>
  <c r="G18" i="7"/>
  <c r="A24" i="3"/>
  <c r="C23" i="3"/>
  <c r="X18" i="10"/>
  <c r="C118" i="6"/>
  <c r="C24" i="6"/>
  <c r="C117" i="5"/>
  <c r="C24" i="5"/>
  <c r="C117" i="4"/>
  <c r="C23" i="4"/>
  <c r="C116" i="3"/>
  <c r="C27" i="2"/>
  <c r="H92" i="1"/>
  <c r="I91" i="1"/>
  <c r="F23" i="9" l="1"/>
  <c r="I22" i="16" s="1"/>
  <c r="F23" i="10"/>
  <c r="L22" i="16" s="1"/>
  <c r="R13" i="9"/>
  <c r="O16" i="10"/>
  <c r="Q15" i="10"/>
  <c r="P15" i="10"/>
  <c r="S13" i="10"/>
  <c r="S14" i="10"/>
  <c r="O15" i="9"/>
  <c r="Q14" i="9"/>
  <c r="P14" i="9"/>
  <c r="S13" i="9"/>
  <c r="F24" i="8"/>
  <c r="F23" i="16" s="1"/>
  <c r="B25" i="10"/>
  <c r="E24" i="9"/>
  <c r="AB25" i="7"/>
  <c r="AF24" i="7"/>
  <c r="AC25" i="7"/>
  <c r="N18" i="8"/>
  <c r="B18" i="8"/>
  <c r="B18" i="9"/>
  <c r="N18" i="9"/>
  <c r="N18" i="7"/>
  <c r="B18" i="7"/>
  <c r="M26" i="2"/>
  <c r="J96" i="2"/>
  <c r="F96" i="2"/>
  <c r="G96" i="2"/>
  <c r="K96" i="2"/>
  <c r="E96" i="2"/>
  <c r="H96" i="2"/>
  <c r="I96" i="2"/>
  <c r="D96" i="2"/>
  <c r="E25" i="8"/>
  <c r="F25" i="8" s="1"/>
  <c r="F24" i="16" s="1"/>
  <c r="A25" i="9"/>
  <c r="E25" i="9" s="1"/>
  <c r="M25" i="9"/>
  <c r="M25" i="10"/>
  <c r="A25" i="10"/>
  <c r="N25" i="10"/>
  <c r="H17" i="7"/>
  <c r="F24" i="9"/>
  <c r="I23" i="16" s="1"/>
  <c r="H18" i="7"/>
  <c r="H17" i="8"/>
  <c r="E24" i="10"/>
  <c r="A26" i="8"/>
  <c r="M26" i="8"/>
  <c r="M25" i="7"/>
  <c r="A25" i="7"/>
  <c r="D24" i="10"/>
  <c r="AE25" i="10"/>
  <c r="AE25" i="9"/>
  <c r="AE25" i="8"/>
  <c r="D24" i="7"/>
  <c r="E24" i="7"/>
  <c r="A24" i="13"/>
  <c r="A418" i="13"/>
  <c r="H418" i="13" s="1"/>
  <c r="A339" i="13"/>
  <c r="H339" i="13" s="1"/>
  <c r="A576" i="13"/>
  <c r="H576" i="13" s="1"/>
  <c r="A497" i="13"/>
  <c r="H497" i="13" s="1"/>
  <c r="A260" i="13"/>
  <c r="H260" i="13" s="1"/>
  <c r="A181" i="13"/>
  <c r="H181" i="13" s="1"/>
  <c r="A102" i="13"/>
  <c r="H102" i="13" s="1"/>
  <c r="H23" i="13"/>
  <c r="X18" i="8"/>
  <c r="B196" i="6"/>
  <c r="B116" i="6"/>
  <c r="B25" i="2"/>
  <c r="B93" i="2"/>
  <c r="B116" i="3"/>
  <c r="B196" i="3"/>
  <c r="B116" i="5"/>
  <c r="B196" i="5"/>
  <c r="B196" i="4"/>
  <c r="B116" i="4"/>
  <c r="G20" i="10"/>
  <c r="H20" i="10" s="1"/>
  <c r="AF19" i="10"/>
  <c r="AG19" i="10" s="1"/>
  <c r="G18" i="9"/>
  <c r="H18" i="9" s="1"/>
  <c r="X18" i="9"/>
  <c r="AF18" i="9"/>
  <c r="AG18" i="9" s="1"/>
  <c r="G18" i="8"/>
  <c r="AF18" i="8"/>
  <c r="AG18" i="8" s="1"/>
  <c r="X18" i="7"/>
  <c r="C24" i="3"/>
  <c r="A25" i="3"/>
  <c r="X19" i="10"/>
  <c r="C25" i="6"/>
  <c r="C119" i="6"/>
  <c r="C25" i="5"/>
  <c r="C118" i="5"/>
  <c r="C24" i="4"/>
  <c r="C118" i="4"/>
  <c r="C117" i="3"/>
  <c r="C28" i="2"/>
  <c r="H93" i="1"/>
  <c r="I92" i="1"/>
  <c r="R15" i="10" l="1"/>
  <c r="F24" i="10"/>
  <c r="L23" i="16" s="1"/>
  <c r="R14" i="9"/>
  <c r="O17" i="10"/>
  <c r="Q16" i="10"/>
  <c r="P16" i="10"/>
  <c r="S15" i="10"/>
  <c r="O16" i="9"/>
  <c r="Q15" i="9"/>
  <c r="P15" i="9"/>
  <c r="S14" i="9"/>
  <c r="AC26" i="7"/>
  <c r="B26" i="10"/>
  <c r="AB26" i="7"/>
  <c r="AF25" i="7"/>
  <c r="N19" i="9"/>
  <c r="B19" i="9"/>
  <c r="B19" i="7"/>
  <c r="N19" i="7"/>
  <c r="N19" i="8"/>
  <c r="B19" i="8"/>
  <c r="J97" i="2"/>
  <c r="F97" i="2"/>
  <c r="I97" i="2"/>
  <c r="D97" i="2"/>
  <c r="K97" i="2"/>
  <c r="H97" i="2"/>
  <c r="G97" i="2"/>
  <c r="E97" i="2"/>
  <c r="D25" i="9"/>
  <c r="M27" i="2"/>
  <c r="F24" i="7"/>
  <c r="C23" i="16" s="1"/>
  <c r="E26" i="8"/>
  <c r="H18" i="8"/>
  <c r="F25" i="9"/>
  <c r="I24" i="16" s="1"/>
  <c r="M26" i="10"/>
  <c r="N26" i="10"/>
  <c r="A26" i="10"/>
  <c r="M26" i="9"/>
  <c r="A26" i="9"/>
  <c r="K26" i="9" s="1"/>
  <c r="E25" i="10"/>
  <c r="M27" i="8"/>
  <c r="A27" i="8"/>
  <c r="Q27" i="8" s="1"/>
  <c r="Q26" i="8"/>
  <c r="P26" i="8"/>
  <c r="R26" i="8" s="1"/>
  <c r="D26" i="8"/>
  <c r="F26" i="8" s="1"/>
  <c r="F25" i="16" s="1"/>
  <c r="A26" i="7"/>
  <c r="M26" i="7"/>
  <c r="AJ26" i="10"/>
  <c r="AE26" i="10"/>
  <c r="AG26" i="10"/>
  <c r="D25" i="10"/>
  <c r="AE26" i="9"/>
  <c r="AJ26" i="9"/>
  <c r="AG26" i="9"/>
  <c r="AE26" i="8"/>
  <c r="D25" i="7"/>
  <c r="E25" i="7"/>
  <c r="A25" i="13"/>
  <c r="A498" i="13"/>
  <c r="H498" i="13" s="1"/>
  <c r="A419" i="13"/>
  <c r="H419" i="13" s="1"/>
  <c r="A340" i="13"/>
  <c r="H340" i="13" s="1"/>
  <c r="A103" i="13"/>
  <c r="H103" i="13" s="1"/>
  <c r="A577" i="13"/>
  <c r="H577" i="13" s="1"/>
  <c r="A261" i="13"/>
  <c r="H261" i="13" s="1"/>
  <c r="A182" i="13"/>
  <c r="H182" i="13" s="1"/>
  <c r="H24" i="13"/>
  <c r="X19" i="7"/>
  <c r="G19" i="7"/>
  <c r="X19" i="8"/>
  <c r="B117" i="4"/>
  <c r="B197" i="4"/>
  <c r="B117" i="6"/>
  <c r="B197" i="6"/>
  <c r="B117" i="3"/>
  <c r="B197" i="3"/>
  <c r="B117" i="5"/>
  <c r="B197" i="5"/>
  <c r="B94" i="2"/>
  <c r="B26" i="2"/>
  <c r="G21" i="10"/>
  <c r="H21" i="10" s="1"/>
  <c r="AF20" i="10"/>
  <c r="AG20" i="10" s="1"/>
  <c r="G19" i="9"/>
  <c r="H19" i="9" s="1"/>
  <c r="X19" i="9"/>
  <c r="AF19" i="9"/>
  <c r="AG19" i="9" s="1"/>
  <c r="AF19" i="8"/>
  <c r="AG19" i="8" s="1"/>
  <c r="G19" i="8"/>
  <c r="A26" i="3"/>
  <c r="C25" i="3"/>
  <c r="X20" i="10"/>
  <c r="C26" i="6"/>
  <c r="C120" i="6"/>
  <c r="C119" i="5"/>
  <c r="C26" i="5"/>
  <c r="C25" i="4"/>
  <c r="C119" i="4"/>
  <c r="C118" i="3"/>
  <c r="C29" i="2"/>
  <c r="H94" i="1"/>
  <c r="I93" i="1"/>
  <c r="F25" i="10" l="1"/>
  <c r="L24" i="16" s="1"/>
  <c r="R15" i="9"/>
  <c r="R16" i="10"/>
  <c r="O18" i="10"/>
  <c r="P17" i="10"/>
  <c r="Q17" i="10"/>
  <c r="S16" i="10"/>
  <c r="O17" i="9"/>
  <c r="Q16" i="9"/>
  <c r="P16" i="9"/>
  <c r="S15" i="9"/>
  <c r="F25" i="7"/>
  <c r="C24" i="16" s="1"/>
  <c r="B27" i="10"/>
  <c r="F26" i="9"/>
  <c r="I25" i="16" s="1"/>
  <c r="D26" i="9"/>
  <c r="E26" i="9"/>
  <c r="AB27" i="7"/>
  <c r="AF26" i="7"/>
  <c r="AC27" i="7"/>
  <c r="B20" i="7"/>
  <c r="N20" i="7"/>
  <c r="N20" i="8"/>
  <c r="B20" i="8"/>
  <c r="N20" i="9"/>
  <c r="B20" i="9"/>
  <c r="J98" i="2"/>
  <c r="F98" i="2"/>
  <c r="G98" i="2"/>
  <c r="K98" i="2"/>
  <c r="E98" i="2"/>
  <c r="I98" i="2"/>
  <c r="D98" i="2"/>
  <c r="H98" i="2"/>
  <c r="M28" i="2"/>
  <c r="H19" i="8"/>
  <c r="E27" i="8"/>
  <c r="T26" i="10"/>
  <c r="A27" i="10"/>
  <c r="N27" i="10"/>
  <c r="M27" i="10"/>
  <c r="R26" i="10"/>
  <c r="P26" i="10"/>
  <c r="H26" i="10"/>
  <c r="Q26" i="10"/>
  <c r="F26" i="10"/>
  <c r="L25" i="16" s="1"/>
  <c r="S26" i="10"/>
  <c r="K26" i="10"/>
  <c r="H19" i="7"/>
  <c r="M27" i="9"/>
  <c r="S26" i="9"/>
  <c r="A27" i="9"/>
  <c r="D27" i="9" s="1"/>
  <c r="R26" i="9"/>
  <c r="T26" i="9"/>
  <c r="P26" i="9"/>
  <c r="Q26" i="9"/>
  <c r="D27" i="8"/>
  <c r="F27" i="8" s="1"/>
  <c r="F26" i="16" s="1"/>
  <c r="P27" i="8"/>
  <c r="R27" i="8" s="1"/>
  <c r="H26" i="9"/>
  <c r="E26" i="10"/>
  <c r="A28" i="8"/>
  <c r="M28" i="8"/>
  <c r="M27" i="7"/>
  <c r="A27" i="7"/>
  <c r="D26" i="10"/>
  <c r="AJ27" i="10"/>
  <c r="AG27" i="10"/>
  <c r="AE27" i="10"/>
  <c r="AG27" i="9"/>
  <c r="AE27" i="9"/>
  <c r="AJ27" i="9"/>
  <c r="AE27" i="8"/>
  <c r="P26" i="7"/>
  <c r="Q26" i="7"/>
  <c r="D26" i="7"/>
  <c r="E26" i="7"/>
  <c r="F26" i="7" s="1"/>
  <c r="C25" i="16" s="1"/>
  <c r="A26" i="13"/>
  <c r="A578" i="13"/>
  <c r="H578" i="13" s="1"/>
  <c r="A262" i="13"/>
  <c r="H262" i="13" s="1"/>
  <c r="A499" i="13"/>
  <c r="H499" i="13" s="1"/>
  <c r="A420" i="13"/>
  <c r="H420" i="13" s="1"/>
  <c r="A183" i="13"/>
  <c r="H183" i="13" s="1"/>
  <c r="A104" i="13"/>
  <c r="H104" i="13" s="1"/>
  <c r="A341" i="13"/>
  <c r="H341" i="13" s="1"/>
  <c r="H25" i="13"/>
  <c r="X20" i="8"/>
  <c r="X20" i="7"/>
  <c r="G20" i="7"/>
  <c r="B198" i="5"/>
  <c r="B118" i="5"/>
  <c r="B118" i="6"/>
  <c r="B198" i="6"/>
  <c r="B95" i="2"/>
  <c r="B27" i="2"/>
  <c r="B118" i="4"/>
  <c r="B198" i="4"/>
  <c r="B118" i="3"/>
  <c r="B198" i="3"/>
  <c r="G22" i="10"/>
  <c r="H22" i="10" s="1"/>
  <c r="AF21" i="10"/>
  <c r="AG21" i="10" s="1"/>
  <c r="AF20" i="9"/>
  <c r="AG20" i="9" s="1"/>
  <c r="G20" i="9"/>
  <c r="H20" i="9" s="1"/>
  <c r="X20" i="9"/>
  <c r="G20" i="8"/>
  <c r="AF20" i="8"/>
  <c r="AG20" i="8" s="1"/>
  <c r="G21" i="7"/>
  <c r="A27" i="3"/>
  <c r="C26" i="3"/>
  <c r="X21" i="10"/>
  <c r="C121" i="6"/>
  <c r="C27" i="6"/>
  <c r="C120" i="5"/>
  <c r="C27" i="5"/>
  <c r="C120" i="4"/>
  <c r="C26" i="4"/>
  <c r="C119" i="3"/>
  <c r="C30" i="2"/>
  <c r="H95" i="1"/>
  <c r="I94" i="1"/>
  <c r="R17" i="10" l="1"/>
  <c r="S17" i="10"/>
  <c r="O19" i="10"/>
  <c r="P18" i="10"/>
  <c r="Q18" i="10"/>
  <c r="O18" i="9"/>
  <c r="Q17" i="9"/>
  <c r="P17" i="9"/>
  <c r="R17" i="9" s="1"/>
  <c r="R16" i="9"/>
  <c r="B28" i="10"/>
  <c r="AC28" i="7"/>
  <c r="AB28" i="7"/>
  <c r="AF27" i="7"/>
  <c r="B21" i="8"/>
  <c r="N21" i="8"/>
  <c r="B21" i="9"/>
  <c r="N21" i="9"/>
  <c r="B21" i="7"/>
  <c r="N21" i="7"/>
  <c r="M29" i="2"/>
  <c r="J99" i="2"/>
  <c r="F99" i="2"/>
  <c r="I99" i="2"/>
  <c r="D99" i="2"/>
  <c r="E99" i="2"/>
  <c r="H99" i="2"/>
  <c r="K99" i="2"/>
  <c r="G99" i="2"/>
  <c r="R26" i="7"/>
  <c r="S27" i="9"/>
  <c r="M28" i="9"/>
  <c r="A28" i="9"/>
  <c r="F28" i="9" s="1"/>
  <c r="I27" i="16" s="1"/>
  <c r="T27" i="9"/>
  <c r="Q27" i="9"/>
  <c r="P27" i="9"/>
  <c r="R27" i="9"/>
  <c r="Q27" i="10"/>
  <c r="A28" i="10"/>
  <c r="R27" i="10"/>
  <c r="S27" i="10"/>
  <c r="H27" i="10"/>
  <c r="M28" i="10"/>
  <c r="N28" i="10"/>
  <c r="F27" i="10"/>
  <c r="L26" i="16" s="1"/>
  <c r="P27" i="10"/>
  <c r="T27" i="10"/>
  <c r="K27" i="10"/>
  <c r="H20" i="7"/>
  <c r="Q28" i="8"/>
  <c r="F27" i="9"/>
  <c r="I26" i="16" s="1"/>
  <c r="H20" i="8"/>
  <c r="H21" i="7"/>
  <c r="P28" i="8"/>
  <c r="E27" i="10"/>
  <c r="H27" i="9"/>
  <c r="K27" i="9"/>
  <c r="E27" i="9"/>
  <c r="M29" i="8"/>
  <c r="A29" i="8"/>
  <c r="D28" i="8"/>
  <c r="E28" i="8"/>
  <c r="F28" i="8"/>
  <c r="F27" i="16" s="1"/>
  <c r="A28" i="7"/>
  <c r="M28" i="7"/>
  <c r="AJ28" i="10"/>
  <c r="AG28" i="10"/>
  <c r="AE28" i="10"/>
  <c r="D27" i="10"/>
  <c r="AJ28" i="9"/>
  <c r="AG28" i="9"/>
  <c r="AE28" i="9"/>
  <c r="AE28" i="8"/>
  <c r="Q27" i="7"/>
  <c r="E27" i="7"/>
  <c r="P27" i="7"/>
  <c r="D27" i="7"/>
  <c r="A27" i="13"/>
  <c r="A342" i="13"/>
  <c r="H342" i="13" s="1"/>
  <c r="A579" i="13"/>
  <c r="H579" i="13" s="1"/>
  <c r="A263" i="13"/>
  <c r="H263" i="13" s="1"/>
  <c r="A500" i="13"/>
  <c r="H500" i="13" s="1"/>
  <c r="A184" i="13"/>
  <c r="H184" i="13" s="1"/>
  <c r="A105" i="13"/>
  <c r="H105" i="13" s="1"/>
  <c r="A421" i="13"/>
  <c r="H421" i="13" s="1"/>
  <c r="H26" i="13"/>
  <c r="X21" i="8"/>
  <c r="B199" i="4"/>
  <c r="B119" i="4"/>
  <c r="B96" i="2"/>
  <c r="B28" i="2"/>
  <c r="B199" i="6"/>
  <c r="B119" i="6"/>
  <c r="B199" i="3"/>
  <c r="B119" i="3"/>
  <c r="B199" i="5"/>
  <c r="B119" i="5"/>
  <c r="AF22" i="10"/>
  <c r="AG22" i="10" s="1"/>
  <c r="G23" i="10"/>
  <c r="H23" i="10" s="1"/>
  <c r="AF21" i="9"/>
  <c r="AG21" i="9" s="1"/>
  <c r="G21" i="9"/>
  <c r="H21" i="9" s="1"/>
  <c r="X21" i="9"/>
  <c r="AF21" i="8"/>
  <c r="AG21" i="8" s="1"/>
  <c r="G21" i="8"/>
  <c r="G22" i="7"/>
  <c r="X21" i="7"/>
  <c r="A28" i="3"/>
  <c r="C27" i="3"/>
  <c r="X22" i="10"/>
  <c r="C28" i="6"/>
  <c r="C122" i="6"/>
  <c r="C28" i="5"/>
  <c r="C121" i="5"/>
  <c r="C27" i="4"/>
  <c r="C121" i="4"/>
  <c r="C120" i="3"/>
  <c r="C31" i="2"/>
  <c r="H96" i="1"/>
  <c r="I95" i="1"/>
  <c r="P19" i="10" l="1"/>
  <c r="Q19" i="10"/>
  <c r="O20" i="10"/>
  <c r="R18" i="10"/>
  <c r="S17" i="9"/>
  <c r="S16" i="9"/>
  <c r="O19" i="9"/>
  <c r="P18" i="9"/>
  <c r="R18" i="9" s="1"/>
  <c r="Q18" i="9"/>
  <c r="B29" i="10"/>
  <c r="AB29" i="7"/>
  <c r="AF28" i="7"/>
  <c r="AC29" i="7"/>
  <c r="N22" i="9"/>
  <c r="B22" i="9"/>
  <c r="N22" i="7"/>
  <c r="B22" i="7"/>
  <c r="N22" i="8"/>
  <c r="B22" i="8"/>
  <c r="J100" i="2"/>
  <c r="F100" i="2"/>
  <c r="G100" i="2"/>
  <c r="K100" i="2"/>
  <c r="E100" i="2"/>
  <c r="I100" i="2"/>
  <c r="D100" i="2"/>
  <c r="H100" i="2"/>
  <c r="M30" i="2"/>
  <c r="F27" i="7"/>
  <c r="C26" i="16" s="1"/>
  <c r="R27" i="7"/>
  <c r="R28" i="8"/>
  <c r="S28" i="9"/>
  <c r="A29" i="9"/>
  <c r="H29" i="9" s="1"/>
  <c r="M29" i="9"/>
  <c r="T28" i="9"/>
  <c r="R28" i="9"/>
  <c r="P28" i="9"/>
  <c r="Q28" i="9"/>
  <c r="H22" i="7"/>
  <c r="T28" i="10"/>
  <c r="M29" i="10"/>
  <c r="A29" i="10"/>
  <c r="B30" i="10" s="1"/>
  <c r="N29" i="10"/>
  <c r="H28" i="10"/>
  <c r="Q28" i="10"/>
  <c r="F28" i="10"/>
  <c r="L27" i="16" s="1"/>
  <c r="R28" i="10"/>
  <c r="S28" i="10"/>
  <c r="K28" i="10"/>
  <c r="P28" i="10"/>
  <c r="H21" i="8"/>
  <c r="D29" i="8"/>
  <c r="F29" i="8" s="1"/>
  <c r="F28" i="16" s="1"/>
  <c r="E29" i="8"/>
  <c r="E28" i="10"/>
  <c r="E28" i="9"/>
  <c r="D28" i="9"/>
  <c r="H28" i="9"/>
  <c r="K28" i="9"/>
  <c r="A30" i="8"/>
  <c r="M30" i="8"/>
  <c r="M29" i="7"/>
  <c r="A29" i="7"/>
  <c r="D28" i="10"/>
  <c r="AJ29" i="10"/>
  <c r="AE29" i="10"/>
  <c r="AG29" i="10"/>
  <c r="AJ29" i="9"/>
  <c r="AG29" i="9"/>
  <c r="AE29" i="9"/>
  <c r="AE29" i="8"/>
  <c r="D28" i="7"/>
  <c r="F28" i="7" s="1"/>
  <c r="C27" i="16" s="1"/>
  <c r="E28" i="7"/>
  <c r="Q28" i="7"/>
  <c r="P28" i="7"/>
  <c r="A28" i="13"/>
  <c r="A422" i="13"/>
  <c r="H422" i="13" s="1"/>
  <c r="A343" i="13"/>
  <c r="H343" i="13" s="1"/>
  <c r="A580" i="13"/>
  <c r="H580" i="13" s="1"/>
  <c r="A501" i="13"/>
  <c r="H501" i="13" s="1"/>
  <c r="A185" i="13"/>
  <c r="H185" i="13" s="1"/>
  <c r="A264" i="13"/>
  <c r="H264" i="13" s="1"/>
  <c r="A106" i="13"/>
  <c r="H106" i="13" s="1"/>
  <c r="H27" i="13"/>
  <c r="X22" i="7"/>
  <c r="B200" i="3"/>
  <c r="B120" i="3"/>
  <c r="B97" i="2"/>
  <c r="B29" i="2"/>
  <c r="B200" i="5"/>
  <c r="B120" i="5"/>
  <c r="B200" i="6"/>
  <c r="B120" i="6"/>
  <c r="B200" i="4"/>
  <c r="B120" i="4"/>
  <c r="AF23" i="10"/>
  <c r="AG23" i="10" s="1"/>
  <c r="G24" i="10"/>
  <c r="H24" i="10" s="1"/>
  <c r="G22" i="9"/>
  <c r="H22" i="9" s="1"/>
  <c r="X22" i="9"/>
  <c r="AF22" i="9"/>
  <c r="AG22" i="9" s="1"/>
  <c r="G22" i="8"/>
  <c r="X22" i="8"/>
  <c r="AF22" i="8"/>
  <c r="AG22" i="8" s="1"/>
  <c r="A29" i="3"/>
  <c r="C28" i="3"/>
  <c r="X23" i="10"/>
  <c r="C29" i="6"/>
  <c r="C123" i="6"/>
  <c r="C122" i="5"/>
  <c r="C29" i="5"/>
  <c r="C122" i="4"/>
  <c r="C28" i="4"/>
  <c r="C121" i="3"/>
  <c r="C32" i="2"/>
  <c r="H97" i="1"/>
  <c r="I96" i="1"/>
  <c r="S18" i="10" l="1"/>
  <c r="R19" i="10"/>
  <c r="Q20" i="10"/>
  <c r="P20" i="10"/>
  <c r="R20" i="10" s="1"/>
  <c r="O21" i="10"/>
  <c r="O20" i="9"/>
  <c r="P19" i="9"/>
  <c r="Q19" i="9"/>
  <c r="S18" i="9"/>
  <c r="AC30" i="7"/>
  <c r="D29" i="9"/>
  <c r="AB30" i="7"/>
  <c r="AF29" i="7"/>
  <c r="B23" i="7"/>
  <c r="N23" i="7"/>
  <c r="N23" i="9"/>
  <c r="B23" i="9"/>
  <c r="N23" i="8"/>
  <c r="B23" i="8"/>
  <c r="F29" i="9"/>
  <c r="I28" i="16" s="1"/>
  <c r="E29" i="9"/>
  <c r="M31" i="2"/>
  <c r="J101" i="2"/>
  <c r="F101" i="2"/>
  <c r="I101" i="2"/>
  <c r="D101" i="2"/>
  <c r="E101" i="2"/>
  <c r="H101" i="2"/>
  <c r="K101" i="2"/>
  <c r="G101" i="2"/>
  <c r="R28" i="7"/>
  <c r="E30" i="8"/>
  <c r="P29" i="8"/>
  <c r="R29" i="8" s="1"/>
  <c r="Q29" i="10"/>
  <c r="N30" i="10"/>
  <c r="M30" i="10"/>
  <c r="S29" i="10"/>
  <c r="H29" i="10"/>
  <c r="A30" i="10"/>
  <c r="B31" i="10" s="1"/>
  <c r="R29" i="10"/>
  <c r="T29" i="10"/>
  <c r="F29" i="10"/>
  <c r="L28" i="16" s="1"/>
  <c r="K29" i="10"/>
  <c r="P29" i="10"/>
  <c r="H22" i="8"/>
  <c r="M30" i="9"/>
  <c r="A30" i="9"/>
  <c r="D30" i="9" s="1"/>
  <c r="P29" i="9"/>
  <c r="Q29" i="9"/>
  <c r="S29" i="9"/>
  <c r="T29" i="9"/>
  <c r="R29" i="9"/>
  <c r="D30" i="8"/>
  <c r="F30" i="8" s="1"/>
  <c r="F29" i="16" s="1"/>
  <c r="E29" i="10"/>
  <c r="K29" i="9"/>
  <c r="M31" i="8"/>
  <c r="A31" i="8"/>
  <c r="F31" i="8" s="1"/>
  <c r="F30" i="16" s="1"/>
  <c r="Q30" i="8"/>
  <c r="R30" i="8" s="1"/>
  <c r="P30" i="8"/>
  <c r="A30" i="7"/>
  <c r="M30" i="7"/>
  <c r="D29" i="10"/>
  <c r="AB31" i="10"/>
  <c r="AE30" i="10"/>
  <c r="AJ30" i="10"/>
  <c r="AG30" i="10"/>
  <c r="AC31" i="10"/>
  <c r="AE30" i="9"/>
  <c r="AJ30" i="9"/>
  <c r="AG30" i="9"/>
  <c r="AE30" i="8"/>
  <c r="Q29" i="7"/>
  <c r="P29" i="7"/>
  <c r="D29" i="7"/>
  <c r="E29" i="7"/>
  <c r="F29" i="7" s="1"/>
  <c r="C28" i="16" s="1"/>
  <c r="A29" i="13"/>
  <c r="A502" i="13"/>
  <c r="H502" i="13" s="1"/>
  <c r="A423" i="13"/>
  <c r="H423" i="13" s="1"/>
  <c r="A344" i="13"/>
  <c r="H344" i="13" s="1"/>
  <c r="A265" i="13"/>
  <c r="H265" i="13" s="1"/>
  <c r="A107" i="13"/>
  <c r="H107" i="13" s="1"/>
  <c r="A186" i="13"/>
  <c r="H186" i="13" s="1"/>
  <c r="A581" i="13"/>
  <c r="H581" i="13" s="1"/>
  <c r="H28" i="13"/>
  <c r="X23" i="7"/>
  <c r="G23" i="7"/>
  <c r="X23" i="8"/>
  <c r="B121" i="6"/>
  <c r="B201" i="6"/>
  <c r="B98" i="2"/>
  <c r="B30" i="2"/>
  <c r="B121" i="4"/>
  <c r="B201" i="4"/>
  <c r="B121" i="5"/>
  <c r="B201" i="5"/>
  <c r="B121" i="3"/>
  <c r="B201" i="3"/>
  <c r="G25" i="10"/>
  <c r="H25" i="10" s="1"/>
  <c r="AF24" i="10"/>
  <c r="AG24" i="10" s="1"/>
  <c r="G23" i="9"/>
  <c r="H23" i="9" s="1"/>
  <c r="X23" i="9"/>
  <c r="AF23" i="9"/>
  <c r="AG23" i="9" s="1"/>
  <c r="G23" i="8"/>
  <c r="AF23" i="8"/>
  <c r="AG23" i="8" s="1"/>
  <c r="C29" i="3"/>
  <c r="A30" i="3"/>
  <c r="X24" i="10"/>
  <c r="C124" i="6"/>
  <c r="C30" i="6"/>
  <c r="C123" i="5"/>
  <c r="C30" i="5"/>
  <c r="C29" i="4"/>
  <c r="C123" i="4"/>
  <c r="C122" i="3"/>
  <c r="C33" i="2"/>
  <c r="H98" i="1"/>
  <c r="I97" i="1"/>
  <c r="R19" i="9" l="1"/>
  <c r="P21" i="10"/>
  <c r="Q21" i="10"/>
  <c r="O22" i="10"/>
  <c r="S20" i="10"/>
  <c r="S19" i="10"/>
  <c r="S19" i="9"/>
  <c r="P20" i="9"/>
  <c r="R20" i="9" s="1"/>
  <c r="Q20" i="9"/>
  <c r="O21" i="9"/>
  <c r="AB31" i="7"/>
  <c r="AE31" i="7" s="1"/>
  <c r="AF30" i="7"/>
  <c r="AC31" i="7"/>
  <c r="N24" i="9"/>
  <c r="B24" i="9"/>
  <c r="B24" i="8"/>
  <c r="N24" i="8"/>
  <c r="B24" i="7"/>
  <c r="N24" i="7"/>
  <c r="H31" i="8"/>
  <c r="K30" i="9"/>
  <c r="J102" i="2"/>
  <c r="F102" i="2"/>
  <c r="G102" i="2"/>
  <c r="K102" i="2"/>
  <c r="E102" i="2"/>
  <c r="I102" i="2"/>
  <c r="D102" i="2"/>
  <c r="H102" i="2"/>
  <c r="M32" i="2"/>
  <c r="R29" i="7"/>
  <c r="H23" i="7"/>
  <c r="H30" i="9"/>
  <c r="H23" i="8"/>
  <c r="T31" i="8"/>
  <c r="S30" i="10"/>
  <c r="P30" i="10"/>
  <c r="K30" i="10"/>
  <c r="R30" i="10"/>
  <c r="H30" i="10"/>
  <c r="Q30" i="10"/>
  <c r="T30" i="10"/>
  <c r="F30" i="10"/>
  <c r="L29" i="16" s="1"/>
  <c r="A31" i="9"/>
  <c r="K31" i="9" s="1"/>
  <c r="M31" i="9"/>
  <c r="P30" i="9"/>
  <c r="S30" i="9"/>
  <c r="R30" i="9"/>
  <c r="Q30" i="9"/>
  <c r="T30" i="9"/>
  <c r="Q31" i="8"/>
  <c r="R31" i="8"/>
  <c r="P31" i="8"/>
  <c r="K31" i="8"/>
  <c r="S31" i="8"/>
  <c r="E30" i="10"/>
  <c r="AC32" i="10"/>
  <c r="F30" i="9"/>
  <c r="I29" i="16" s="1"/>
  <c r="E30" i="9"/>
  <c r="A32" i="8"/>
  <c r="M32" i="8"/>
  <c r="E31" i="8"/>
  <c r="D31" i="8"/>
  <c r="M31" i="7"/>
  <c r="A31" i="7"/>
  <c r="D30" i="10"/>
  <c r="M31" i="10"/>
  <c r="A31" i="10"/>
  <c r="B32" i="10" s="1"/>
  <c r="N31" i="10"/>
  <c r="AB32" i="10"/>
  <c r="AJ31" i="10"/>
  <c r="AG31" i="10"/>
  <c r="AE31" i="10"/>
  <c r="AG31" i="9"/>
  <c r="AE31" i="9"/>
  <c r="AJ31" i="9"/>
  <c r="AJ31" i="8"/>
  <c r="AE31" i="8"/>
  <c r="AG31" i="8"/>
  <c r="AJ31" i="7"/>
  <c r="P30" i="7"/>
  <c r="Q30" i="7"/>
  <c r="R30" i="7" s="1"/>
  <c r="D30" i="7"/>
  <c r="E30" i="7"/>
  <c r="A30" i="13"/>
  <c r="A582" i="13"/>
  <c r="H582" i="13" s="1"/>
  <c r="A266" i="13"/>
  <c r="H266" i="13" s="1"/>
  <c r="A503" i="13"/>
  <c r="H503" i="13" s="1"/>
  <c r="A424" i="13"/>
  <c r="H424" i="13" s="1"/>
  <c r="A187" i="13"/>
  <c r="H187" i="13" s="1"/>
  <c r="A108" i="13"/>
  <c r="H108" i="13" s="1"/>
  <c r="A345" i="13"/>
  <c r="H345" i="13" s="1"/>
  <c r="H29" i="13"/>
  <c r="X24" i="7"/>
  <c r="G24" i="7"/>
  <c r="X24" i="8"/>
  <c r="B122" i="4"/>
  <c r="B202" i="4"/>
  <c r="B122" i="6"/>
  <c r="B202" i="6"/>
  <c r="B99" i="2"/>
  <c r="B31" i="2"/>
  <c r="B122" i="3"/>
  <c r="B202" i="3"/>
  <c r="B202" i="5"/>
  <c r="B122" i="5"/>
  <c r="AF25" i="10"/>
  <c r="AG25" i="10" s="1"/>
  <c r="G26" i="10"/>
  <c r="AF24" i="9"/>
  <c r="AG24" i="9" s="1"/>
  <c r="G24" i="9"/>
  <c r="H24" i="9" s="1"/>
  <c r="X24" i="9"/>
  <c r="AF24" i="8"/>
  <c r="AG24" i="8" s="1"/>
  <c r="G24" i="8"/>
  <c r="G25" i="7"/>
  <c r="C30" i="3"/>
  <c r="A31" i="3"/>
  <c r="X25" i="10"/>
  <c r="C31" i="6"/>
  <c r="C125" i="6"/>
  <c r="C31" i="5"/>
  <c r="C124" i="5"/>
  <c r="C124" i="4"/>
  <c r="C30" i="4"/>
  <c r="C123" i="3"/>
  <c r="C34" i="2"/>
  <c r="H99" i="1"/>
  <c r="I98" i="1"/>
  <c r="AG31" i="7" l="1"/>
  <c r="P22" i="10"/>
  <c r="Q22" i="10"/>
  <c r="O23" i="10"/>
  <c r="R21" i="10"/>
  <c r="S20" i="9"/>
  <c r="Q21" i="9"/>
  <c r="P21" i="9"/>
  <c r="R21" i="9" s="1"/>
  <c r="O22" i="9"/>
  <c r="AC32" i="7"/>
  <c r="E31" i="9"/>
  <c r="AB32" i="7"/>
  <c r="AJ32" i="7" s="1"/>
  <c r="AF31" i="7"/>
  <c r="N25" i="8"/>
  <c r="B25" i="8"/>
  <c r="N25" i="9"/>
  <c r="B25" i="9"/>
  <c r="N25" i="7"/>
  <c r="B25" i="7"/>
  <c r="D31" i="9"/>
  <c r="M33" i="2"/>
  <c r="F31" i="9"/>
  <c r="I30" i="16" s="1"/>
  <c r="J103" i="2"/>
  <c r="F103" i="2"/>
  <c r="I103" i="2"/>
  <c r="D103" i="2"/>
  <c r="E103" i="2"/>
  <c r="H103" i="2"/>
  <c r="G103" i="2"/>
  <c r="K103" i="2"/>
  <c r="H31" i="9"/>
  <c r="F30" i="7"/>
  <c r="C29" i="16" s="1"/>
  <c r="H24" i="8"/>
  <c r="H25" i="7"/>
  <c r="H24" i="7"/>
  <c r="R32" i="8"/>
  <c r="F32" i="8"/>
  <c r="F31" i="16" s="1"/>
  <c r="A32" i="9"/>
  <c r="K32" i="9" s="1"/>
  <c r="M32" i="9"/>
  <c r="P31" i="9"/>
  <c r="Q31" i="9"/>
  <c r="R31" i="9"/>
  <c r="S31" i="9"/>
  <c r="T31" i="9"/>
  <c r="P32" i="8"/>
  <c r="H32" i="8"/>
  <c r="S32" i="8"/>
  <c r="D32" i="8"/>
  <c r="Q31" i="10"/>
  <c r="F31" i="10"/>
  <c r="L30" i="16" s="1"/>
  <c r="T31" i="10"/>
  <c r="P31" i="10"/>
  <c r="H31" i="10"/>
  <c r="S31" i="10"/>
  <c r="R31" i="10"/>
  <c r="E31" i="10"/>
  <c r="M33" i="8"/>
  <c r="A33" i="8"/>
  <c r="K32" i="8"/>
  <c r="E32" i="8"/>
  <c r="T32" i="8"/>
  <c r="Q32" i="8"/>
  <c r="A32" i="7"/>
  <c r="M32" i="7"/>
  <c r="AB33" i="10"/>
  <c r="AJ32" i="10"/>
  <c r="AG32" i="10"/>
  <c r="AE32" i="10"/>
  <c r="N32" i="10"/>
  <c r="D31" i="10"/>
  <c r="A32" i="10"/>
  <c r="B33" i="10" s="1"/>
  <c r="K31" i="10"/>
  <c r="M32" i="10"/>
  <c r="AC33" i="10"/>
  <c r="AJ32" i="9"/>
  <c r="AG32" i="9"/>
  <c r="AE32" i="9"/>
  <c r="AG32" i="8"/>
  <c r="AJ32" i="8"/>
  <c r="AE32" i="8"/>
  <c r="S31" i="7"/>
  <c r="K31" i="7"/>
  <c r="H31" i="7"/>
  <c r="E31" i="7"/>
  <c r="F31" i="7"/>
  <c r="C30" i="16" s="1"/>
  <c r="P31" i="7"/>
  <c r="T31" i="7"/>
  <c r="Q31" i="7"/>
  <c r="R31" i="7"/>
  <c r="D31" i="7"/>
  <c r="A31" i="13"/>
  <c r="A346" i="13"/>
  <c r="H346" i="13" s="1"/>
  <c r="A583" i="13"/>
  <c r="H583" i="13" s="1"/>
  <c r="A267" i="13"/>
  <c r="H267" i="13" s="1"/>
  <c r="A504" i="13"/>
  <c r="H504" i="13" s="1"/>
  <c r="A425" i="13"/>
  <c r="H425" i="13" s="1"/>
  <c r="A188" i="13"/>
  <c r="H188" i="13" s="1"/>
  <c r="A109" i="13"/>
  <c r="H109" i="13" s="1"/>
  <c r="H30" i="13"/>
  <c r="B203" i="3"/>
  <c r="B123" i="3"/>
  <c r="B203" i="5"/>
  <c r="B123" i="5"/>
  <c r="B100" i="2"/>
  <c r="B32" i="2"/>
  <c r="B203" i="6"/>
  <c r="B123" i="6"/>
  <c r="B203" i="4"/>
  <c r="B123" i="4"/>
  <c r="AF26" i="10"/>
  <c r="G27" i="10"/>
  <c r="AF25" i="9"/>
  <c r="AG25" i="9" s="1"/>
  <c r="G25" i="9"/>
  <c r="H25" i="9" s="1"/>
  <c r="X25" i="9"/>
  <c r="G25" i="8"/>
  <c r="X25" i="8"/>
  <c r="AF25" i="8"/>
  <c r="AG25" i="8" s="1"/>
  <c r="X25" i="7"/>
  <c r="A32" i="3"/>
  <c r="C31" i="3"/>
  <c r="X26" i="10"/>
  <c r="C32" i="6"/>
  <c r="C126" i="6"/>
  <c r="C125" i="5"/>
  <c r="C32" i="5"/>
  <c r="C125" i="4"/>
  <c r="C31" i="4"/>
  <c r="C124" i="3"/>
  <c r="C35" i="2"/>
  <c r="H100" i="1"/>
  <c r="I99" i="1"/>
  <c r="S21" i="10" l="1"/>
  <c r="R22" i="10"/>
  <c r="P23" i="10"/>
  <c r="Q23" i="10"/>
  <c r="O24" i="10"/>
  <c r="P22" i="9"/>
  <c r="Q22" i="9"/>
  <c r="O23" i="9"/>
  <c r="S21" i="9"/>
  <c r="AG32" i="7"/>
  <c r="AE32" i="7"/>
  <c r="AB33" i="7"/>
  <c r="AJ33" i="7" s="1"/>
  <c r="AF32" i="7"/>
  <c r="E32" i="9"/>
  <c r="H32" i="9"/>
  <c r="AC33" i="7"/>
  <c r="AC34" i="7" s="1"/>
  <c r="N26" i="9"/>
  <c r="B26" i="9"/>
  <c r="N26" i="7"/>
  <c r="B26" i="7"/>
  <c r="N26" i="8"/>
  <c r="B26" i="8"/>
  <c r="K33" i="8"/>
  <c r="M34" i="2"/>
  <c r="J104" i="2"/>
  <c r="F104" i="2"/>
  <c r="G104" i="2"/>
  <c r="H104" i="2"/>
  <c r="K104" i="2"/>
  <c r="E104" i="2"/>
  <c r="I104" i="2"/>
  <c r="D104" i="2"/>
  <c r="AC34" i="10"/>
  <c r="S33" i="8"/>
  <c r="R33" i="8"/>
  <c r="H33" i="8"/>
  <c r="P33" i="8"/>
  <c r="T33" i="8"/>
  <c r="H25" i="8"/>
  <c r="D33" i="8"/>
  <c r="Q33" i="8"/>
  <c r="S32" i="9"/>
  <c r="M33" i="9"/>
  <c r="A33" i="9"/>
  <c r="K33" i="9" s="1"/>
  <c r="T32" i="9"/>
  <c r="P32" i="9"/>
  <c r="R32" i="9"/>
  <c r="Q32" i="9"/>
  <c r="Q32" i="10"/>
  <c r="F32" i="10"/>
  <c r="L31" i="16" s="1"/>
  <c r="T32" i="10"/>
  <c r="P32" i="10"/>
  <c r="H32" i="10"/>
  <c r="R32" i="10"/>
  <c r="S32" i="10"/>
  <c r="E32" i="10"/>
  <c r="D32" i="9"/>
  <c r="F32" i="9"/>
  <c r="I31" i="16" s="1"/>
  <c r="A34" i="8"/>
  <c r="M34" i="8"/>
  <c r="F33" i="8"/>
  <c r="F32" i="16" s="1"/>
  <c r="E33" i="8"/>
  <c r="M33" i="7"/>
  <c r="A33" i="7"/>
  <c r="A33" i="10"/>
  <c r="B34" i="10" s="1"/>
  <c r="K32" i="10"/>
  <c r="M33" i="10"/>
  <c r="D32" i="10"/>
  <c r="N33" i="10"/>
  <c r="AB34" i="10"/>
  <c r="AJ33" i="10"/>
  <c r="AE33" i="10"/>
  <c r="AG33" i="10"/>
  <c r="AJ33" i="9"/>
  <c r="AG33" i="9"/>
  <c r="AE33" i="9"/>
  <c r="AG33" i="8"/>
  <c r="AE33" i="8"/>
  <c r="AJ33" i="8"/>
  <c r="T32" i="7"/>
  <c r="R32" i="7"/>
  <c r="S32" i="7"/>
  <c r="D32" i="7"/>
  <c r="K32" i="7"/>
  <c r="H32" i="7"/>
  <c r="E32" i="7"/>
  <c r="P32" i="7"/>
  <c r="F32" i="7"/>
  <c r="C31" i="16" s="1"/>
  <c r="Q32" i="7"/>
  <c r="A32" i="13"/>
  <c r="A426" i="13"/>
  <c r="H426" i="13" s="1"/>
  <c r="A347" i="13"/>
  <c r="H347" i="13" s="1"/>
  <c r="A584" i="13"/>
  <c r="H584" i="13" s="1"/>
  <c r="A268" i="13"/>
  <c r="H268" i="13" s="1"/>
  <c r="A505" i="13"/>
  <c r="H505" i="13" s="1"/>
  <c r="A189" i="13"/>
  <c r="H189" i="13" s="1"/>
  <c r="A110" i="13"/>
  <c r="H110" i="13" s="1"/>
  <c r="H31" i="13"/>
  <c r="X26" i="7"/>
  <c r="G26" i="7"/>
  <c r="AH26" i="7"/>
  <c r="B204" i="5"/>
  <c r="B124" i="5"/>
  <c r="B204" i="6"/>
  <c r="B124" i="6"/>
  <c r="B101" i="2"/>
  <c r="B33" i="2"/>
  <c r="B204" i="3"/>
  <c r="B124" i="3"/>
  <c r="B204" i="4"/>
  <c r="B124" i="4"/>
  <c r="G28" i="10"/>
  <c r="AF27" i="10"/>
  <c r="AF26" i="9"/>
  <c r="G26" i="9"/>
  <c r="X26" i="9"/>
  <c r="AF26" i="8"/>
  <c r="AG26" i="8" s="1"/>
  <c r="G26" i="8"/>
  <c r="X27" i="8"/>
  <c r="X26" i="8"/>
  <c r="G27" i="7"/>
  <c r="I26" i="7"/>
  <c r="C32" i="3"/>
  <c r="A33" i="3"/>
  <c r="X27" i="10"/>
  <c r="C127" i="6"/>
  <c r="C33" i="6"/>
  <c r="C126" i="5"/>
  <c r="C33" i="5"/>
  <c r="C32" i="4"/>
  <c r="C126" i="4"/>
  <c r="C125" i="3"/>
  <c r="C36" i="2"/>
  <c r="H101" i="1"/>
  <c r="I100" i="1"/>
  <c r="AE33" i="7" l="1"/>
  <c r="P24" i="10"/>
  <c r="Q24" i="10"/>
  <c r="O25" i="10"/>
  <c r="S22" i="10"/>
  <c r="R23" i="10"/>
  <c r="Q23" i="9"/>
  <c r="P23" i="9"/>
  <c r="R23" i="9" s="1"/>
  <c r="O24" i="9"/>
  <c r="R22" i="9"/>
  <c r="AG33" i="7"/>
  <c r="AB34" i="7"/>
  <c r="AE34" i="7" s="1"/>
  <c r="AF33" i="7"/>
  <c r="N27" i="7"/>
  <c r="B27" i="7"/>
  <c r="B27" i="8"/>
  <c r="N27" i="8"/>
  <c r="N27" i="9"/>
  <c r="B27" i="9"/>
  <c r="J105" i="2"/>
  <c r="F105" i="2"/>
  <c r="I105" i="2"/>
  <c r="D105" i="2"/>
  <c r="H105" i="2"/>
  <c r="E105" i="2"/>
  <c r="G105" i="2"/>
  <c r="K105" i="2"/>
  <c r="H33" i="9"/>
  <c r="M35" i="2"/>
  <c r="H27" i="7"/>
  <c r="S27" i="7"/>
  <c r="E33" i="9"/>
  <c r="D33" i="9"/>
  <c r="S26" i="8"/>
  <c r="H26" i="8"/>
  <c r="S26" i="7"/>
  <c r="H26" i="7"/>
  <c r="A34" i="9"/>
  <c r="E34" i="9" s="1"/>
  <c r="M34" i="9"/>
  <c r="T33" i="9"/>
  <c r="Q33" i="9"/>
  <c r="P33" i="9"/>
  <c r="R33" i="9"/>
  <c r="S33" i="9"/>
  <c r="F33" i="9"/>
  <c r="I32" i="16" s="1"/>
  <c r="Q33" i="10"/>
  <c r="F33" i="10"/>
  <c r="L32" i="16" s="1"/>
  <c r="T33" i="10"/>
  <c r="P33" i="10"/>
  <c r="H33" i="10"/>
  <c r="S33" i="10"/>
  <c r="R33" i="10"/>
  <c r="E33" i="10"/>
  <c r="M35" i="8"/>
  <c r="A35" i="8"/>
  <c r="E35" i="8" s="1"/>
  <c r="K34" i="8"/>
  <c r="E34" i="8"/>
  <c r="T34" i="8"/>
  <c r="Q34" i="8"/>
  <c r="P34" i="8"/>
  <c r="D34" i="8"/>
  <c r="H34" i="8"/>
  <c r="F34" i="8"/>
  <c r="F33" i="16" s="1"/>
  <c r="S34" i="8"/>
  <c r="R34" i="8"/>
  <c r="A34" i="7"/>
  <c r="M34" i="7"/>
  <c r="AB35" i="10"/>
  <c r="AE34" i="10"/>
  <c r="AJ34" i="10"/>
  <c r="AG34" i="10"/>
  <c r="N34" i="10"/>
  <c r="M34" i="10"/>
  <c r="A34" i="10"/>
  <c r="B35" i="10" s="1"/>
  <c r="K33" i="10"/>
  <c r="D33" i="10"/>
  <c r="AC35" i="10"/>
  <c r="AE34" i="9"/>
  <c r="AJ34" i="9"/>
  <c r="AG34" i="9"/>
  <c r="AJ34" i="8"/>
  <c r="AE34" i="8"/>
  <c r="AG34" i="8"/>
  <c r="AG34" i="7"/>
  <c r="T33" i="7"/>
  <c r="Q33" i="7"/>
  <c r="R33" i="7"/>
  <c r="S33" i="7"/>
  <c r="H33" i="7"/>
  <c r="D33" i="7"/>
  <c r="K33" i="7"/>
  <c r="F33" i="7"/>
  <c r="C32" i="16" s="1"/>
  <c r="E33" i="7"/>
  <c r="P33" i="7"/>
  <c r="A33" i="13"/>
  <c r="A506" i="13"/>
  <c r="H506" i="13" s="1"/>
  <c r="A427" i="13"/>
  <c r="H427" i="13" s="1"/>
  <c r="A348" i="13"/>
  <c r="H348" i="13" s="1"/>
  <c r="A111" i="13"/>
  <c r="H111" i="13" s="1"/>
  <c r="A269" i="13"/>
  <c r="H269" i="13" s="1"/>
  <c r="A585" i="13"/>
  <c r="H585" i="13" s="1"/>
  <c r="A190" i="13"/>
  <c r="H190" i="13" s="1"/>
  <c r="H32" i="13"/>
  <c r="AH27" i="7"/>
  <c r="X27" i="7"/>
  <c r="B205" i="4"/>
  <c r="B125" i="4"/>
  <c r="B205" i="6"/>
  <c r="B125" i="6"/>
  <c r="B125" i="3"/>
  <c r="B205" i="3"/>
  <c r="B102" i="2"/>
  <c r="B34" i="2"/>
  <c r="B125" i="5"/>
  <c r="B205" i="5"/>
  <c r="AF28" i="10"/>
  <c r="G29" i="10"/>
  <c r="AF27" i="9"/>
  <c r="G27" i="9"/>
  <c r="X27" i="9"/>
  <c r="G27" i="8"/>
  <c r="AF27" i="8"/>
  <c r="AG27" i="8" s="1"/>
  <c r="G28" i="7"/>
  <c r="I27" i="7"/>
  <c r="A34" i="3"/>
  <c r="C33" i="3"/>
  <c r="X28" i="10"/>
  <c r="C34" i="6"/>
  <c r="C128" i="6"/>
  <c r="C34" i="5"/>
  <c r="C127" i="5"/>
  <c r="C127" i="4"/>
  <c r="C33" i="4"/>
  <c r="C126" i="3"/>
  <c r="C37" i="2"/>
  <c r="H102" i="1"/>
  <c r="I101" i="1"/>
  <c r="AJ34" i="7" l="1"/>
  <c r="S23" i="10"/>
  <c r="P25" i="10"/>
  <c r="Q25" i="10"/>
  <c r="O26" i="10"/>
  <c r="O27" i="10" s="1"/>
  <c r="O28" i="10" s="1"/>
  <c r="O29" i="10" s="1"/>
  <c r="O30" i="10" s="1"/>
  <c r="O31" i="10" s="1"/>
  <c r="O32" i="10" s="1"/>
  <c r="O33" i="10" s="1"/>
  <c r="O34" i="10" s="1"/>
  <c r="R24" i="10"/>
  <c r="S23" i="9"/>
  <c r="Q24" i="9"/>
  <c r="P24" i="9"/>
  <c r="O25" i="9"/>
  <c r="S22" i="9"/>
  <c r="AB35" i="7"/>
  <c r="AJ35" i="7" s="1"/>
  <c r="AF34" i="7"/>
  <c r="AC35" i="7"/>
  <c r="B28" i="8"/>
  <c r="N28" i="8"/>
  <c r="B28" i="9"/>
  <c r="N28" i="9"/>
  <c r="B28" i="7"/>
  <c r="N28" i="7"/>
  <c r="F35" i="8"/>
  <c r="F34" i="16" s="1"/>
  <c r="M36" i="2"/>
  <c r="J106" i="2"/>
  <c r="F106" i="2"/>
  <c r="G106" i="2"/>
  <c r="H106" i="2"/>
  <c r="K106" i="2"/>
  <c r="E106" i="2"/>
  <c r="I106" i="2"/>
  <c r="D106" i="2"/>
  <c r="K34" i="9"/>
  <c r="H34" i="9"/>
  <c r="D35" i="8"/>
  <c r="H28" i="7"/>
  <c r="S28" i="7"/>
  <c r="S35" i="8"/>
  <c r="S27" i="8"/>
  <c r="H27" i="8"/>
  <c r="R35" i="8"/>
  <c r="S34" i="9"/>
  <c r="M35" i="9"/>
  <c r="A35" i="9"/>
  <c r="F35" i="9" s="1"/>
  <c r="I34" i="16" s="1"/>
  <c r="T34" i="9"/>
  <c r="R34" i="9"/>
  <c r="P34" i="9"/>
  <c r="Q34" i="9"/>
  <c r="H35" i="8"/>
  <c r="T35" i="8"/>
  <c r="Q34" i="10"/>
  <c r="F34" i="10"/>
  <c r="L33" i="16" s="1"/>
  <c r="T34" i="10"/>
  <c r="P34" i="10"/>
  <c r="H34" i="10"/>
  <c r="S34" i="10"/>
  <c r="R34" i="10"/>
  <c r="E34" i="10"/>
  <c r="AC36" i="10"/>
  <c r="D34" i="9"/>
  <c r="F34" i="9"/>
  <c r="I33" i="16" s="1"/>
  <c r="A36" i="8"/>
  <c r="S36" i="8" s="1"/>
  <c r="M36" i="8"/>
  <c r="Q35" i="8"/>
  <c r="P35" i="8"/>
  <c r="K35" i="8"/>
  <c r="M35" i="7"/>
  <c r="A35" i="7"/>
  <c r="D34" i="10"/>
  <c r="K34" i="10"/>
  <c r="M35" i="10"/>
  <c r="A35" i="10"/>
  <c r="B36" i="10" s="1"/>
  <c r="N35" i="10"/>
  <c r="AB36" i="10"/>
  <c r="AJ35" i="10"/>
  <c r="AG35" i="10"/>
  <c r="AE35" i="10"/>
  <c r="AG35" i="9"/>
  <c r="AE35" i="9"/>
  <c r="AJ35" i="9"/>
  <c r="AJ35" i="8"/>
  <c r="AE35" i="8"/>
  <c r="AG35" i="8"/>
  <c r="P34" i="7"/>
  <c r="T34" i="7"/>
  <c r="Q34" i="7"/>
  <c r="R34" i="7"/>
  <c r="F34" i="7"/>
  <c r="C33" i="16" s="1"/>
  <c r="S34" i="7"/>
  <c r="D34" i="7"/>
  <c r="K34" i="7"/>
  <c r="E34" i="7"/>
  <c r="H34" i="7"/>
  <c r="AE35" i="7"/>
  <c r="A34" i="13"/>
  <c r="A586" i="13"/>
  <c r="H586" i="13" s="1"/>
  <c r="A270" i="13"/>
  <c r="H270" i="13" s="1"/>
  <c r="A507" i="13"/>
  <c r="H507" i="13" s="1"/>
  <c r="A428" i="13"/>
  <c r="H428" i="13" s="1"/>
  <c r="A349" i="13"/>
  <c r="H349" i="13" s="1"/>
  <c r="A191" i="13"/>
  <c r="H191" i="13" s="1"/>
  <c r="A112" i="13"/>
  <c r="H112" i="13" s="1"/>
  <c r="H33" i="13"/>
  <c r="X28" i="8"/>
  <c r="B35" i="2"/>
  <c r="B103" i="2"/>
  <c r="B126" i="4"/>
  <c r="B206" i="4"/>
  <c r="AH28" i="7"/>
  <c r="B126" i="3"/>
  <c r="B206" i="3"/>
  <c r="B126" i="5"/>
  <c r="B206" i="5"/>
  <c r="B126" i="6"/>
  <c r="B206" i="6"/>
  <c r="AF29" i="10"/>
  <c r="G30" i="10"/>
  <c r="G28" i="9"/>
  <c r="X28" i="9"/>
  <c r="AF28" i="9"/>
  <c r="AF28" i="8"/>
  <c r="AG28" i="8" s="1"/>
  <c r="G28" i="8"/>
  <c r="I28" i="7"/>
  <c r="X28" i="7"/>
  <c r="A35" i="3"/>
  <c r="C34" i="3"/>
  <c r="X29" i="10"/>
  <c r="C129" i="6"/>
  <c r="C35" i="6"/>
  <c r="C128" i="5"/>
  <c r="C35" i="5"/>
  <c r="C34" i="4"/>
  <c r="C128" i="4"/>
  <c r="C127" i="3"/>
  <c r="C38" i="2"/>
  <c r="H103" i="1"/>
  <c r="I102" i="1"/>
  <c r="AG35" i="7" l="1"/>
  <c r="S24" i="10"/>
  <c r="O35" i="10"/>
  <c r="R25" i="10"/>
  <c r="P25" i="9"/>
  <c r="Q25" i="9"/>
  <c r="O26" i="9"/>
  <c r="O27" i="9" s="1"/>
  <c r="O28" i="9" s="1"/>
  <c r="O29" i="9" s="1"/>
  <c r="O30" i="9" s="1"/>
  <c r="O31" i="9" s="1"/>
  <c r="O32" i="9" s="1"/>
  <c r="O33" i="9" s="1"/>
  <c r="O34" i="9" s="1"/>
  <c r="O35" i="9" s="1"/>
  <c r="R24" i="9"/>
  <c r="E35" i="9"/>
  <c r="AC36" i="7"/>
  <c r="D36" i="8"/>
  <c r="D35" i="9"/>
  <c r="AB36" i="7"/>
  <c r="AE36" i="7" s="1"/>
  <c r="AF35" i="7"/>
  <c r="B29" i="9"/>
  <c r="N29" i="9"/>
  <c r="B29" i="7"/>
  <c r="N29" i="7"/>
  <c r="N29" i="8"/>
  <c r="B29" i="8"/>
  <c r="M37" i="2"/>
  <c r="J107" i="2"/>
  <c r="F107" i="2"/>
  <c r="I107" i="2"/>
  <c r="D107" i="2"/>
  <c r="H107" i="2"/>
  <c r="E107" i="2"/>
  <c r="G107" i="2"/>
  <c r="K107" i="2"/>
  <c r="E36" i="8"/>
  <c r="P36" i="8"/>
  <c r="Q36" i="8"/>
  <c r="K36" i="8"/>
  <c r="H28" i="8"/>
  <c r="S28" i="8"/>
  <c r="R36" i="8"/>
  <c r="S35" i="9"/>
  <c r="M36" i="9"/>
  <c r="A36" i="9"/>
  <c r="E36" i="9" s="1"/>
  <c r="T35" i="9"/>
  <c r="P35" i="9"/>
  <c r="R35" i="9"/>
  <c r="Q35" i="9"/>
  <c r="H35" i="9"/>
  <c r="K35" i="9"/>
  <c r="T36" i="8"/>
  <c r="H36" i="8"/>
  <c r="F36" i="8"/>
  <c r="F35" i="16" s="1"/>
  <c r="Q35" i="10"/>
  <c r="F35" i="10"/>
  <c r="L34" i="16" s="1"/>
  <c r="T35" i="10"/>
  <c r="P35" i="10"/>
  <c r="H35" i="10"/>
  <c r="R35" i="10"/>
  <c r="S35" i="10"/>
  <c r="E35" i="10"/>
  <c r="M37" i="8"/>
  <c r="A37" i="8"/>
  <c r="R37" i="8" s="1"/>
  <c r="A36" i="7"/>
  <c r="M36" i="7"/>
  <c r="AB37" i="10"/>
  <c r="AJ36" i="10"/>
  <c r="AG36" i="10"/>
  <c r="AE36" i="10"/>
  <c r="N36" i="10"/>
  <c r="D35" i="10"/>
  <c r="A36" i="10"/>
  <c r="B37" i="10" s="1"/>
  <c r="K35" i="10"/>
  <c r="M36" i="10"/>
  <c r="AC37" i="10"/>
  <c r="AJ36" i="9"/>
  <c r="AG36" i="9"/>
  <c r="AE36" i="9"/>
  <c r="AG36" i="8"/>
  <c r="AJ36" i="8"/>
  <c r="AE36" i="8"/>
  <c r="AJ36" i="7"/>
  <c r="S35" i="7"/>
  <c r="Q35" i="7"/>
  <c r="P35" i="7"/>
  <c r="K35" i="7"/>
  <c r="H35" i="7"/>
  <c r="E35" i="7"/>
  <c r="R35" i="7"/>
  <c r="F35" i="7"/>
  <c r="C34" i="16" s="1"/>
  <c r="T35" i="7"/>
  <c r="D35" i="7"/>
  <c r="A35" i="13"/>
  <c r="A350" i="13"/>
  <c r="H350" i="13" s="1"/>
  <c r="A587" i="13"/>
  <c r="H587" i="13" s="1"/>
  <c r="A271" i="13"/>
  <c r="H271" i="13" s="1"/>
  <c r="A508" i="13"/>
  <c r="H508" i="13" s="1"/>
  <c r="A429" i="13"/>
  <c r="H429" i="13" s="1"/>
  <c r="A192" i="13"/>
  <c r="H192" i="13" s="1"/>
  <c r="A113" i="13"/>
  <c r="H113" i="13" s="1"/>
  <c r="H34" i="13"/>
  <c r="X29" i="7"/>
  <c r="G29" i="7"/>
  <c r="B207" i="4"/>
  <c r="B127" i="4"/>
  <c r="B207" i="6"/>
  <c r="B127" i="6"/>
  <c r="AH29" i="7"/>
  <c r="B127" i="5"/>
  <c r="B207" i="5"/>
  <c r="B127" i="3"/>
  <c r="B207" i="3"/>
  <c r="B36" i="2"/>
  <c r="B104" i="2"/>
  <c r="AF30" i="10"/>
  <c r="G31" i="10"/>
  <c r="G29" i="9"/>
  <c r="X29" i="9"/>
  <c r="AF29" i="9"/>
  <c r="G29" i="8"/>
  <c r="X29" i="8"/>
  <c r="AF29" i="8"/>
  <c r="AG29" i="8" s="1"/>
  <c r="G30" i="7"/>
  <c r="I29" i="7"/>
  <c r="A36" i="3"/>
  <c r="C35" i="3"/>
  <c r="X30" i="10"/>
  <c r="C130" i="6"/>
  <c r="C36" i="6"/>
  <c r="C129" i="5"/>
  <c r="C36" i="5"/>
  <c r="C35" i="4"/>
  <c r="C129" i="4"/>
  <c r="C128" i="3"/>
  <c r="C39" i="2"/>
  <c r="H104" i="1"/>
  <c r="I103" i="1"/>
  <c r="S25" i="10" l="1"/>
  <c r="O36" i="10"/>
  <c r="O36" i="9"/>
  <c r="S24" i="9"/>
  <c r="R25" i="9"/>
  <c r="AG36" i="7"/>
  <c r="AB37" i="7"/>
  <c r="AE37" i="7" s="1"/>
  <c r="AF36" i="7"/>
  <c r="AC37" i="7"/>
  <c r="N30" i="7"/>
  <c r="B30" i="7"/>
  <c r="B30" i="8"/>
  <c r="N30" i="8"/>
  <c r="N30" i="9"/>
  <c r="B30" i="9"/>
  <c r="K36" i="9"/>
  <c r="M38" i="2"/>
  <c r="J108" i="2"/>
  <c r="F108" i="2"/>
  <c r="G108" i="2"/>
  <c r="H108" i="2"/>
  <c r="K108" i="2"/>
  <c r="E108" i="2"/>
  <c r="I108" i="2"/>
  <c r="D108" i="2"/>
  <c r="Q37" i="8"/>
  <c r="S29" i="7"/>
  <c r="H29" i="7"/>
  <c r="H29" i="8"/>
  <c r="S29" i="8"/>
  <c r="H30" i="7"/>
  <c r="S30" i="7"/>
  <c r="S36" i="9"/>
  <c r="A37" i="9"/>
  <c r="F37" i="9" s="1"/>
  <c r="I36" i="16" s="1"/>
  <c r="M37" i="9"/>
  <c r="T36" i="9"/>
  <c r="R36" i="9"/>
  <c r="P36" i="9"/>
  <c r="Q36" i="9"/>
  <c r="E37" i="8"/>
  <c r="T37" i="8"/>
  <c r="D36" i="9"/>
  <c r="H36" i="9"/>
  <c r="F36" i="9"/>
  <c r="I35" i="16" s="1"/>
  <c r="AC38" i="10"/>
  <c r="Q36" i="10"/>
  <c r="F36" i="10"/>
  <c r="L35" i="16" s="1"/>
  <c r="T36" i="10"/>
  <c r="P36" i="10"/>
  <c r="H36" i="10"/>
  <c r="S36" i="10"/>
  <c r="R36" i="10"/>
  <c r="E36" i="10"/>
  <c r="P37" i="8"/>
  <c r="S37" i="8"/>
  <c r="A38" i="8"/>
  <c r="R38" i="8" s="1"/>
  <c r="M38" i="8"/>
  <c r="F37" i="8"/>
  <c r="F36" i="16" s="1"/>
  <c r="D37" i="8"/>
  <c r="K37" i="8"/>
  <c r="H37" i="8"/>
  <c r="M37" i="7"/>
  <c r="A37" i="7"/>
  <c r="A37" i="10"/>
  <c r="B38" i="10" s="1"/>
  <c r="K36" i="10"/>
  <c r="M37" i="10"/>
  <c r="O37" i="10" s="1"/>
  <c r="D36" i="10"/>
  <c r="N37" i="10"/>
  <c r="AB38" i="10"/>
  <c r="AE37" i="10"/>
  <c r="AJ37" i="10"/>
  <c r="AG37" i="10"/>
  <c r="AJ37" i="9"/>
  <c r="AG37" i="9"/>
  <c r="AE37" i="9"/>
  <c r="AG37" i="8"/>
  <c r="AE37" i="8"/>
  <c r="AJ37" i="8"/>
  <c r="AJ37" i="7"/>
  <c r="AG37" i="7"/>
  <c r="R36" i="7"/>
  <c r="S36" i="7"/>
  <c r="T36" i="7"/>
  <c r="D36" i="7"/>
  <c r="E36" i="7"/>
  <c r="F36" i="7"/>
  <c r="C35" i="16" s="1"/>
  <c r="Q36" i="7"/>
  <c r="P36" i="7"/>
  <c r="K36" i="7"/>
  <c r="H36" i="7"/>
  <c r="A36" i="13"/>
  <c r="A430" i="13"/>
  <c r="H430" i="13" s="1"/>
  <c r="A351" i="13"/>
  <c r="H351" i="13" s="1"/>
  <c r="A588" i="13"/>
  <c r="H588" i="13" s="1"/>
  <c r="A272" i="13"/>
  <c r="H272" i="13" s="1"/>
  <c r="A193" i="13"/>
  <c r="H193" i="13" s="1"/>
  <c r="A509" i="13"/>
  <c r="H509" i="13" s="1"/>
  <c r="A114" i="13"/>
  <c r="H114" i="13" s="1"/>
  <c r="H35" i="13"/>
  <c r="X30" i="8"/>
  <c r="B208" i="3"/>
  <c r="B128" i="3"/>
  <c r="AH30" i="7"/>
  <c r="B208" i="5"/>
  <c r="B128" i="5"/>
  <c r="B105" i="2"/>
  <c r="B37" i="2"/>
  <c r="B208" i="6"/>
  <c r="B128" i="6"/>
  <c r="B208" i="4"/>
  <c r="B128" i="4"/>
  <c r="G32" i="10"/>
  <c r="AF31" i="10"/>
  <c r="AF30" i="9"/>
  <c r="G30" i="9"/>
  <c r="X30" i="9"/>
  <c r="G30" i="8"/>
  <c r="AF30" i="8"/>
  <c r="AG30" i="8" s="1"/>
  <c r="I30" i="7"/>
  <c r="X30" i="7"/>
  <c r="A37" i="3"/>
  <c r="C36" i="3"/>
  <c r="X31" i="10"/>
  <c r="C37" i="6"/>
  <c r="C131" i="6"/>
  <c r="C37" i="5"/>
  <c r="C130" i="5"/>
  <c r="C130" i="4"/>
  <c r="C36" i="4"/>
  <c r="C129" i="3"/>
  <c r="C40" i="2"/>
  <c r="H105" i="1"/>
  <c r="I104" i="1"/>
  <c r="O37" i="9" l="1"/>
  <c r="S25" i="9"/>
  <c r="S38" i="8"/>
  <c r="AC38" i="7"/>
  <c r="AB38" i="7"/>
  <c r="AJ38" i="7" s="1"/>
  <c r="AF37" i="7"/>
  <c r="B31" i="8"/>
  <c r="N31" i="8"/>
  <c r="N31" i="9"/>
  <c r="B31" i="9"/>
  <c r="B31" i="7"/>
  <c r="N31" i="7"/>
  <c r="H37" i="9"/>
  <c r="K37" i="9"/>
  <c r="D37" i="9"/>
  <c r="E37" i="9"/>
  <c r="M39" i="2"/>
  <c r="J109" i="2"/>
  <c r="F109" i="2"/>
  <c r="K109" i="2"/>
  <c r="G109" i="2"/>
  <c r="D109" i="2"/>
  <c r="I109" i="2"/>
  <c r="H109" i="2"/>
  <c r="E109" i="2"/>
  <c r="H30" i="8"/>
  <c r="S30" i="8"/>
  <c r="F38" i="8"/>
  <c r="F37" i="16" s="1"/>
  <c r="S37" i="9"/>
  <c r="M38" i="9"/>
  <c r="A38" i="9"/>
  <c r="K38" i="9" s="1"/>
  <c r="T37" i="9"/>
  <c r="Q37" i="9"/>
  <c r="P37" i="9"/>
  <c r="R37" i="9"/>
  <c r="Q37" i="10"/>
  <c r="F37" i="10"/>
  <c r="L36" i="16" s="1"/>
  <c r="T37" i="10"/>
  <c r="P37" i="10"/>
  <c r="H37" i="10"/>
  <c r="R37" i="10"/>
  <c r="S37" i="10"/>
  <c r="E37" i="10"/>
  <c r="M39" i="8"/>
  <c r="A39" i="8"/>
  <c r="K39" i="8" s="1"/>
  <c r="K38" i="8"/>
  <c r="E38" i="8"/>
  <c r="T38" i="8"/>
  <c r="D38" i="8"/>
  <c r="H38" i="8"/>
  <c r="Q38" i="8"/>
  <c r="P38" i="8"/>
  <c r="A38" i="7"/>
  <c r="M38" i="7"/>
  <c r="AB39" i="10"/>
  <c r="AJ38" i="10"/>
  <c r="AE38" i="10"/>
  <c r="AG38" i="10"/>
  <c r="N38" i="10"/>
  <c r="M38" i="10"/>
  <c r="A38" i="10"/>
  <c r="B39" i="10" s="1"/>
  <c r="K37" i="10"/>
  <c r="D37" i="10"/>
  <c r="AC39" i="10"/>
  <c r="AE38" i="9"/>
  <c r="AJ38" i="9"/>
  <c r="AG38" i="9"/>
  <c r="AJ38" i="8"/>
  <c r="AE38" i="8"/>
  <c r="AG38" i="8"/>
  <c r="T37" i="7"/>
  <c r="Q37" i="7"/>
  <c r="R37" i="7"/>
  <c r="D37" i="7"/>
  <c r="K37" i="7"/>
  <c r="S37" i="7"/>
  <c r="P37" i="7"/>
  <c r="H37" i="7"/>
  <c r="F37" i="7"/>
  <c r="C36" i="16" s="1"/>
  <c r="E37" i="7"/>
  <c r="AG38" i="7"/>
  <c r="A37" i="13"/>
  <c r="A510" i="13"/>
  <c r="H510" i="13" s="1"/>
  <c r="A431" i="13"/>
  <c r="H431" i="13" s="1"/>
  <c r="A352" i="13"/>
  <c r="H352" i="13" s="1"/>
  <c r="A589" i="13"/>
  <c r="H589" i="13" s="1"/>
  <c r="A273" i="13"/>
  <c r="H273" i="13" s="1"/>
  <c r="A115" i="13"/>
  <c r="H115" i="13" s="1"/>
  <c r="A194" i="13"/>
  <c r="H194" i="13" s="1"/>
  <c r="H36" i="13"/>
  <c r="X31" i="7"/>
  <c r="G31" i="7"/>
  <c r="X31" i="8"/>
  <c r="B106" i="2"/>
  <c r="B38" i="2"/>
  <c r="B129" i="5"/>
  <c r="B209" i="5"/>
  <c r="AH31" i="7"/>
  <c r="B129" i="4"/>
  <c r="B209" i="4"/>
  <c r="B129" i="3"/>
  <c r="B209" i="3"/>
  <c r="B129" i="6"/>
  <c r="B209" i="6"/>
  <c r="G33" i="10"/>
  <c r="AF32" i="10"/>
  <c r="G31" i="9"/>
  <c r="X31" i="9"/>
  <c r="AF31" i="9"/>
  <c r="G31" i="8"/>
  <c r="AF31" i="8"/>
  <c r="I31" i="7"/>
  <c r="C37" i="3"/>
  <c r="A38" i="3"/>
  <c r="X32" i="10"/>
  <c r="C38" i="6"/>
  <c r="C132" i="6"/>
  <c r="C131" i="5"/>
  <c r="C38" i="5"/>
  <c r="C37" i="4"/>
  <c r="C131" i="4"/>
  <c r="C130" i="3"/>
  <c r="C41" i="2"/>
  <c r="H106" i="1"/>
  <c r="I105" i="1"/>
  <c r="O38" i="10" l="1"/>
  <c r="O38" i="9"/>
  <c r="AE38" i="7"/>
  <c r="AB39" i="7"/>
  <c r="AJ39" i="7" s="1"/>
  <c r="AF38" i="7"/>
  <c r="AC39" i="7"/>
  <c r="N32" i="9"/>
  <c r="B32" i="9"/>
  <c r="B32" i="7"/>
  <c r="N32" i="7"/>
  <c r="B32" i="8"/>
  <c r="N32" i="8"/>
  <c r="F39" i="8"/>
  <c r="F38" i="16" s="1"/>
  <c r="E39" i="8"/>
  <c r="J110" i="2"/>
  <c r="F110" i="2"/>
  <c r="K110" i="2"/>
  <c r="G110" i="2"/>
  <c r="D110" i="2"/>
  <c r="I110" i="2"/>
  <c r="E110" i="2"/>
  <c r="H110" i="2"/>
  <c r="R39" i="8"/>
  <c r="M40" i="2"/>
  <c r="S39" i="8"/>
  <c r="T39" i="8"/>
  <c r="Q39" i="8"/>
  <c r="H39" i="8"/>
  <c r="A39" i="9"/>
  <c r="F39" i="9" s="1"/>
  <c r="I38" i="16" s="1"/>
  <c r="M39" i="9"/>
  <c r="T38" i="9"/>
  <c r="S38" i="9"/>
  <c r="R38" i="9"/>
  <c r="P38" i="9"/>
  <c r="Q38" i="9"/>
  <c r="AC40" i="10"/>
  <c r="Q38" i="10"/>
  <c r="F38" i="10"/>
  <c r="L37" i="16" s="1"/>
  <c r="T38" i="10"/>
  <c r="P38" i="10"/>
  <c r="H38" i="10"/>
  <c r="S38" i="10"/>
  <c r="R38" i="10"/>
  <c r="E38" i="10"/>
  <c r="H38" i="9"/>
  <c r="D38" i="9"/>
  <c r="F38" i="9"/>
  <c r="I37" i="16" s="1"/>
  <c r="E38" i="9"/>
  <c r="A40" i="8"/>
  <c r="H40" i="8" s="1"/>
  <c r="M40" i="8"/>
  <c r="P39" i="8"/>
  <c r="D39" i="8"/>
  <c r="M39" i="7"/>
  <c r="A39" i="7"/>
  <c r="D38" i="10"/>
  <c r="A39" i="10"/>
  <c r="B40" i="10" s="1"/>
  <c r="K38" i="10"/>
  <c r="M39" i="10"/>
  <c r="N39" i="10"/>
  <c r="AB40" i="10"/>
  <c r="AJ39" i="10"/>
  <c r="AG39" i="10"/>
  <c r="AE39" i="10"/>
  <c r="AG39" i="9"/>
  <c r="AE39" i="9"/>
  <c r="AJ39" i="9"/>
  <c r="AJ39" i="8"/>
  <c r="AE39" i="8"/>
  <c r="AG39" i="8"/>
  <c r="T38" i="7"/>
  <c r="P38" i="7"/>
  <c r="Q38" i="7"/>
  <c r="F38" i="7"/>
  <c r="C37" i="16" s="1"/>
  <c r="R38" i="7"/>
  <c r="D38" i="7"/>
  <c r="S38" i="7"/>
  <c r="H38" i="7"/>
  <c r="E38" i="7"/>
  <c r="K38" i="7"/>
  <c r="A38" i="13"/>
  <c r="A590" i="13"/>
  <c r="H590" i="13" s="1"/>
  <c r="A274" i="13"/>
  <c r="H274" i="13" s="1"/>
  <c r="A511" i="13"/>
  <c r="H511" i="13" s="1"/>
  <c r="A432" i="13"/>
  <c r="H432" i="13" s="1"/>
  <c r="A195" i="13"/>
  <c r="H195" i="13" s="1"/>
  <c r="A353" i="13"/>
  <c r="H353" i="13" s="1"/>
  <c r="A116" i="13"/>
  <c r="H116" i="13" s="1"/>
  <c r="H37" i="13"/>
  <c r="X32" i="7"/>
  <c r="G32" i="7"/>
  <c r="B210" i="4"/>
  <c r="B130" i="4"/>
  <c r="B107" i="2"/>
  <c r="B39" i="2"/>
  <c r="B130" i="3"/>
  <c r="B210" i="3"/>
  <c r="B210" i="5"/>
  <c r="B130" i="5"/>
  <c r="B130" i="6"/>
  <c r="B210" i="6"/>
  <c r="AH32" i="7"/>
  <c r="AF33" i="10"/>
  <c r="G34" i="10"/>
  <c r="G32" i="9"/>
  <c r="X32" i="9"/>
  <c r="AF32" i="9"/>
  <c r="G32" i="8"/>
  <c r="X32" i="8"/>
  <c r="AF32" i="8"/>
  <c r="G33" i="7"/>
  <c r="I32" i="7"/>
  <c r="A39" i="3"/>
  <c r="C38" i="3"/>
  <c r="X33" i="10"/>
  <c r="C133" i="6"/>
  <c r="C39" i="6"/>
  <c r="C39" i="5"/>
  <c r="C132" i="5"/>
  <c r="C132" i="4"/>
  <c r="C38" i="4"/>
  <c r="C131" i="3"/>
  <c r="C42" i="2"/>
  <c r="H107" i="1"/>
  <c r="I106" i="1"/>
  <c r="AG39" i="7" l="1"/>
  <c r="O39" i="10"/>
  <c r="O39" i="9"/>
  <c r="AE39" i="7"/>
  <c r="AC40" i="7"/>
  <c r="AB40" i="7"/>
  <c r="AG40" i="7" s="1"/>
  <c r="AF39" i="7"/>
  <c r="N33" i="7"/>
  <c r="B33" i="7"/>
  <c r="N33" i="9"/>
  <c r="B33" i="9"/>
  <c r="B33" i="8"/>
  <c r="N33" i="8"/>
  <c r="Q40" i="8"/>
  <c r="M41" i="2"/>
  <c r="J111" i="2"/>
  <c r="F111" i="2"/>
  <c r="K111" i="2"/>
  <c r="G111" i="2"/>
  <c r="D111" i="2"/>
  <c r="E111" i="2"/>
  <c r="I111" i="2"/>
  <c r="H111" i="2"/>
  <c r="F40" i="8"/>
  <c r="F39" i="16" s="1"/>
  <c r="S39" i="9"/>
  <c r="A40" i="9"/>
  <c r="H40" i="9" s="1"/>
  <c r="M40" i="9"/>
  <c r="T39" i="9"/>
  <c r="P39" i="9"/>
  <c r="R39" i="9"/>
  <c r="Q39" i="9"/>
  <c r="T40" i="8"/>
  <c r="Q39" i="10"/>
  <c r="F39" i="10"/>
  <c r="L38" i="16" s="1"/>
  <c r="T39" i="10"/>
  <c r="P39" i="10"/>
  <c r="H39" i="10"/>
  <c r="R39" i="10"/>
  <c r="S39" i="10"/>
  <c r="E39" i="10"/>
  <c r="H39" i="9"/>
  <c r="K39" i="9"/>
  <c r="E39" i="9"/>
  <c r="D39" i="9"/>
  <c r="E40" i="8"/>
  <c r="D40" i="8"/>
  <c r="S40" i="8"/>
  <c r="M41" i="8"/>
  <c r="A41" i="8"/>
  <c r="P40" i="8"/>
  <c r="R40" i="8"/>
  <c r="K40" i="8"/>
  <c r="A40" i="7"/>
  <c r="M40" i="7"/>
  <c r="AB41" i="10"/>
  <c r="AE40" i="10"/>
  <c r="AJ40" i="10"/>
  <c r="AG40" i="10"/>
  <c r="N40" i="10"/>
  <c r="D39" i="10"/>
  <c r="A40" i="10"/>
  <c r="B41" i="10" s="1"/>
  <c r="K39" i="10"/>
  <c r="M40" i="10"/>
  <c r="AC41" i="10"/>
  <c r="AJ40" i="9"/>
  <c r="AG40" i="9"/>
  <c r="AE40" i="9"/>
  <c r="AG40" i="8"/>
  <c r="AJ40" i="8"/>
  <c r="AE40" i="8"/>
  <c r="S39" i="7"/>
  <c r="T39" i="7"/>
  <c r="K39" i="7"/>
  <c r="H39" i="7"/>
  <c r="E39" i="7"/>
  <c r="F39" i="7"/>
  <c r="C38" i="16" s="1"/>
  <c r="Q39" i="7"/>
  <c r="D39" i="7"/>
  <c r="R39" i="7"/>
  <c r="P39" i="7"/>
  <c r="AJ40" i="7"/>
  <c r="AE40" i="7"/>
  <c r="A39" i="13"/>
  <c r="A354" i="13"/>
  <c r="H354" i="13" s="1"/>
  <c r="A591" i="13"/>
  <c r="H591" i="13" s="1"/>
  <c r="A275" i="13"/>
  <c r="H275" i="13" s="1"/>
  <c r="A512" i="13"/>
  <c r="H512" i="13" s="1"/>
  <c r="A196" i="13"/>
  <c r="H196" i="13" s="1"/>
  <c r="A433" i="13"/>
  <c r="H433" i="13" s="1"/>
  <c r="A117" i="13"/>
  <c r="H117" i="13" s="1"/>
  <c r="H38" i="13"/>
  <c r="X33" i="8"/>
  <c r="AH33" i="7"/>
  <c r="B211" i="3"/>
  <c r="B131" i="3"/>
  <c r="B131" i="4"/>
  <c r="B211" i="4"/>
  <c r="B131" i="6"/>
  <c r="B211" i="6"/>
  <c r="B211" i="5"/>
  <c r="B131" i="5"/>
  <c r="B108" i="2"/>
  <c r="B40" i="2"/>
  <c r="G35" i="10"/>
  <c r="AF34" i="10"/>
  <c r="AF33" i="9"/>
  <c r="G33" i="9"/>
  <c r="X33" i="9"/>
  <c r="AF33" i="8"/>
  <c r="G33" i="8"/>
  <c r="I33" i="7"/>
  <c r="X33" i="7"/>
  <c r="A40" i="3"/>
  <c r="C39" i="3"/>
  <c r="X34" i="10"/>
  <c r="C40" i="6"/>
  <c r="C134" i="6"/>
  <c r="C133" i="5"/>
  <c r="C40" i="5"/>
  <c r="C39" i="4"/>
  <c r="C133" i="4"/>
  <c r="C132" i="3"/>
  <c r="C43" i="2"/>
  <c r="H108" i="1"/>
  <c r="I107" i="1"/>
  <c r="O40" i="10" l="1"/>
  <c r="O40" i="9"/>
  <c r="F40" i="9"/>
  <c r="I39" i="16" s="1"/>
  <c r="D40" i="9"/>
  <c r="AB41" i="7"/>
  <c r="AE41" i="7" s="1"/>
  <c r="AF40" i="7"/>
  <c r="AC41" i="7"/>
  <c r="B34" i="9"/>
  <c r="N34" i="9"/>
  <c r="B34" i="7"/>
  <c r="N34" i="7"/>
  <c r="N34" i="8"/>
  <c r="B34" i="8"/>
  <c r="R41" i="8"/>
  <c r="K40" i="9"/>
  <c r="Q41" i="8"/>
  <c r="D41" i="8"/>
  <c r="E41" i="8"/>
  <c r="H41" i="8"/>
  <c r="F41" i="8"/>
  <c r="F40" i="16" s="1"/>
  <c r="K41" i="8"/>
  <c r="T41" i="8"/>
  <c r="M42" i="2"/>
  <c r="J112" i="2"/>
  <c r="F112" i="2"/>
  <c r="K112" i="2"/>
  <c r="G112" i="2"/>
  <c r="D112" i="2"/>
  <c r="E112" i="2"/>
  <c r="I112" i="2"/>
  <c r="H112" i="2"/>
  <c r="P41" i="8"/>
  <c r="S41" i="8"/>
  <c r="E40" i="9"/>
  <c r="M41" i="9"/>
  <c r="A41" i="9"/>
  <c r="H41" i="9" s="1"/>
  <c r="P40" i="9"/>
  <c r="T40" i="9"/>
  <c r="R40" i="9"/>
  <c r="S40" i="9"/>
  <c r="Q40" i="9"/>
  <c r="Q40" i="10"/>
  <c r="F40" i="10"/>
  <c r="L39" i="16" s="1"/>
  <c r="T40" i="10"/>
  <c r="P40" i="10"/>
  <c r="H40" i="10"/>
  <c r="S40" i="10"/>
  <c r="R40" i="10"/>
  <c r="E40" i="10"/>
  <c r="AC42" i="10"/>
  <c r="A42" i="8"/>
  <c r="S42" i="8" s="1"/>
  <c r="M42" i="8"/>
  <c r="M41" i="7"/>
  <c r="A41" i="7"/>
  <c r="A41" i="10"/>
  <c r="B42" i="10" s="1"/>
  <c r="K40" i="10"/>
  <c r="M41" i="10"/>
  <c r="D40" i="10"/>
  <c r="N41" i="10"/>
  <c r="AB42" i="10"/>
  <c r="AJ41" i="10"/>
  <c r="AE41" i="10"/>
  <c r="AG41" i="10"/>
  <c r="AJ41" i="9"/>
  <c r="AG41" i="9"/>
  <c r="AE41" i="9"/>
  <c r="AG41" i="8"/>
  <c r="AE41" i="8"/>
  <c r="AJ41" i="8"/>
  <c r="AJ41" i="7"/>
  <c r="R40" i="7"/>
  <c r="S40" i="7"/>
  <c r="P40" i="7"/>
  <c r="D40" i="7"/>
  <c r="K40" i="7"/>
  <c r="H40" i="7"/>
  <c r="T40" i="7"/>
  <c r="E40" i="7"/>
  <c r="F40" i="7"/>
  <c r="C39" i="16" s="1"/>
  <c r="Q40" i="7"/>
  <c r="A40" i="13"/>
  <c r="A434" i="13"/>
  <c r="H434" i="13" s="1"/>
  <c r="A355" i="13"/>
  <c r="H355" i="13" s="1"/>
  <c r="A592" i="13"/>
  <c r="H592" i="13" s="1"/>
  <c r="A513" i="13"/>
  <c r="H513" i="13" s="1"/>
  <c r="A276" i="13"/>
  <c r="H276" i="13" s="1"/>
  <c r="A197" i="13"/>
  <c r="H197" i="13" s="1"/>
  <c r="A118" i="13"/>
  <c r="H118" i="13" s="1"/>
  <c r="H39" i="13"/>
  <c r="X34" i="7"/>
  <c r="G34" i="7"/>
  <c r="X34" i="8"/>
  <c r="B109" i="2"/>
  <c r="B41" i="2"/>
  <c r="B212" i="3"/>
  <c r="B132" i="3"/>
  <c r="B212" i="6"/>
  <c r="B132" i="6"/>
  <c r="AH34" i="7"/>
  <c r="B212" i="5"/>
  <c r="B132" i="5"/>
  <c r="B212" i="4"/>
  <c r="B132" i="4"/>
  <c r="AF35" i="10"/>
  <c r="G36" i="10"/>
  <c r="AF34" i="9"/>
  <c r="G34" i="9"/>
  <c r="X34" i="9"/>
  <c r="G34" i="8"/>
  <c r="AF34" i="8"/>
  <c r="G35" i="7"/>
  <c r="I34" i="7"/>
  <c r="A41" i="3"/>
  <c r="C40" i="3"/>
  <c r="X35" i="10"/>
  <c r="C135" i="6"/>
  <c r="C41" i="6"/>
  <c r="C134" i="5"/>
  <c r="C41" i="5"/>
  <c r="C40" i="4"/>
  <c r="C134" i="4"/>
  <c r="C133" i="3"/>
  <c r="C44" i="2"/>
  <c r="H109" i="1"/>
  <c r="I108" i="1"/>
  <c r="O41" i="10" l="1"/>
  <c r="O41" i="9"/>
  <c r="AG41" i="7"/>
  <c r="AC42" i="7"/>
  <c r="AB42" i="7"/>
  <c r="AG42" i="7" s="1"/>
  <c r="AF41" i="7"/>
  <c r="B35" i="7"/>
  <c r="N35" i="7"/>
  <c r="N35" i="8"/>
  <c r="B35" i="8"/>
  <c r="B35" i="9"/>
  <c r="N35" i="9"/>
  <c r="M43" i="2"/>
  <c r="J113" i="2"/>
  <c r="F113" i="2"/>
  <c r="K113" i="2"/>
  <c r="G113" i="2"/>
  <c r="D113" i="2"/>
  <c r="I113" i="2"/>
  <c r="H113" i="2"/>
  <c r="E113" i="2"/>
  <c r="S41" i="9"/>
  <c r="A42" i="9"/>
  <c r="H42" i="9" s="1"/>
  <c r="M42" i="9"/>
  <c r="O42" i="9" s="1"/>
  <c r="T41" i="9"/>
  <c r="R41" i="9"/>
  <c r="Q41" i="9"/>
  <c r="P41" i="9"/>
  <c r="F41" i="9"/>
  <c r="I40" i="16" s="1"/>
  <c r="D41" i="9"/>
  <c r="E41" i="9"/>
  <c r="K41" i="9"/>
  <c r="Q42" i="8"/>
  <c r="P42" i="8"/>
  <c r="K42" i="8"/>
  <c r="R42" i="8"/>
  <c r="Q41" i="10"/>
  <c r="F41" i="10"/>
  <c r="L40" i="16" s="1"/>
  <c r="T41" i="10"/>
  <c r="P41" i="10"/>
  <c r="S41" i="10"/>
  <c r="R41" i="10"/>
  <c r="H41" i="10"/>
  <c r="E41" i="10"/>
  <c r="M43" i="8"/>
  <c r="A43" i="8"/>
  <c r="D42" i="8"/>
  <c r="E42" i="8"/>
  <c r="T42" i="8"/>
  <c r="F42" i="8"/>
  <c r="F41" i="16" s="1"/>
  <c r="H42" i="8"/>
  <c r="A42" i="7"/>
  <c r="M42" i="7"/>
  <c r="AB43" i="10"/>
  <c r="AE42" i="10"/>
  <c r="N42" i="10"/>
  <c r="AC43" i="10"/>
  <c r="M42" i="10"/>
  <c r="D41" i="10"/>
  <c r="A42" i="10"/>
  <c r="B43" i="10" s="1"/>
  <c r="K41" i="10"/>
  <c r="AE42" i="9"/>
  <c r="AJ42" i="9"/>
  <c r="AG42" i="9"/>
  <c r="AJ42" i="8"/>
  <c r="AE42" i="8"/>
  <c r="AG42" i="8"/>
  <c r="T41" i="7"/>
  <c r="Q41" i="7"/>
  <c r="R41" i="7"/>
  <c r="S41" i="7"/>
  <c r="K41" i="7"/>
  <c r="H41" i="7"/>
  <c r="P41" i="7"/>
  <c r="D41" i="7"/>
  <c r="E41" i="7"/>
  <c r="F41" i="7"/>
  <c r="C40" i="16" s="1"/>
  <c r="A41" i="13"/>
  <c r="A514" i="13"/>
  <c r="H514" i="13" s="1"/>
  <c r="A435" i="13"/>
  <c r="H435" i="13" s="1"/>
  <c r="A356" i="13"/>
  <c r="H356" i="13" s="1"/>
  <c r="A119" i="13"/>
  <c r="H119" i="13" s="1"/>
  <c r="A198" i="13"/>
  <c r="H198" i="13" s="1"/>
  <c r="A593" i="13"/>
  <c r="H593" i="13" s="1"/>
  <c r="A277" i="13"/>
  <c r="H277" i="13" s="1"/>
  <c r="H40" i="13"/>
  <c r="X35" i="8"/>
  <c r="AH35" i="7"/>
  <c r="B213" i="3"/>
  <c r="B133" i="3"/>
  <c r="B213" i="5"/>
  <c r="B133" i="5"/>
  <c r="X35" i="7"/>
  <c r="B42" i="2"/>
  <c r="B110" i="2"/>
  <c r="B133" i="4"/>
  <c r="B213" i="4"/>
  <c r="B133" i="6"/>
  <c r="B213" i="6"/>
  <c r="G37" i="10"/>
  <c r="AF36" i="10"/>
  <c r="G35" i="9"/>
  <c r="X35" i="9"/>
  <c r="AF35" i="9"/>
  <c r="AF35" i="8"/>
  <c r="G35" i="8"/>
  <c r="I35" i="7"/>
  <c r="A42" i="3"/>
  <c r="C41" i="3"/>
  <c r="X36" i="10"/>
  <c r="C42" i="6"/>
  <c r="C136" i="6"/>
  <c r="C135" i="5"/>
  <c r="C42" i="5"/>
  <c r="C135" i="4"/>
  <c r="C41" i="4"/>
  <c r="C134" i="3"/>
  <c r="C45" i="2"/>
  <c r="H110" i="1"/>
  <c r="I109" i="1"/>
  <c r="O42" i="10" l="1"/>
  <c r="AJ42" i="7"/>
  <c r="AE42" i="7"/>
  <c r="AB43" i="7"/>
  <c r="AE43" i="7" s="1"/>
  <c r="AF42" i="7"/>
  <c r="AC43" i="7"/>
  <c r="N36" i="8"/>
  <c r="B36" i="8"/>
  <c r="N36" i="9"/>
  <c r="B36" i="9"/>
  <c r="B36" i="7"/>
  <c r="N36" i="7"/>
  <c r="J114" i="2"/>
  <c r="F114" i="2"/>
  <c r="K114" i="2"/>
  <c r="G114" i="2"/>
  <c r="D114" i="2"/>
  <c r="I114" i="2"/>
  <c r="E114" i="2"/>
  <c r="H114" i="2"/>
  <c r="M44" i="2"/>
  <c r="AC44" i="10"/>
  <c r="K43" i="8"/>
  <c r="S42" i="9"/>
  <c r="M43" i="9"/>
  <c r="O43" i="9" s="1"/>
  <c r="A43" i="9"/>
  <c r="F43" i="9" s="1"/>
  <c r="I42" i="16" s="1"/>
  <c r="T42" i="9"/>
  <c r="P42" i="9"/>
  <c r="R42" i="9"/>
  <c r="Q42" i="9"/>
  <c r="H43" i="8"/>
  <c r="D43" i="8"/>
  <c r="S42" i="10"/>
  <c r="Q42" i="10"/>
  <c r="P42" i="10"/>
  <c r="E42" i="10"/>
  <c r="F42" i="9"/>
  <c r="I41" i="16" s="1"/>
  <c r="E42" i="9"/>
  <c r="D42" i="9"/>
  <c r="K42" i="9"/>
  <c r="S43" i="8"/>
  <c r="R43" i="8"/>
  <c r="A44" i="8"/>
  <c r="H44" i="8" s="1"/>
  <c r="M44" i="8"/>
  <c r="T43" i="8"/>
  <c r="P43" i="8"/>
  <c r="F43" i="8"/>
  <c r="F42" i="16" s="1"/>
  <c r="Q43" i="8"/>
  <c r="E43" i="8"/>
  <c r="M43" i="7"/>
  <c r="A43" i="7"/>
  <c r="N43" i="10"/>
  <c r="A43" i="10"/>
  <c r="B44" i="10" s="1"/>
  <c r="K42" i="10"/>
  <c r="H42" i="10"/>
  <c r="M43" i="10"/>
  <c r="O43" i="10" s="1"/>
  <c r="T42" i="10"/>
  <c r="F42" i="10"/>
  <c r="L41" i="16" s="1"/>
  <c r="R42" i="10"/>
  <c r="D42" i="10"/>
  <c r="AB44" i="10"/>
  <c r="AE43" i="10"/>
  <c r="AG43" i="9"/>
  <c r="AE43" i="9"/>
  <c r="AJ43" i="9"/>
  <c r="AJ43" i="8"/>
  <c r="AE43" i="8"/>
  <c r="AG43" i="8"/>
  <c r="P42" i="7"/>
  <c r="Q42" i="7"/>
  <c r="R42" i="7"/>
  <c r="F42" i="7"/>
  <c r="C41" i="16" s="1"/>
  <c r="S42" i="7"/>
  <c r="T42" i="7"/>
  <c r="H42" i="7"/>
  <c r="D42" i="7"/>
  <c r="E42" i="7"/>
  <c r="K42" i="7"/>
  <c r="A42" i="13"/>
  <c r="A594" i="13"/>
  <c r="H594" i="13" s="1"/>
  <c r="A278" i="13"/>
  <c r="H278" i="13" s="1"/>
  <c r="A515" i="13"/>
  <c r="H515" i="13" s="1"/>
  <c r="A436" i="13"/>
  <c r="H436" i="13" s="1"/>
  <c r="A199" i="13"/>
  <c r="H199" i="13" s="1"/>
  <c r="A120" i="13"/>
  <c r="H120" i="13" s="1"/>
  <c r="A357" i="13"/>
  <c r="H357" i="13" s="1"/>
  <c r="H41" i="13"/>
  <c r="X36" i="7"/>
  <c r="G36" i="7"/>
  <c r="X36" i="8"/>
  <c r="B214" i="4"/>
  <c r="B134" i="4"/>
  <c r="B43" i="2"/>
  <c r="B111" i="2"/>
  <c r="B134" i="5"/>
  <c r="B214" i="5"/>
  <c r="AH36" i="7"/>
  <c r="B214" i="6"/>
  <c r="B134" i="6"/>
  <c r="B214" i="3"/>
  <c r="B134" i="3"/>
  <c r="AF37" i="10"/>
  <c r="G38" i="10"/>
  <c r="G36" i="9"/>
  <c r="X36" i="9"/>
  <c r="AF36" i="9"/>
  <c r="G36" i="8"/>
  <c r="AF36" i="8"/>
  <c r="I36" i="7"/>
  <c r="C42" i="3"/>
  <c r="A43" i="3"/>
  <c r="X37" i="10"/>
  <c r="C137" i="6"/>
  <c r="C43" i="6"/>
  <c r="C43" i="5"/>
  <c r="C136" i="5"/>
  <c r="C42" i="4"/>
  <c r="C136" i="4"/>
  <c r="C135" i="3"/>
  <c r="C46" i="2"/>
  <c r="H111" i="1"/>
  <c r="I110" i="1"/>
  <c r="AJ43" i="7" l="1"/>
  <c r="AG43" i="7"/>
  <c r="AC44" i="7"/>
  <c r="AB44" i="7"/>
  <c r="AE44" i="7" s="1"/>
  <c r="AF43" i="7"/>
  <c r="B37" i="9"/>
  <c r="N37" i="9"/>
  <c r="N37" i="8"/>
  <c r="B37" i="8"/>
  <c r="B37" i="7"/>
  <c r="N37" i="7"/>
  <c r="R44" i="8"/>
  <c r="J115" i="2"/>
  <c r="F115" i="2"/>
  <c r="K115" i="2"/>
  <c r="G115" i="2"/>
  <c r="D115" i="2"/>
  <c r="E115" i="2"/>
  <c r="I115" i="2"/>
  <c r="H115" i="2"/>
  <c r="M45" i="2"/>
  <c r="S43" i="9"/>
  <c r="M44" i="9"/>
  <c r="A44" i="9"/>
  <c r="D44" i="9" s="1"/>
  <c r="T43" i="9"/>
  <c r="R43" i="9"/>
  <c r="P43" i="9"/>
  <c r="Q43" i="9"/>
  <c r="K44" i="8"/>
  <c r="D44" i="8"/>
  <c r="Q44" i="8"/>
  <c r="D43" i="9"/>
  <c r="S44" i="8"/>
  <c r="E44" i="8"/>
  <c r="F44" i="8"/>
  <c r="F43" i="16" s="1"/>
  <c r="T44" i="8"/>
  <c r="P44" i="8"/>
  <c r="S43" i="10"/>
  <c r="Q43" i="10"/>
  <c r="P43" i="10"/>
  <c r="E43" i="10"/>
  <c r="H43" i="9"/>
  <c r="K43" i="9"/>
  <c r="E43" i="9"/>
  <c r="M45" i="8"/>
  <c r="A45" i="8"/>
  <c r="A44" i="7"/>
  <c r="M44" i="7"/>
  <c r="AB45" i="10"/>
  <c r="AE44" i="10"/>
  <c r="AC45" i="10"/>
  <c r="M44" i="10"/>
  <c r="O44" i="10" s="1"/>
  <c r="R43" i="10"/>
  <c r="H43" i="10"/>
  <c r="T43" i="10"/>
  <c r="F43" i="10"/>
  <c r="L42" i="16" s="1"/>
  <c r="D43" i="10"/>
  <c r="A44" i="10"/>
  <c r="B45" i="10" s="1"/>
  <c r="K43" i="10"/>
  <c r="N44" i="10"/>
  <c r="AJ44" i="9"/>
  <c r="AG44" i="9"/>
  <c r="AE44" i="9"/>
  <c r="AG44" i="8"/>
  <c r="AJ44" i="8"/>
  <c r="AE44" i="8"/>
  <c r="T43" i="7"/>
  <c r="S43" i="7"/>
  <c r="Q43" i="7"/>
  <c r="K43" i="7"/>
  <c r="H43" i="7"/>
  <c r="E43" i="7"/>
  <c r="F43" i="7"/>
  <c r="C42" i="16" s="1"/>
  <c r="R43" i="7"/>
  <c r="P43" i="7"/>
  <c r="D43" i="7"/>
  <c r="A43" i="13"/>
  <c r="A358" i="13"/>
  <c r="H358" i="13" s="1"/>
  <c r="A595" i="13"/>
  <c r="H595" i="13" s="1"/>
  <c r="A279" i="13"/>
  <c r="H279" i="13" s="1"/>
  <c r="A516" i="13"/>
  <c r="H516" i="13" s="1"/>
  <c r="A200" i="13"/>
  <c r="H200" i="13" s="1"/>
  <c r="A437" i="13"/>
  <c r="H437" i="13" s="1"/>
  <c r="A121" i="13"/>
  <c r="H121" i="13" s="1"/>
  <c r="H42" i="13"/>
  <c r="X37" i="7"/>
  <c r="G37" i="7"/>
  <c r="X37" i="8"/>
  <c r="B215" i="5"/>
  <c r="B135" i="5"/>
  <c r="AH37" i="7"/>
  <c r="B112" i="2"/>
  <c r="B44" i="2"/>
  <c r="B215" i="3"/>
  <c r="B135" i="3"/>
  <c r="B215" i="6"/>
  <c r="B135" i="6"/>
  <c r="B215" i="4"/>
  <c r="B135" i="4"/>
  <c r="G39" i="10"/>
  <c r="AF38" i="10"/>
  <c r="AF37" i="9"/>
  <c r="G37" i="9"/>
  <c r="X37" i="9"/>
  <c r="G37" i="8"/>
  <c r="AF37" i="8"/>
  <c r="I37" i="7"/>
  <c r="A44" i="3"/>
  <c r="C43" i="3"/>
  <c r="X38" i="10"/>
  <c r="C138" i="6"/>
  <c r="C44" i="6"/>
  <c r="C137" i="5"/>
  <c r="C44" i="5"/>
  <c r="C43" i="4"/>
  <c r="C137" i="4"/>
  <c r="C136" i="3"/>
  <c r="C47" i="2"/>
  <c r="H112" i="1"/>
  <c r="I111" i="1"/>
  <c r="O44" i="9" l="1"/>
  <c r="AJ44" i="7"/>
  <c r="AG44" i="7"/>
  <c r="H44" i="9"/>
  <c r="AB45" i="7"/>
  <c r="AJ45" i="7" s="1"/>
  <c r="AF44" i="7"/>
  <c r="AC45" i="7"/>
  <c r="N38" i="8"/>
  <c r="B38" i="8"/>
  <c r="N38" i="7"/>
  <c r="B38" i="7"/>
  <c r="B38" i="9"/>
  <c r="N38" i="9"/>
  <c r="J116" i="2"/>
  <c r="F116" i="2"/>
  <c r="K116" i="2"/>
  <c r="G116" i="2"/>
  <c r="D116" i="2"/>
  <c r="I116" i="2"/>
  <c r="H116" i="2"/>
  <c r="E116" i="2"/>
  <c r="M46" i="2"/>
  <c r="S44" i="9"/>
  <c r="M45" i="9"/>
  <c r="O45" i="9" s="1"/>
  <c r="A45" i="9"/>
  <c r="K45" i="9" s="1"/>
  <c r="T44" i="9"/>
  <c r="P44" i="9"/>
  <c r="R44" i="9"/>
  <c r="Q44" i="9"/>
  <c r="H45" i="8"/>
  <c r="E44" i="9"/>
  <c r="AC46" i="10"/>
  <c r="S44" i="10"/>
  <c r="Q44" i="10"/>
  <c r="P44" i="10"/>
  <c r="E44" i="10"/>
  <c r="F44" i="9"/>
  <c r="I43" i="16" s="1"/>
  <c r="K44" i="9"/>
  <c r="R45" i="8"/>
  <c r="K45" i="8"/>
  <c r="P45" i="8"/>
  <c r="Q45" i="8"/>
  <c r="A46" i="8"/>
  <c r="M46" i="8"/>
  <c r="F45" i="8"/>
  <c r="F44" i="16" s="1"/>
  <c r="E45" i="8"/>
  <c r="D45" i="8"/>
  <c r="S45" i="8"/>
  <c r="T45" i="8"/>
  <c r="M45" i="7"/>
  <c r="A45" i="7"/>
  <c r="F44" i="10"/>
  <c r="L43" i="16" s="1"/>
  <c r="M45" i="10"/>
  <c r="D44" i="10"/>
  <c r="A45" i="10"/>
  <c r="B46" i="10" s="1"/>
  <c r="R44" i="10"/>
  <c r="K44" i="10"/>
  <c r="H44" i="10"/>
  <c r="T44" i="10"/>
  <c r="N45" i="10"/>
  <c r="AB46" i="10"/>
  <c r="AE45" i="10"/>
  <c r="AJ45" i="9"/>
  <c r="AG45" i="9"/>
  <c r="AE45" i="9"/>
  <c r="AG45" i="8"/>
  <c r="AJ45" i="8"/>
  <c r="AE45" i="8"/>
  <c r="R44" i="7"/>
  <c r="T44" i="7"/>
  <c r="S44" i="7"/>
  <c r="D44" i="7"/>
  <c r="E44" i="7"/>
  <c r="F44" i="7"/>
  <c r="C43" i="16" s="1"/>
  <c r="Q44" i="7"/>
  <c r="K44" i="7"/>
  <c r="H44" i="7"/>
  <c r="P44" i="7"/>
  <c r="A44" i="13"/>
  <c r="A438" i="13"/>
  <c r="H438" i="13" s="1"/>
  <c r="A359" i="13"/>
  <c r="H359" i="13" s="1"/>
  <c r="A596" i="13"/>
  <c r="H596" i="13" s="1"/>
  <c r="A517" i="13"/>
  <c r="H517" i="13" s="1"/>
  <c r="A201" i="13"/>
  <c r="H201" i="13" s="1"/>
  <c r="A280" i="13"/>
  <c r="H280" i="13" s="1"/>
  <c r="A122" i="13"/>
  <c r="H122" i="13" s="1"/>
  <c r="H43" i="13"/>
  <c r="X38" i="7"/>
  <c r="G38" i="7"/>
  <c r="X38" i="8"/>
  <c r="B136" i="4"/>
  <c r="B216" i="4"/>
  <c r="AH38" i="7"/>
  <c r="B136" i="6"/>
  <c r="B216" i="6"/>
  <c r="B216" i="5"/>
  <c r="B136" i="5"/>
  <c r="B136" i="3"/>
  <c r="B216" i="3"/>
  <c r="B113" i="2"/>
  <c r="B45" i="2"/>
  <c r="AF39" i="10"/>
  <c r="G40" i="10"/>
  <c r="AF38" i="9"/>
  <c r="G38" i="9"/>
  <c r="X38" i="9"/>
  <c r="G38" i="8"/>
  <c r="AF38" i="8"/>
  <c r="I38" i="7"/>
  <c r="A45" i="3"/>
  <c r="C44" i="3"/>
  <c r="X39" i="10"/>
  <c r="C45" i="6"/>
  <c r="C139" i="6"/>
  <c r="C45" i="5"/>
  <c r="C138" i="5"/>
  <c r="C138" i="4"/>
  <c r="C44" i="4"/>
  <c r="C137" i="3"/>
  <c r="C48" i="2"/>
  <c r="H113" i="1"/>
  <c r="I112" i="1"/>
  <c r="O45" i="10" l="1"/>
  <c r="AG45" i="7"/>
  <c r="AE45" i="7"/>
  <c r="AC46" i="7"/>
  <c r="AB46" i="7"/>
  <c r="AF45" i="7"/>
  <c r="B39" i="8"/>
  <c r="N39" i="8"/>
  <c r="N39" i="7"/>
  <c r="B39" i="7"/>
  <c r="N39" i="9"/>
  <c r="B39" i="9"/>
  <c r="H45" i="9"/>
  <c r="J117" i="2"/>
  <c r="F117" i="2"/>
  <c r="K117" i="2"/>
  <c r="G117" i="2"/>
  <c r="D117" i="2"/>
  <c r="E117" i="2"/>
  <c r="I117" i="2"/>
  <c r="H117" i="2"/>
  <c r="E46" i="8"/>
  <c r="M47" i="2"/>
  <c r="K46" i="8"/>
  <c r="H46" i="8"/>
  <c r="D46" i="8"/>
  <c r="T46" i="8"/>
  <c r="S45" i="9"/>
  <c r="M46" i="9"/>
  <c r="O46" i="9" s="1"/>
  <c r="A46" i="9"/>
  <c r="H46" i="9" s="1"/>
  <c r="T45" i="9"/>
  <c r="R45" i="9"/>
  <c r="Q45" i="9"/>
  <c r="P45" i="9"/>
  <c r="S45" i="10"/>
  <c r="Q45" i="10"/>
  <c r="P45" i="10"/>
  <c r="E45" i="10"/>
  <c r="D45" i="9"/>
  <c r="E45" i="9"/>
  <c r="F45" i="9"/>
  <c r="I44" i="16" s="1"/>
  <c r="M47" i="8"/>
  <c r="A47" i="8"/>
  <c r="Q47" i="8" s="1"/>
  <c r="Q46" i="8"/>
  <c r="P46" i="8"/>
  <c r="F46" i="8"/>
  <c r="F45" i="16" s="1"/>
  <c r="S46" i="8"/>
  <c r="R46" i="8"/>
  <c r="A46" i="7"/>
  <c r="M46" i="7"/>
  <c r="AB47" i="10"/>
  <c r="AE46" i="10"/>
  <c r="N46" i="10"/>
  <c r="T45" i="10"/>
  <c r="D45" i="10"/>
  <c r="A46" i="10"/>
  <c r="B47" i="10" s="1"/>
  <c r="K45" i="10"/>
  <c r="R45" i="10"/>
  <c r="H45" i="10"/>
  <c r="M46" i="10"/>
  <c r="O46" i="10" s="1"/>
  <c r="F45" i="10"/>
  <c r="L44" i="16" s="1"/>
  <c r="AC47" i="10"/>
  <c r="AE46" i="9"/>
  <c r="AJ46" i="9"/>
  <c r="AG46" i="9"/>
  <c r="AJ46" i="8"/>
  <c r="AE46" i="8"/>
  <c r="AG46" i="8"/>
  <c r="T45" i="7"/>
  <c r="Q45" i="7"/>
  <c r="R45" i="7"/>
  <c r="P45" i="7"/>
  <c r="D45" i="7"/>
  <c r="S45" i="7"/>
  <c r="K45" i="7"/>
  <c r="H45" i="7"/>
  <c r="F45" i="7"/>
  <c r="C44" i="16" s="1"/>
  <c r="E45" i="7"/>
  <c r="A45" i="13"/>
  <c r="A518" i="13"/>
  <c r="H518" i="13" s="1"/>
  <c r="A439" i="13"/>
  <c r="H439" i="13" s="1"/>
  <c r="A360" i="13"/>
  <c r="H360" i="13" s="1"/>
  <c r="A281" i="13"/>
  <c r="H281" i="13" s="1"/>
  <c r="A123" i="13"/>
  <c r="H123" i="13" s="1"/>
  <c r="A597" i="13"/>
  <c r="H597" i="13" s="1"/>
  <c r="A202" i="13"/>
  <c r="H202" i="13" s="1"/>
  <c r="H44" i="13"/>
  <c r="X39" i="7"/>
  <c r="G39" i="7"/>
  <c r="X39" i="8"/>
  <c r="B114" i="2"/>
  <c r="B46" i="2"/>
  <c r="B137" i="5"/>
  <c r="B217" i="5"/>
  <c r="B137" i="6"/>
  <c r="B217" i="6"/>
  <c r="B137" i="4"/>
  <c r="B217" i="4"/>
  <c r="AH39" i="7"/>
  <c r="B137" i="3"/>
  <c r="B217" i="3"/>
  <c r="AF40" i="10"/>
  <c r="G41" i="10"/>
  <c r="G39" i="9"/>
  <c r="X39" i="9"/>
  <c r="AF39" i="9"/>
  <c r="AF39" i="8"/>
  <c r="G39" i="8"/>
  <c r="I39" i="7"/>
  <c r="A46" i="3"/>
  <c r="C45" i="3"/>
  <c r="X40" i="10"/>
  <c r="C46" i="6"/>
  <c r="C140" i="6"/>
  <c r="C139" i="5"/>
  <c r="C46" i="5"/>
  <c r="C45" i="4"/>
  <c r="C139" i="4"/>
  <c r="C138" i="3"/>
  <c r="C49" i="2"/>
  <c r="H114" i="1"/>
  <c r="I113" i="1"/>
  <c r="AC47" i="7" l="1"/>
  <c r="D46" i="9"/>
  <c r="AE46" i="7"/>
  <c r="AJ46" i="7"/>
  <c r="AG46" i="7"/>
  <c r="AB47" i="7"/>
  <c r="AC48" i="7" s="1"/>
  <c r="AF46" i="7"/>
  <c r="B40" i="7"/>
  <c r="N40" i="7"/>
  <c r="B40" i="9"/>
  <c r="N40" i="9"/>
  <c r="B40" i="8"/>
  <c r="N40" i="8"/>
  <c r="E46" i="9"/>
  <c r="R47" i="8"/>
  <c r="J118" i="2"/>
  <c r="F118" i="2"/>
  <c r="K118" i="2"/>
  <c r="G118" i="2"/>
  <c r="D118" i="2"/>
  <c r="I118" i="2"/>
  <c r="H118" i="2"/>
  <c r="E118" i="2"/>
  <c r="F47" i="8"/>
  <c r="F46" i="16" s="1"/>
  <c r="M48" i="2"/>
  <c r="E47" i="8"/>
  <c r="K47" i="8"/>
  <c r="F46" i="9"/>
  <c r="I45" i="16" s="1"/>
  <c r="A47" i="9"/>
  <c r="K47" i="9" s="1"/>
  <c r="M47" i="9"/>
  <c r="P46" i="9"/>
  <c r="R46" i="9"/>
  <c r="Q46" i="9"/>
  <c r="S46" i="9"/>
  <c r="T46" i="9"/>
  <c r="T47" i="8"/>
  <c r="K46" i="9"/>
  <c r="AC48" i="10"/>
  <c r="S46" i="10"/>
  <c r="Q46" i="10"/>
  <c r="P46" i="10"/>
  <c r="E46" i="10"/>
  <c r="A48" i="8"/>
  <c r="K48" i="8" s="1"/>
  <c r="M48" i="8"/>
  <c r="S47" i="8"/>
  <c r="H47" i="8"/>
  <c r="P47" i="8"/>
  <c r="D47" i="8"/>
  <c r="M47" i="7"/>
  <c r="A47" i="7"/>
  <c r="A47" i="10"/>
  <c r="B48" i="10" s="1"/>
  <c r="K46" i="10"/>
  <c r="M47" i="10"/>
  <c r="O47" i="10" s="1"/>
  <c r="R46" i="10"/>
  <c r="H46" i="10"/>
  <c r="T46" i="10"/>
  <c r="F46" i="10"/>
  <c r="L45" i="16" s="1"/>
  <c r="D46" i="10"/>
  <c r="N47" i="10"/>
  <c r="AB48" i="10"/>
  <c r="AE47" i="10"/>
  <c r="AG47" i="9"/>
  <c r="AE47" i="9"/>
  <c r="AJ47" i="9"/>
  <c r="AJ47" i="8"/>
  <c r="AE47" i="8"/>
  <c r="AG47" i="8"/>
  <c r="P46" i="7"/>
  <c r="Q46" i="7"/>
  <c r="F46" i="7"/>
  <c r="C45" i="16" s="1"/>
  <c r="R46" i="7"/>
  <c r="S46" i="7"/>
  <c r="K46" i="7"/>
  <c r="T46" i="7"/>
  <c r="H46" i="7"/>
  <c r="D46" i="7"/>
  <c r="E46" i="7"/>
  <c r="A46" i="13"/>
  <c r="A598" i="13"/>
  <c r="H598" i="13" s="1"/>
  <c r="A282" i="13"/>
  <c r="H282" i="13" s="1"/>
  <c r="A519" i="13"/>
  <c r="H519" i="13" s="1"/>
  <c r="A440" i="13"/>
  <c r="H440" i="13" s="1"/>
  <c r="A203" i="13"/>
  <c r="H203" i="13" s="1"/>
  <c r="A124" i="13"/>
  <c r="H124" i="13" s="1"/>
  <c r="A361" i="13"/>
  <c r="H361" i="13" s="1"/>
  <c r="H45" i="13"/>
  <c r="X40" i="7"/>
  <c r="G40" i="7"/>
  <c r="X40" i="8"/>
  <c r="AH40" i="7"/>
  <c r="B218" i="5"/>
  <c r="B138" i="5"/>
  <c r="B138" i="3"/>
  <c r="B218" i="3"/>
  <c r="B138" i="6"/>
  <c r="B218" i="6"/>
  <c r="B115" i="2"/>
  <c r="B47" i="2"/>
  <c r="B138" i="4"/>
  <c r="B218" i="4"/>
  <c r="G42" i="10"/>
  <c r="I42" i="10"/>
  <c r="AF41" i="10"/>
  <c r="G40" i="9"/>
  <c r="X40" i="9"/>
  <c r="AF40" i="9"/>
  <c r="G40" i="8"/>
  <c r="AF40" i="8"/>
  <c r="I40" i="7"/>
  <c r="C46" i="3"/>
  <c r="A47" i="3"/>
  <c r="X41" i="10"/>
  <c r="C47" i="6"/>
  <c r="C141" i="6"/>
  <c r="C140" i="5"/>
  <c r="C47" i="5"/>
  <c r="C140" i="4"/>
  <c r="C46" i="4"/>
  <c r="C139" i="3"/>
  <c r="C50" i="2"/>
  <c r="H115" i="1"/>
  <c r="I114" i="1"/>
  <c r="O47" i="9" l="1"/>
  <c r="E47" i="9"/>
  <c r="AE47" i="7"/>
  <c r="AJ47" i="7"/>
  <c r="D47" i="9"/>
  <c r="F47" i="9"/>
  <c r="I46" i="16" s="1"/>
  <c r="H47" i="9"/>
  <c r="AG47" i="7"/>
  <c r="AB48" i="7"/>
  <c r="AG48" i="7" s="1"/>
  <c r="AF47" i="7"/>
  <c r="B41" i="9"/>
  <c r="N41" i="9"/>
  <c r="B41" i="8"/>
  <c r="N41" i="8"/>
  <c r="N41" i="7"/>
  <c r="B41" i="7"/>
  <c r="R48" i="8"/>
  <c r="J119" i="2"/>
  <c r="F119" i="2"/>
  <c r="K119" i="2"/>
  <c r="G119" i="2"/>
  <c r="D119" i="2"/>
  <c r="I119" i="2"/>
  <c r="E119" i="2"/>
  <c r="H119" i="2"/>
  <c r="M49" i="2"/>
  <c r="F48" i="8"/>
  <c r="F47" i="16" s="1"/>
  <c r="A48" i="9"/>
  <c r="H48" i="9" s="1"/>
  <c r="M48" i="9"/>
  <c r="P47" i="9"/>
  <c r="Q47" i="9"/>
  <c r="T47" i="9"/>
  <c r="S47" i="9"/>
  <c r="R47" i="9"/>
  <c r="E48" i="8"/>
  <c r="T48" i="8"/>
  <c r="Q48" i="8"/>
  <c r="H48" i="8"/>
  <c r="D48" i="8"/>
  <c r="S48" i="8"/>
  <c r="P48" i="8"/>
  <c r="S47" i="10"/>
  <c r="Q47" i="10"/>
  <c r="P47" i="10"/>
  <c r="E47" i="10"/>
  <c r="M49" i="8"/>
  <c r="A49" i="8"/>
  <c r="A48" i="7"/>
  <c r="M48" i="7"/>
  <c r="N48" i="10"/>
  <c r="AB49" i="10"/>
  <c r="AE48" i="10"/>
  <c r="AC49" i="10"/>
  <c r="M48" i="10"/>
  <c r="R47" i="10"/>
  <c r="H47" i="10"/>
  <c r="F47" i="10"/>
  <c r="L46" i="16" s="1"/>
  <c r="K47" i="10"/>
  <c r="D47" i="10"/>
  <c r="A48" i="10"/>
  <c r="B49" i="10" s="1"/>
  <c r="T47" i="10"/>
  <c r="AJ48" i="9"/>
  <c r="AG48" i="9"/>
  <c r="AE48" i="9"/>
  <c r="AG48" i="8"/>
  <c r="AJ48" i="8"/>
  <c r="AE48" i="8"/>
  <c r="S47" i="7"/>
  <c r="T47" i="7"/>
  <c r="K47" i="7"/>
  <c r="H47" i="7"/>
  <c r="E47" i="7"/>
  <c r="P47" i="7"/>
  <c r="F47" i="7"/>
  <c r="C46" i="16" s="1"/>
  <c r="Q47" i="7"/>
  <c r="R47" i="7"/>
  <c r="D47" i="7"/>
  <c r="A47" i="13"/>
  <c r="A362" i="13"/>
  <c r="H362" i="13" s="1"/>
  <c r="A599" i="13"/>
  <c r="H599" i="13" s="1"/>
  <c r="A283" i="13"/>
  <c r="H283" i="13" s="1"/>
  <c r="A520" i="13"/>
  <c r="H520" i="13" s="1"/>
  <c r="A441" i="13"/>
  <c r="H441" i="13" s="1"/>
  <c r="A204" i="13"/>
  <c r="H204" i="13" s="1"/>
  <c r="A125" i="13"/>
  <c r="H125" i="13" s="1"/>
  <c r="H46" i="13"/>
  <c r="X41" i="7"/>
  <c r="G41" i="7"/>
  <c r="X41" i="8"/>
  <c r="B219" i="4"/>
  <c r="B139" i="4"/>
  <c r="B48" i="2"/>
  <c r="B116" i="2"/>
  <c r="B139" i="3"/>
  <c r="B219" i="3"/>
  <c r="AH41" i="7"/>
  <c r="B139" i="5"/>
  <c r="B219" i="5"/>
  <c r="B219" i="6"/>
  <c r="B139" i="6"/>
  <c r="AF42" i="10"/>
  <c r="AG42" i="10"/>
  <c r="G43" i="10"/>
  <c r="I43" i="10"/>
  <c r="G41" i="9"/>
  <c r="X41" i="9"/>
  <c r="AF41" i="9"/>
  <c r="AF41" i="8"/>
  <c r="G41" i="8"/>
  <c r="I41" i="7"/>
  <c r="A48" i="3"/>
  <c r="C47" i="3"/>
  <c r="X42" i="10"/>
  <c r="C48" i="6"/>
  <c r="C142" i="6"/>
  <c r="C141" i="5"/>
  <c r="C48" i="5"/>
  <c r="C141" i="4"/>
  <c r="C47" i="4"/>
  <c r="C140" i="3"/>
  <c r="C51" i="2"/>
  <c r="H116" i="1"/>
  <c r="I115" i="1"/>
  <c r="O48" i="10" l="1"/>
  <c r="O48" i="9"/>
  <c r="AE48" i="7"/>
  <c r="AJ48" i="7"/>
  <c r="AB49" i="7"/>
  <c r="AG49" i="7" s="1"/>
  <c r="AF48" i="7"/>
  <c r="AC49" i="7"/>
  <c r="B42" i="7"/>
  <c r="N42" i="7"/>
  <c r="B42" i="8"/>
  <c r="N42" i="8"/>
  <c r="N42" i="9"/>
  <c r="B42" i="9"/>
  <c r="F48" i="9"/>
  <c r="I47" i="16" s="1"/>
  <c r="D48" i="9"/>
  <c r="M50" i="2"/>
  <c r="J120" i="2"/>
  <c r="F120" i="2"/>
  <c r="K120" i="2"/>
  <c r="G120" i="2"/>
  <c r="D120" i="2"/>
  <c r="E120" i="2"/>
  <c r="I120" i="2"/>
  <c r="H120" i="2"/>
  <c r="S48" i="9"/>
  <c r="M49" i="9"/>
  <c r="A49" i="9"/>
  <c r="F49" i="9" s="1"/>
  <c r="I48" i="16" s="1"/>
  <c r="T48" i="9"/>
  <c r="P48" i="9"/>
  <c r="R48" i="9"/>
  <c r="Q48" i="9"/>
  <c r="S48" i="10"/>
  <c r="Q48" i="10"/>
  <c r="P48" i="10"/>
  <c r="E48" i="10"/>
  <c r="K48" i="9"/>
  <c r="E48" i="9"/>
  <c r="A50" i="8"/>
  <c r="H50" i="8" s="1"/>
  <c r="M50" i="8"/>
  <c r="P49" i="8"/>
  <c r="K49" i="8"/>
  <c r="H49" i="8"/>
  <c r="F49" i="8"/>
  <c r="F48" i="16" s="1"/>
  <c r="E49" i="8"/>
  <c r="D49" i="8"/>
  <c r="Q49" i="8"/>
  <c r="T49" i="8"/>
  <c r="R49" i="8"/>
  <c r="S49" i="8"/>
  <c r="M49" i="7"/>
  <c r="A49" i="7"/>
  <c r="F48" i="10"/>
  <c r="L47" i="16" s="1"/>
  <c r="T48" i="10"/>
  <c r="D48" i="10"/>
  <c r="M49" i="10"/>
  <c r="A49" i="10"/>
  <c r="B50" i="10" s="1"/>
  <c r="H48" i="10"/>
  <c r="K48" i="10"/>
  <c r="R48" i="10"/>
  <c r="AB50" i="10"/>
  <c r="AE49" i="10"/>
  <c r="N49" i="10"/>
  <c r="AC50" i="10"/>
  <c r="AJ49" i="9"/>
  <c r="AG49" i="9"/>
  <c r="AE49" i="9"/>
  <c r="AG49" i="8"/>
  <c r="AE49" i="8"/>
  <c r="AJ49" i="8"/>
  <c r="AJ49" i="7"/>
  <c r="T48" i="7"/>
  <c r="R48" i="7"/>
  <c r="S48" i="7"/>
  <c r="D48" i="7"/>
  <c r="K48" i="7"/>
  <c r="H48" i="7"/>
  <c r="E48" i="7"/>
  <c r="P48" i="7"/>
  <c r="F48" i="7"/>
  <c r="C47" i="16" s="1"/>
  <c r="Q48" i="7"/>
  <c r="A48" i="13"/>
  <c r="A442" i="13"/>
  <c r="H442" i="13" s="1"/>
  <c r="A363" i="13"/>
  <c r="H363" i="13" s="1"/>
  <c r="A600" i="13"/>
  <c r="H600" i="13" s="1"/>
  <c r="A284" i="13"/>
  <c r="H284" i="13" s="1"/>
  <c r="A521" i="13"/>
  <c r="H521" i="13" s="1"/>
  <c r="A205" i="13"/>
  <c r="H205" i="13" s="1"/>
  <c r="A126" i="13"/>
  <c r="H126" i="13" s="1"/>
  <c r="H47" i="13"/>
  <c r="X42" i="7"/>
  <c r="G42" i="7"/>
  <c r="B220" i="5"/>
  <c r="B140" i="5"/>
  <c r="B220" i="3"/>
  <c r="B140" i="3"/>
  <c r="B220" i="6"/>
  <c r="B140" i="6"/>
  <c r="AH42" i="7"/>
  <c r="B220" i="4"/>
  <c r="B140" i="4"/>
  <c r="B117" i="2"/>
  <c r="B49" i="2"/>
  <c r="AF43" i="10"/>
  <c r="AG43" i="10" s="1"/>
  <c r="I44" i="10"/>
  <c r="G44" i="10"/>
  <c r="AF42" i="9"/>
  <c r="G42" i="9"/>
  <c r="X42" i="9"/>
  <c r="G42" i="8"/>
  <c r="AF42" i="8"/>
  <c r="X42" i="8"/>
  <c r="I42" i="7"/>
  <c r="A49" i="3"/>
  <c r="C48" i="3"/>
  <c r="C143" i="6"/>
  <c r="C49" i="6"/>
  <c r="C142" i="5"/>
  <c r="C49" i="5"/>
  <c r="C48" i="4"/>
  <c r="C142" i="4"/>
  <c r="C141" i="3"/>
  <c r="C52" i="2"/>
  <c r="H117" i="1"/>
  <c r="I116" i="1"/>
  <c r="O49" i="9" l="1"/>
  <c r="O49" i="10"/>
  <c r="AE49" i="7"/>
  <c r="AC50" i="7"/>
  <c r="AB50" i="7"/>
  <c r="AG50" i="7" s="1"/>
  <c r="AF49" i="7"/>
  <c r="N43" i="8"/>
  <c r="B43" i="8"/>
  <c r="B43" i="9"/>
  <c r="N43" i="9"/>
  <c r="N43" i="7"/>
  <c r="B43" i="7"/>
  <c r="J121" i="2"/>
  <c r="F121" i="2"/>
  <c r="K121" i="2"/>
  <c r="G121" i="2"/>
  <c r="D121" i="2"/>
  <c r="I121" i="2"/>
  <c r="H121" i="2"/>
  <c r="E121" i="2"/>
  <c r="M51" i="2"/>
  <c r="Q50" i="8"/>
  <c r="S49" i="9"/>
  <c r="M50" i="9"/>
  <c r="A50" i="9"/>
  <c r="H50" i="9" s="1"/>
  <c r="T49" i="9"/>
  <c r="R49" i="9"/>
  <c r="P49" i="9"/>
  <c r="Q49" i="9"/>
  <c r="T50" i="8"/>
  <c r="P50" i="8"/>
  <c r="K49" i="9"/>
  <c r="D50" i="8"/>
  <c r="F50" i="8"/>
  <c r="F49" i="16" s="1"/>
  <c r="S50" i="8"/>
  <c r="R50" i="8"/>
  <c r="K50" i="8"/>
  <c r="E50" i="8"/>
  <c r="S49" i="10"/>
  <c r="Q49" i="10"/>
  <c r="P49" i="10"/>
  <c r="AC51" i="10"/>
  <c r="E49" i="10"/>
  <c r="H49" i="9"/>
  <c r="D49" i="9"/>
  <c r="E49" i="9"/>
  <c r="M51" i="8"/>
  <c r="A51" i="8"/>
  <c r="A50" i="7"/>
  <c r="M50" i="7"/>
  <c r="N50" i="10"/>
  <c r="T49" i="10"/>
  <c r="D49" i="10"/>
  <c r="A50" i="10"/>
  <c r="B51" i="10" s="1"/>
  <c r="K49" i="10"/>
  <c r="R49" i="10"/>
  <c r="H49" i="10"/>
  <c r="M50" i="10"/>
  <c r="F49" i="10"/>
  <c r="L48" i="16" s="1"/>
  <c r="AB51" i="10"/>
  <c r="AE50" i="10"/>
  <c r="AE50" i="9"/>
  <c r="AJ50" i="9"/>
  <c r="AG50" i="9"/>
  <c r="D50" i="9"/>
  <c r="E50" i="9"/>
  <c r="AJ50" i="8"/>
  <c r="AE50" i="8"/>
  <c r="AG50" i="8"/>
  <c r="AE50" i="7"/>
  <c r="T49" i="7"/>
  <c r="Q49" i="7"/>
  <c r="R49" i="7"/>
  <c r="S49" i="7"/>
  <c r="D49" i="7"/>
  <c r="K49" i="7"/>
  <c r="H49" i="7"/>
  <c r="P49" i="7"/>
  <c r="F49" i="7"/>
  <c r="C48" i="16" s="1"/>
  <c r="E49" i="7"/>
  <c r="A49" i="13"/>
  <c r="A522" i="13"/>
  <c r="H522" i="13" s="1"/>
  <c r="A443" i="13"/>
  <c r="H443" i="13" s="1"/>
  <c r="A364" i="13"/>
  <c r="H364" i="13" s="1"/>
  <c r="A127" i="13"/>
  <c r="H127" i="13" s="1"/>
  <c r="A601" i="13"/>
  <c r="H601" i="13" s="1"/>
  <c r="A206" i="13"/>
  <c r="H206" i="13" s="1"/>
  <c r="A285" i="13"/>
  <c r="H285" i="13" s="1"/>
  <c r="H48" i="13"/>
  <c r="X43" i="7"/>
  <c r="G43" i="7"/>
  <c r="B50" i="2"/>
  <c r="B118" i="2"/>
  <c r="AH43" i="7"/>
  <c r="B141" i="6"/>
  <c r="B221" i="6"/>
  <c r="B141" i="4"/>
  <c r="B221" i="4"/>
  <c r="B221" i="3"/>
  <c r="B141" i="3"/>
  <c r="B221" i="5"/>
  <c r="B141" i="5"/>
  <c r="I45" i="10"/>
  <c r="G45" i="10"/>
  <c r="AF44" i="10"/>
  <c r="AG44" i="10" s="1"/>
  <c r="G43" i="9"/>
  <c r="AF43" i="9"/>
  <c r="G43" i="8"/>
  <c r="X43" i="8"/>
  <c r="AF43" i="8"/>
  <c r="I43" i="7"/>
  <c r="A50" i="3"/>
  <c r="C49" i="3"/>
  <c r="C50" i="6"/>
  <c r="C144" i="6"/>
  <c r="C50" i="5"/>
  <c r="C143" i="5"/>
  <c r="C143" i="4"/>
  <c r="C49" i="4"/>
  <c r="C142" i="3"/>
  <c r="C53" i="2"/>
  <c r="H118" i="1"/>
  <c r="I117" i="1"/>
  <c r="O50" i="10" l="1"/>
  <c r="O50" i="9"/>
  <c r="AJ50" i="7"/>
  <c r="F50" i="9"/>
  <c r="I49" i="16" s="1"/>
  <c r="AB51" i="7"/>
  <c r="AE51" i="7" s="1"/>
  <c r="AF50" i="7"/>
  <c r="AC51" i="7"/>
  <c r="N44" i="9"/>
  <c r="B44" i="9"/>
  <c r="B44" i="7"/>
  <c r="N44" i="7"/>
  <c r="N44" i="8"/>
  <c r="B44" i="8"/>
  <c r="J122" i="2"/>
  <c r="F122" i="2"/>
  <c r="K122" i="2"/>
  <c r="G122" i="2"/>
  <c r="D122" i="2"/>
  <c r="E122" i="2"/>
  <c r="I122" i="2"/>
  <c r="H122" i="2"/>
  <c r="M52" i="2"/>
  <c r="F51" i="8"/>
  <c r="F50" i="16" s="1"/>
  <c r="M51" i="9"/>
  <c r="A51" i="9"/>
  <c r="K51" i="9" s="1"/>
  <c r="T50" i="9"/>
  <c r="S50" i="9"/>
  <c r="P50" i="9"/>
  <c r="R50" i="9"/>
  <c r="Q50" i="9"/>
  <c r="K50" i="9"/>
  <c r="S50" i="10"/>
  <c r="Q50" i="10"/>
  <c r="P50" i="10"/>
  <c r="E50" i="10"/>
  <c r="T51" i="8"/>
  <c r="R51" i="8"/>
  <c r="Q51" i="8"/>
  <c r="E51" i="8"/>
  <c r="A52" i="8"/>
  <c r="S52" i="8" s="1"/>
  <c r="M52" i="8"/>
  <c r="H51" i="8"/>
  <c r="D51" i="8"/>
  <c r="S51" i="8"/>
  <c r="P51" i="8"/>
  <c r="K51" i="8"/>
  <c r="M51" i="7"/>
  <c r="A51" i="7"/>
  <c r="A51" i="10"/>
  <c r="B52" i="10" s="1"/>
  <c r="K50" i="10"/>
  <c r="M51" i="10"/>
  <c r="R50" i="10"/>
  <c r="H50" i="10"/>
  <c r="T50" i="10"/>
  <c r="F50" i="10"/>
  <c r="L49" i="16" s="1"/>
  <c r="D50" i="10"/>
  <c r="AB52" i="10"/>
  <c r="AE51" i="10"/>
  <c r="AC52" i="10"/>
  <c r="N51" i="10"/>
  <c r="AG51" i="9"/>
  <c r="AE51" i="9"/>
  <c r="AJ51" i="9"/>
  <c r="AJ51" i="8"/>
  <c r="AE51" i="8"/>
  <c r="AG51" i="8"/>
  <c r="P50" i="7"/>
  <c r="T50" i="7"/>
  <c r="R50" i="7"/>
  <c r="Q50" i="7"/>
  <c r="F50" i="7"/>
  <c r="C49" i="16" s="1"/>
  <c r="S50" i="7"/>
  <c r="D50" i="7"/>
  <c r="E50" i="7"/>
  <c r="H50" i="7"/>
  <c r="K50" i="7"/>
  <c r="A50" i="13"/>
  <c r="A602" i="13"/>
  <c r="H602" i="13" s="1"/>
  <c r="A286" i="13"/>
  <c r="H286" i="13" s="1"/>
  <c r="A523" i="13"/>
  <c r="H523" i="13" s="1"/>
  <c r="A444" i="13"/>
  <c r="H444" i="13" s="1"/>
  <c r="A365" i="13"/>
  <c r="H365" i="13" s="1"/>
  <c r="A207" i="13"/>
  <c r="H207" i="13" s="1"/>
  <c r="A128" i="13"/>
  <c r="H128" i="13" s="1"/>
  <c r="H49" i="13"/>
  <c r="X44" i="7"/>
  <c r="G44" i="7"/>
  <c r="X44" i="8"/>
  <c r="B142" i="4"/>
  <c r="B222" i="4"/>
  <c r="B51" i="2"/>
  <c r="B119" i="2"/>
  <c r="B142" i="3"/>
  <c r="B222" i="3"/>
  <c r="B142" i="6"/>
  <c r="B222" i="6"/>
  <c r="AH44" i="7"/>
  <c r="B142" i="5"/>
  <c r="B222" i="5"/>
  <c r="AF45" i="10"/>
  <c r="AG45" i="10"/>
  <c r="I46" i="10"/>
  <c r="G46" i="10"/>
  <c r="AF44" i="9"/>
  <c r="G44" i="9"/>
  <c r="AF44" i="8"/>
  <c r="G44" i="8"/>
  <c r="I44" i="7"/>
  <c r="C50" i="3"/>
  <c r="A51" i="3"/>
  <c r="C51" i="6"/>
  <c r="C145" i="6"/>
  <c r="C51" i="5"/>
  <c r="C144" i="5"/>
  <c r="C50" i="4"/>
  <c r="C144" i="4"/>
  <c r="C143" i="3"/>
  <c r="C54" i="2"/>
  <c r="H119" i="1"/>
  <c r="I118" i="1"/>
  <c r="O51" i="10" l="1"/>
  <c r="O51" i="9"/>
  <c r="F52" i="8"/>
  <c r="F51" i="16" s="1"/>
  <c r="AG51" i="7"/>
  <c r="AJ51" i="7"/>
  <c r="AC52" i="7"/>
  <c r="AB52" i="7"/>
  <c r="AE52" i="7" s="1"/>
  <c r="AF51" i="7"/>
  <c r="N45" i="8"/>
  <c r="B45" i="8"/>
  <c r="N45" i="9"/>
  <c r="B45" i="9"/>
  <c r="B45" i="7"/>
  <c r="N45" i="7"/>
  <c r="H52" i="8"/>
  <c r="E52" i="8"/>
  <c r="T52" i="8"/>
  <c r="P52" i="8"/>
  <c r="D52" i="8"/>
  <c r="R52" i="8"/>
  <c r="Q52" i="8"/>
  <c r="K52" i="8"/>
  <c r="J123" i="2"/>
  <c r="F123" i="2"/>
  <c r="K123" i="2"/>
  <c r="G123" i="2"/>
  <c r="D123" i="2"/>
  <c r="I123" i="2"/>
  <c r="E123" i="2"/>
  <c r="H123" i="2"/>
  <c r="M53" i="2"/>
  <c r="D51" i="9"/>
  <c r="H51" i="9"/>
  <c r="M52" i="9"/>
  <c r="O52" i="9" s="1"/>
  <c r="A52" i="9"/>
  <c r="F52" i="9" s="1"/>
  <c r="I51" i="16" s="1"/>
  <c r="T51" i="9"/>
  <c r="R51" i="9"/>
  <c r="Q51" i="9"/>
  <c r="P51" i="9"/>
  <c r="S51" i="9"/>
  <c r="F51" i="9"/>
  <c r="I50" i="16" s="1"/>
  <c r="E51" i="9"/>
  <c r="S51" i="10"/>
  <c r="Q51" i="10"/>
  <c r="P51" i="10"/>
  <c r="E51" i="10"/>
  <c r="M53" i="8"/>
  <c r="A53" i="8"/>
  <c r="A52" i="7"/>
  <c r="M52" i="7"/>
  <c r="AC53" i="10"/>
  <c r="AB53" i="10"/>
  <c r="AE52" i="10"/>
  <c r="M52" i="10"/>
  <c r="R51" i="10"/>
  <c r="H51" i="10"/>
  <c r="F51" i="10"/>
  <c r="L50" i="16" s="1"/>
  <c r="K51" i="10"/>
  <c r="D51" i="10"/>
  <c r="A52" i="10"/>
  <c r="B53" i="10" s="1"/>
  <c r="T51" i="10"/>
  <c r="N52" i="10"/>
  <c r="D52" i="9"/>
  <c r="AJ52" i="9"/>
  <c r="AG52" i="9"/>
  <c r="AE52" i="9"/>
  <c r="AG52" i="8"/>
  <c r="AJ52" i="8"/>
  <c r="AE52" i="8"/>
  <c r="S51" i="7"/>
  <c r="P51" i="7"/>
  <c r="K51" i="7"/>
  <c r="H51" i="7"/>
  <c r="E51" i="7"/>
  <c r="F51" i="7"/>
  <c r="C50" i="16" s="1"/>
  <c r="T51" i="7"/>
  <c r="R51" i="7"/>
  <c r="Q51" i="7"/>
  <c r="D51" i="7"/>
  <c r="A51" i="13"/>
  <c r="A366" i="13"/>
  <c r="H366" i="13" s="1"/>
  <c r="A603" i="13"/>
  <c r="H603" i="13" s="1"/>
  <c r="A287" i="13"/>
  <c r="H287" i="13" s="1"/>
  <c r="A524" i="13"/>
  <c r="H524" i="13" s="1"/>
  <c r="A445" i="13"/>
  <c r="H445" i="13" s="1"/>
  <c r="A208" i="13"/>
  <c r="H208" i="13" s="1"/>
  <c r="A129" i="13"/>
  <c r="H129" i="13" s="1"/>
  <c r="H50" i="13"/>
  <c r="X45" i="7"/>
  <c r="G45" i="7"/>
  <c r="AH45" i="7"/>
  <c r="B143" i="4"/>
  <c r="B223" i="4"/>
  <c r="B223" i="3"/>
  <c r="B143" i="3"/>
  <c r="B120" i="2"/>
  <c r="B52" i="2"/>
  <c r="B223" i="5"/>
  <c r="B143" i="5"/>
  <c r="B143" i="6"/>
  <c r="B223" i="6"/>
  <c r="AF46" i="10"/>
  <c r="AG46" i="10" s="1"/>
  <c r="G47" i="10"/>
  <c r="I47" i="10"/>
  <c r="AF45" i="9"/>
  <c r="G45" i="9"/>
  <c r="AF45" i="8"/>
  <c r="G45" i="8"/>
  <c r="X45" i="8"/>
  <c r="I45" i="7"/>
  <c r="A52" i="3"/>
  <c r="C51" i="3"/>
  <c r="C146" i="6"/>
  <c r="C52" i="6"/>
  <c r="C145" i="5"/>
  <c r="C52" i="5"/>
  <c r="C145" i="4"/>
  <c r="C51" i="4"/>
  <c r="C144" i="3"/>
  <c r="C55" i="2"/>
  <c r="H120" i="1"/>
  <c r="I119" i="1"/>
  <c r="O52" i="10" l="1"/>
  <c r="AG52" i="7"/>
  <c r="AJ52" i="7"/>
  <c r="AB53" i="7"/>
  <c r="AE53" i="7" s="1"/>
  <c r="AF52" i="7"/>
  <c r="AC53" i="7"/>
  <c r="N46" i="8"/>
  <c r="B46" i="8"/>
  <c r="N46" i="9"/>
  <c r="B46" i="9"/>
  <c r="N46" i="7"/>
  <c r="B46" i="7"/>
  <c r="J124" i="2"/>
  <c r="F124" i="2"/>
  <c r="K124" i="2"/>
  <c r="G124" i="2"/>
  <c r="D124" i="2"/>
  <c r="I124" i="2"/>
  <c r="H124" i="2"/>
  <c r="E124" i="2"/>
  <c r="M54" i="2"/>
  <c r="T53" i="8"/>
  <c r="S52" i="9"/>
  <c r="A53" i="9"/>
  <c r="H53" i="9" s="1"/>
  <c r="M53" i="9"/>
  <c r="O53" i="9" s="1"/>
  <c r="T52" i="9"/>
  <c r="P52" i="9"/>
  <c r="R52" i="9"/>
  <c r="Q52" i="9"/>
  <c r="S52" i="10"/>
  <c r="Q52" i="10"/>
  <c r="P52" i="10"/>
  <c r="E52" i="10"/>
  <c r="K52" i="9"/>
  <c r="E52" i="9"/>
  <c r="H52" i="9"/>
  <c r="F53" i="8"/>
  <c r="F52" i="16" s="1"/>
  <c r="E53" i="8"/>
  <c r="D53" i="8"/>
  <c r="Q53" i="8"/>
  <c r="H53" i="8"/>
  <c r="S53" i="8"/>
  <c r="A54" i="8"/>
  <c r="H54" i="8" s="1"/>
  <c r="M54" i="8"/>
  <c r="R53" i="8"/>
  <c r="P53" i="8"/>
  <c r="K53" i="8"/>
  <c r="M53" i="7"/>
  <c r="A53" i="7"/>
  <c r="AB54" i="10"/>
  <c r="AE53" i="10"/>
  <c r="N53" i="10"/>
  <c r="F52" i="10"/>
  <c r="L51" i="16" s="1"/>
  <c r="T52" i="10"/>
  <c r="D52" i="10"/>
  <c r="M53" i="10"/>
  <c r="A53" i="10"/>
  <c r="B54" i="10" s="1"/>
  <c r="H52" i="10"/>
  <c r="K52" i="10"/>
  <c r="R52" i="10"/>
  <c r="AC54" i="10"/>
  <c r="AJ53" i="9"/>
  <c r="AG53" i="9"/>
  <c r="AE53" i="9"/>
  <c r="AG53" i="8"/>
  <c r="AE53" i="8"/>
  <c r="AJ53" i="8"/>
  <c r="AJ53" i="7"/>
  <c r="R52" i="7"/>
  <c r="S52" i="7"/>
  <c r="D52" i="7"/>
  <c r="K52" i="7"/>
  <c r="H52" i="7"/>
  <c r="E52" i="7"/>
  <c r="P52" i="7"/>
  <c r="T52" i="7"/>
  <c r="Q52" i="7"/>
  <c r="F52" i="7"/>
  <c r="C51" i="16" s="1"/>
  <c r="A52" i="13"/>
  <c r="A446" i="13"/>
  <c r="H446" i="13" s="1"/>
  <c r="A367" i="13"/>
  <c r="H367" i="13" s="1"/>
  <c r="A604" i="13"/>
  <c r="H604" i="13" s="1"/>
  <c r="A525" i="13"/>
  <c r="H525" i="13" s="1"/>
  <c r="A288" i="13"/>
  <c r="H288" i="13" s="1"/>
  <c r="A209" i="13"/>
  <c r="H209" i="13" s="1"/>
  <c r="A130" i="13"/>
  <c r="H130" i="13" s="1"/>
  <c r="H51" i="13"/>
  <c r="X46" i="7"/>
  <c r="G46" i="7"/>
  <c r="X46" i="8"/>
  <c r="B144" i="5"/>
  <c r="B224" i="5"/>
  <c r="B53" i="2"/>
  <c r="B121" i="2"/>
  <c r="B224" i="4"/>
  <c r="B144" i="4"/>
  <c r="AH46" i="7"/>
  <c r="B224" i="3"/>
  <c r="B144" i="3"/>
  <c r="B224" i="6"/>
  <c r="B144" i="6"/>
  <c r="G48" i="10"/>
  <c r="I48" i="10"/>
  <c r="AF47" i="10"/>
  <c r="AG47" i="10" s="1"/>
  <c r="G46" i="9"/>
  <c r="AF46" i="9"/>
  <c r="AF46" i="8"/>
  <c r="G46" i="8"/>
  <c r="G47" i="7"/>
  <c r="I46" i="7"/>
  <c r="A53" i="3"/>
  <c r="C52" i="3"/>
  <c r="C53" i="6"/>
  <c r="C147" i="6"/>
  <c r="C146" i="5"/>
  <c r="C53" i="5"/>
  <c r="C146" i="4"/>
  <c r="C52" i="4"/>
  <c r="C145" i="3"/>
  <c r="C56" i="2"/>
  <c r="H121" i="1"/>
  <c r="I120" i="1"/>
  <c r="O53" i="10" l="1"/>
  <c r="F53" i="9"/>
  <c r="I52" i="16" s="1"/>
  <c r="AG53" i="7"/>
  <c r="K53" i="9"/>
  <c r="AC54" i="7"/>
  <c r="AB54" i="7"/>
  <c r="AJ54" i="7" s="1"/>
  <c r="AF53" i="7"/>
  <c r="B47" i="7"/>
  <c r="N47" i="7"/>
  <c r="N47" i="8"/>
  <c r="B47" i="8"/>
  <c r="B47" i="9"/>
  <c r="N47" i="9"/>
  <c r="M55" i="2"/>
  <c r="D54" i="8"/>
  <c r="J125" i="2"/>
  <c r="F125" i="2"/>
  <c r="K125" i="2"/>
  <c r="G125" i="2"/>
  <c r="D125" i="2"/>
  <c r="E125" i="2"/>
  <c r="I125" i="2"/>
  <c r="H125" i="2"/>
  <c r="Q54" i="8"/>
  <c r="M54" i="9"/>
  <c r="O54" i="9" s="1"/>
  <c r="A54" i="9"/>
  <c r="H54" i="9" s="1"/>
  <c r="P53" i="9"/>
  <c r="R53" i="9"/>
  <c r="Q53" i="9"/>
  <c r="S53" i="9"/>
  <c r="T53" i="9"/>
  <c r="AC55" i="10"/>
  <c r="S53" i="10"/>
  <c r="Q53" i="10"/>
  <c r="P53" i="10"/>
  <c r="E53" i="10"/>
  <c r="D53" i="9"/>
  <c r="E53" i="9"/>
  <c r="M55" i="8"/>
  <c r="A55" i="8"/>
  <c r="T55" i="8" s="1"/>
  <c r="S54" i="8"/>
  <c r="R54" i="8"/>
  <c r="P54" i="8"/>
  <c r="F54" i="8"/>
  <c r="F53" i="16" s="1"/>
  <c r="K54" i="8"/>
  <c r="E54" i="8"/>
  <c r="T54" i="8"/>
  <c r="A54" i="7"/>
  <c r="M54" i="7"/>
  <c r="N54" i="10"/>
  <c r="T53" i="10"/>
  <c r="D53" i="10"/>
  <c r="A54" i="10"/>
  <c r="B55" i="10" s="1"/>
  <c r="K53" i="10"/>
  <c r="M54" i="10"/>
  <c r="R53" i="10"/>
  <c r="H53" i="10"/>
  <c r="F53" i="10"/>
  <c r="L52" i="16" s="1"/>
  <c r="AB55" i="10"/>
  <c r="AE54" i="10"/>
  <c r="AE54" i="9"/>
  <c r="AJ54" i="9"/>
  <c r="AG54" i="9"/>
  <c r="AJ54" i="8"/>
  <c r="AE54" i="8"/>
  <c r="AG54" i="8"/>
  <c r="T53" i="7"/>
  <c r="Q53" i="7"/>
  <c r="R53" i="7"/>
  <c r="H53" i="7"/>
  <c r="D53" i="7"/>
  <c r="S53" i="7"/>
  <c r="P53" i="7"/>
  <c r="K53" i="7"/>
  <c r="F53" i="7"/>
  <c r="C52" i="16" s="1"/>
  <c r="E53" i="7"/>
  <c r="A53" i="13"/>
  <c r="A526" i="13"/>
  <c r="H526" i="13" s="1"/>
  <c r="A447" i="13"/>
  <c r="H447" i="13" s="1"/>
  <c r="A368" i="13"/>
  <c r="H368" i="13" s="1"/>
  <c r="A605" i="13"/>
  <c r="H605" i="13" s="1"/>
  <c r="A289" i="13"/>
  <c r="H289" i="13" s="1"/>
  <c r="A131" i="13"/>
  <c r="H131" i="13" s="1"/>
  <c r="A210" i="13"/>
  <c r="H210" i="13" s="1"/>
  <c r="H52" i="13"/>
  <c r="X47" i="8"/>
  <c r="B145" i="3"/>
  <c r="B225" i="3"/>
  <c r="AH47" i="7"/>
  <c r="B145" i="4"/>
  <c r="B225" i="4"/>
  <c r="B54" i="2"/>
  <c r="B122" i="2"/>
  <c r="B145" i="6"/>
  <c r="B225" i="6"/>
  <c r="B145" i="5"/>
  <c r="B225" i="5"/>
  <c r="AF48" i="10"/>
  <c r="AG48" i="10" s="1"/>
  <c r="I49" i="10"/>
  <c r="G49" i="10"/>
  <c r="AF47" i="9"/>
  <c r="G47" i="9"/>
  <c r="AF47" i="8"/>
  <c r="G47" i="8"/>
  <c r="I47" i="7"/>
  <c r="X47" i="7"/>
  <c r="A54" i="3"/>
  <c r="C53" i="3"/>
  <c r="C148" i="6"/>
  <c r="C54" i="6"/>
  <c r="C147" i="5"/>
  <c r="C54" i="5"/>
  <c r="C53" i="4"/>
  <c r="C147" i="4"/>
  <c r="C146" i="3"/>
  <c r="C57" i="2"/>
  <c r="H122" i="1"/>
  <c r="I121" i="1"/>
  <c r="O54" i="10" l="1"/>
  <c r="AE54" i="7"/>
  <c r="K54" i="9"/>
  <c r="AG54" i="7"/>
  <c r="F54" i="9"/>
  <c r="I53" i="16" s="1"/>
  <c r="D54" i="9"/>
  <c r="E54" i="9"/>
  <c r="AB55" i="7"/>
  <c r="AG55" i="7" s="1"/>
  <c r="AF54" i="7"/>
  <c r="AC55" i="7"/>
  <c r="N48" i="8"/>
  <c r="B48" i="8"/>
  <c r="B48" i="9"/>
  <c r="N48" i="9"/>
  <c r="B48" i="7"/>
  <c r="N48" i="7"/>
  <c r="H55" i="8"/>
  <c r="M56" i="2"/>
  <c r="J126" i="2"/>
  <c r="F126" i="2"/>
  <c r="K126" i="2"/>
  <c r="G126" i="2"/>
  <c r="D126" i="2"/>
  <c r="I126" i="2"/>
  <c r="H126" i="2"/>
  <c r="E126" i="2"/>
  <c r="K55" i="8"/>
  <c r="A55" i="9"/>
  <c r="E55" i="9" s="1"/>
  <c r="M55" i="9"/>
  <c r="O55" i="9" s="1"/>
  <c r="P54" i="9"/>
  <c r="Q54" i="9"/>
  <c r="S54" i="9"/>
  <c r="R54" i="9"/>
  <c r="T54" i="9"/>
  <c r="AC56" i="10"/>
  <c r="E55" i="8"/>
  <c r="Q55" i="8"/>
  <c r="S54" i="10"/>
  <c r="Q54" i="10"/>
  <c r="P54" i="10"/>
  <c r="E54" i="10"/>
  <c r="A56" i="8"/>
  <c r="E56" i="8" s="1"/>
  <c r="M56" i="8"/>
  <c r="P55" i="8"/>
  <c r="D55" i="8"/>
  <c r="S55" i="8"/>
  <c r="R55" i="8"/>
  <c r="F55" i="8"/>
  <c r="F54" i="16" s="1"/>
  <c r="M55" i="7"/>
  <c r="A55" i="7"/>
  <c r="AB56" i="10"/>
  <c r="AE55" i="10"/>
  <c r="A55" i="10"/>
  <c r="B56" i="10" s="1"/>
  <c r="K54" i="10"/>
  <c r="M55" i="10"/>
  <c r="O55" i="10" s="1"/>
  <c r="R54" i="10"/>
  <c r="H54" i="10"/>
  <c r="F54" i="10"/>
  <c r="L53" i="16" s="1"/>
  <c r="T54" i="10"/>
  <c r="D54" i="10"/>
  <c r="N55" i="10"/>
  <c r="AG55" i="9"/>
  <c r="AE55" i="9"/>
  <c r="AJ55" i="9"/>
  <c r="AJ55" i="8"/>
  <c r="AE55" i="8"/>
  <c r="AG55" i="8"/>
  <c r="P54" i="7"/>
  <c r="T54" i="7"/>
  <c r="F54" i="7"/>
  <c r="C53" i="16" s="1"/>
  <c r="R54" i="7"/>
  <c r="D54" i="7"/>
  <c r="Q54" i="7"/>
  <c r="H54" i="7"/>
  <c r="E54" i="7"/>
  <c r="S54" i="7"/>
  <c r="K54" i="7"/>
  <c r="A54" i="13"/>
  <c r="A606" i="13"/>
  <c r="H606" i="13" s="1"/>
  <c r="A290" i="13"/>
  <c r="H290" i="13" s="1"/>
  <c r="A527" i="13"/>
  <c r="H527" i="13" s="1"/>
  <c r="A448" i="13"/>
  <c r="H448" i="13" s="1"/>
  <c r="A211" i="13"/>
  <c r="H211" i="13" s="1"/>
  <c r="A369" i="13"/>
  <c r="H369" i="13" s="1"/>
  <c r="A132" i="13"/>
  <c r="H132" i="13" s="1"/>
  <c r="H53" i="13"/>
  <c r="X48" i="7"/>
  <c r="G48" i="7"/>
  <c r="B146" i="5"/>
  <c r="B226" i="5"/>
  <c r="B146" i="6"/>
  <c r="B226" i="6"/>
  <c r="X48" i="8"/>
  <c r="B146" i="3"/>
  <c r="B226" i="3"/>
  <c r="AH48" i="7"/>
  <c r="B55" i="2"/>
  <c r="B123" i="2"/>
  <c r="B146" i="4"/>
  <c r="B226" i="4"/>
  <c r="I50" i="10"/>
  <c r="G50" i="10"/>
  <c r="AF49" i="10"/>
  <c r="AG49" i="10" s="1"/>
  <c r="AF48" i="9"/>
  <c r="G48" i="9"/>
  <c r="AF48" i="8"/>
  <c r="X49" i="8"/>
  <c r="G48" i="8"/>
  <c r="I48" i="7"/>
  <c r="G49" i="7"/>
  <c r="A55" i="3"/>
  <c r="C54" i="3"/>
  <c r="C55" i="6"/>
  <c r="C149" i="6"/>
  <c r="C148" i="5"/>
  <c r="C55" i="5"/>
  <c r="C148" i="4"/>
  <c r="C54" i="4"/>
  <c r="C147" i="3"/>
  <c r="C58" i="2"/>
  <c r="H123" i="1"/>
  <c r="I122" i="1"/>
  <c r="AJ55" i="7" l="1"/>
  <c r="AE55" i="7"/>
  <c r="AC56" i="7"/>
  <c r="AB56" i="7"/>
  <c r="AG56" i="7" s="1"/>
  <c r="AF55" i="7"/>
  <c r="N49" i="9"/>
  <c r="B49" i="9"/>
  <c r="B49" i="8"/>
  <c r="N49" i="8"/>
  <c r="B49" i="7"/>
  <c r="N49" i="7"/>
  <c r="R56" i="8"/>
  <c r="K56" i="8"/>
  <c r="M57" i="2"/>
  <c r="J127" i="2"/>
  <c r="F127" i="2"/>
  <c r="K127" i="2"/>
  <c r="G127" i="2"/>
  <c r="D127" i="2"/>
  <c r="I127" i="2"/>
  <c r="E127" i="2"/>
  <c r="H127" i="2"/>
  <c r="Q56" i="8"/>
  <c r="F56" i="8"/>
  <c r="F55" i="16" s="1"/>
  <c r="T56" i="8"/>
  <c r="S56" i="8"/>
  <c r="H56" i="8"/>
  <c r="D56" i="8"/>
  <c r="M56" i="9"/>
  <c r="A56" i="9"/>
  <c r="E56" i="9" s="1"/>
  <c r="T55" i="9"/>
  <c r="R55" i="9"/>
  <c r="Q55" i="9"/>
  <c r="P55" i="9"/>
  <c r="S55" i="9"/>
  <c r="P56" i="8"/>
  <c r="S55" i="10"/>
  <c r="Q55" i="10"/>
  <c r="P55" i="10"/>
  <c r="E55" i="10"/>
  <c r="D55" i="9"/>
  <c r="F55" i="9"/>
  <c r="I54" i="16" s="1"/>
  <c r="H55" i="9"/>
  <c r="K55" i="9"/>
  <c r="M57" i="8"/>
  <c r="A57" i="8"/>
  <c r="A56" i="7"/>
  <c r="M56" i="7"/>
  <c r="M56" i="10"/>
  <c r="R55" i="10"/>
  <c r="H55" i="10"/>
  <c r="F55" i="10"/>
  <c r="L54" i="16" s="1"/>
  <c r="T55" i="10"/>
  <c r="D55" i="10"/>
  <c r="A56" i="10"/>
  <c r="B57" i="10" s="1"/>
  <c r="K55" i="10"/>
  <c r="AB57" i="10"/>
  <c r="AE56" i="10"/>
  <c r="N56" i="10"/>
  <c r="AC57" i="10"/>
  <c r="AJ56" i="9"/>
  <c r="AG56" i="9"/>
  <c r="AE56" i="9"/>
  <c r="AG56" i="8"/>
  <c r="AJ56" i="8"/>
  <c r="AE56" i="8"/>
  <c r="S55" i="7"/>
  <c r="Q55" i="7"/>
  <c r="K55" i="7"/>
  <c r="H55" i="7"/>
  <c r="E55" i="7"/>
  <c r="F55" i="7"/>
  <c r="C54" i="16" s="1"/>
  <c r="R55" i="7"/>
  <c r="D55" i="7"/>
  <c r="P55" i="7"/>
  <c r="T55" i="7"/>
  <c r="A55" i="13"/>
  <c r="A370" i="13"/>
  <c r="H370" i="13" s="1"/>
  <c r="A607" i="13"/>
  <c r="H607" i="13" s="1"/>
  <c r="A291" i="13"/>
  <c r="H291" i="13" s="1"/>
  <c r="A528" i="13"/>
  <c r="H528" i="13" s="1"/>
  <c r="A212" i="13"/>
  <c r="H212" i="13" s="1"/>
  <c r="A449" i="13"/>
  <c r="H449" i="13" s="1"/>
  <c r="A133" i="13"/>
  <c r="H133" i="13" s="1"/>
  <c r="H54" i="13"/>
  <c r="B227" i="4"/>
  <c r="B147" i="4"/>
  <c r="AH49" i="7"/>
  <c r="B147" i="3"/>
  <c r="B227" i="3"/>
  <c r="B147" i="5"/>
  <c r="B227" i="5"/>
  <c r="B56" i="2"/>
  <c r="B124" i="2"/>
  <c r="B227" i="6"/>
  <c r="B147" i="6"/>
  <c r="G51" i="10"/>
  <c r="I51" i="10"/>
  <c r="AF50" i="10"/>
  <c r="AG50" i="10"/>
  <c r="AF49" i="9"/>
  <c r="G49" i="9"/>
  <c r="G49" i="8"/>
  <c r="AF49" i="8"/>
  <c r="I49" i="7"/>
  <c r="G50" i="7"/>
  <c r="X49" i="7"/>
  <c r="A56" i="3"/>
  <c r="C55" i="3"/>
  <c r="C56" i="6"/>
  <c r="C150" i="6"/>
  <c r="C149" i="5"/>
  <c r="C56" i="5"/>
  <c r="C55" i="4"/>
  <c r="C149" i="4"/>
  <c r="C148" i="3"/>
  <c r="C59" i="2"/>
  <c r="H124" i="1"/>
  <c r="I123" i="1"/>
  <c r="O56" i="10" l="1"/>
  <c r="O56" i="9"/>
  <c r="AJ56" i="7"/>
  <c r="AE56" i="7"/>
  <c r="D56" i="9"/>
  <c r="AB57" i="7"/>
  <c r="AE57" i="7" s="1"/>
  <c r="AF56" i="7"/>
  <c r="AC57" i="7"/>
  <c r="N50" i="8"/>
  <c r="B50" i="8"/>
  <c r="N50" i="9"/>
  <c r="B50" i="9"/>
  <c r="N50" i="7"/>
  <c r="B50" i="7"/>
  <c r="J128" i="2"/>
  <c r="F128" i="2"/>
  <c r="K128" i="2"/>
  <c r="G128" i="2"/>
  <c r="D128" i="2"/>
  <c r="E128" i="2"/>
  <c r="I128" i="2"/>
  <c r="H128" i="2"/>
  <c r="F56" i="9"/>
  <c r="I55" i="16" s="1"/>
  <c r="M58" i="2"/>
  <c r="H56" i="9"/>
  <c r="S56" i="9"/>
  <c r="M57" i="9"/>
  <c r="A57" i="9"/>
  <c r="K57" i="9" s="1"/>
  <c r="T56" i="9"/>
  <c r="P56" i="9"/>
  <c r="R56" i="9"/>
  <c r="Q56" i="9"/>
  <c r="S56" i="10"/>
  <c r="Q56" i="10"/>
  <c r="P56" i="10"/>
  <c r="AC58" i="10"/>
  <c r="E56" i="10"/>
  <c r="K56" i="9"/>
  <c r="A58" i="8"/>
  <c r="E58" i="8" s="1"/>
  <c r="M58" i="8"/>
  <c r="R57" i="8"/>
  <c r="F57" i="8"/>
  <c r="E57" i="8"/>
  <c r="T57" i="8"/>
  <c r="S57" i="8"/>
  <c r="D57" i="8"/>
  <c r="K57" i="8"/>
  <c r="H57" i="8"/>
  <c r="P57" i="8"/>
  <c r="Q57" i="8"/>
  <c r="M57" i="7"/>
  <c r="A57" i="7"/>
  <c r="N57" i="10"/>
  <c r="AB58" i="10"/>
  <c r="AE57" i="10"/>
  <c r="F56" i="10"/>
  <c r="L55" i="16" s="1"/>
  <c r="T56" i="10"/>
  <c r="D56" i="10"/>
  <c r="A57" i="10"/>
  <c r="K56" i="10"/>
  <c r="H56" i="10"/>
  <c r="M57" i="10"/>
  <c r="R56" i="10"/>
  <c r="AJ57" i="9"/>
  <c r="AG57" i="9"/>
  <c r="AE57" i="9"/>
  <c r="AG57" i="8"/>
  <c r="AE57" i="8"/>
  <c r="AJ57" i="8"/>
  <c r="AJ57" i="7"/>
  <c r="R56" i="7"/>
  <c r="S56" i="7"/>
  <c r="T56" i="7"/>
  <c r="P56" i="7"/>
  <c r="D56" i="7"/>
  <c r="Q56" i="7"/>
  <c r="K56" i="7"/>
  <c r="H56" i="7"/>
  <c r="E56" i="7"/>
  <c r="F56" i="7"/>
  <c r="C55" i="16" s="1"/>
  <c r="A56" i="13"/>
  <c r="A450" i="13"/>
  <c r="H450" i="13" s="1"/>
  <c r="A371" i="13"/>
  <c r="H371" i="13" s="1"/>
  <c r="A608" i="13"/>
  <c r="H608" i="13" s="1"/>
  <c r="A529" i="13"/>
  <c r="H529" i="13" s="1"/>
  <c r="A292" i="13"/>
  <c r="H292" i="13" s="1"/>
  <c r="A213" i="13"/>
  <c r="H213" i="13" s="1"/>
  <c r="A134" i="13"/>
  <c r="H134" i="13" s="1"/>
  <c r="H55" i="13"/>
  <c r="X50" i="8"/>
  <c r="B148" i="6"/>
  <c r="B228" i="6"/>
  <c r="B228" i="5"/>
  <c r="B148" i="5"/>
  <c r="B148" i="3"/>
  <c r="B228" i="3"/>
  <c r="AH50" i="7"/>
  <c r="B125" i="2"/>
  <c r="B57" i="2"/>
  <c r="B148" i="4"/>
  <c r="B228" i="4"/>
  <c r="AF51" i="10"/>
  <c r="AG51" i="10"/>
  <c r="G52" i="10"/>
  <c r="I52" i="10"/>
  <c r="G50" i="9"/>
  <c r="AF50" i="9"/>
  <c r="AF50" i="8"/>
  <c r="G50" i="8"/>
  <c r="I50" i="7"/>
  <c r="X50" i="7"/>
  <c r="A57" i="3"/>
  <c r="C56" i="3"/>
  <c r="C151" i="6"/>
  <c r="C57" i="6"/>
  <c r="C57" i="5"/>
  <c r="C150" i="5"/>
  <c r="C150" i="4"/>
  <c r="C56" i="4"/>
  <c r="C149" i="3"/>
  <c r="C60" i="2"/>
  <c r="H125" i="1"/>
  <c r="I124" i="1"/>
  <c r="F57" i="16" l="1"/>
  <c r="H91" i="8" s="1"/>
  <c r="J22" i="11" s="1"/>
  <c r="F56" i="16"/>
  <c r="O57" i="10"/>
  <c r="O57" i="9"/>
  <c r="AG57" i="7"/>
  <c r="AC58" i="7"/>
  <c r="AB58" i="7"/>
  <c r="AG58" i="7" s="1"/>
  <c r="AF57" i="7"/>
  <c r="N51" i="7"/>
  <c r="B51" i="7"/>
  <c r="B51" i="8"/>
  <c r="N51" i="8"/>
  <c r="N51" i="9"/>
  <c r="B51" i="9"/>
  <c r="D58" i="8"/>
  <c r="D57" i="9"/>
  <c r="J129" i="2"/>
  <c r="F129" i="2"/>
  <c r="K129" i="2"/>
  <c r="G129" i="2"/>
  <c r="D129" i="2"/>
  <c r="I129" i="2"/>
  <c r="H129" i="2"/>
  <c r="E129" i="2"/>
  <c r="M59" i="2"/>
  <c r="A58" i="9"/>
  <c r="E58" i="9" s="1"/>
  <c r="M58" i="9"/>
  <c r="T57" i="9"/>
  <c r="S57" i="9"/>
  <c r="R57" i="9"/>
  <c r="P57" i="9"/>
  <c r="Q57" i="9"/>
  <c r="P58" i="8"/>
  <c r="AC59" i="10"/>
  <c r="S57" i="10"/>
  <c r="Q57" i="10"/>
  <c r="P57" i="10"/>
  <c r="E57" i="10"/>
  <c r="E57" i="9"/>
  <c r="H57" i="9"/>
  <c r="F57" i="9"/>
  <c r="Q58" i="8"/>
  <c r="K58" i="8"/>
  <c r="M59" i="8"/>
  <c r="T58" i="8"/>
  <c r="H58" i="8"/>
  <c r="S58" i="8"/>
  <c r="F58" i="8"/>
  <c r="A59" i="8"/>
  <c r="D59" i="8" s="1"/>
  <c r="R58" i="8"/>
  <c r="M58" i="7"/>
  <c r="A58" i="7"/>
  <c r="AB59" i="10"/>
  <c r="AE58" i="10"/>
  <c r="T57" i="10"/>
  <c r="D57" i="10"/>
  <c r="A58" i="10"/>
  <c r="K57" i="10"/>
  <c r="M58" i="10"/>
  <c r="R57" i="10"/>
  <c r="H57" i="10"/>
  <c r="F57" i="10"/>
  <c r="B58" i="10"/>
  <c r="N58" i="10"/>
  <c r="AJ58" i="9"/>
  <c r="AG58" i="9"/>
  <c r="AE58" i="9"/>
  <c r="AJ58" i="8"/>
  <c r="AG58" i="8"/>
  <c r="AE58" i="8"/>
  <c r="T57" i="7"/>
  <c r="Q57" i="7"/>
  <c r="R57" i="7"/>
  <c r="S57" i="7"/>
  <c r="D57" i="7"/>
  <c r="K57" i="7"/>
  <c r="P57" i="7"/>
  <c r="H57" i="7"/>
  <c r="F57" i="7"/>
  <c r="E57" i="7"/>
  <c r="A57" i="13"/>
  <c r="A530" i="13"/>
  <c r="H530" i="13" s="1"/>
  <c r="A451" i="13"/>
  <c r="H451" i="13" s="1"/>
  <c r="A372" i="13"/>
  <c r="H372" i="13" s="1"/>
  <c r="A135" i="13"/>
  <c r="H135" i="13" s="1"/>
  <c r="A609" i="13"/>
  <c r="H609" i="13" s="1"/>
  <c r="A293" i="13"/>
  <c r="H293" i="13" s="1"/>
  <c r="A214" i="13"/>
  <c r="H214" i="13" s="1"/>
  <c r="H56" i="13"/>
  <c r="X51" i="7"/>
  <c r="G51" i="7"/>
  <c r="X51" i="8"/>
  <c r="AH51" i="7"/>
  <c r="B229" i="3"/>
  <c r="B149" i="3"/>
  <c r="B149" i="6"/>
  <c r="B229" i="6"/>
  <c r="B149" i="4"/>
  <c r="B229" i="4"/>
  <c r="B126" i="2"/>
  <c r="B58" i="2"/>
  <c r="B229" i="5"/>
  <c r="B149" i="5"/>
  <c r="AF52" i="10"/>
  <c r="AG52" i="10"/>
  <c r="I53" i="10"/>
  <c r="G53" i="10"/>
  <c r="G51" i="9"/>
  <c r="AF51" i="9"/>
  <c r="AF51" i="8"/>
  <c r="G51" i="8"/>
  <c r="I51" i="7"/>
  <c r="A58" i="3"/>
  <c r="C57" i="3"/>
  <c r="C58" i="6"/>
  <c r="C152" i="6"/>
  <c r="C151" i="5"/>
  <c r="C58" i="5"/>
  <c r="C57" i="4"/>
  <c r="C151" i="4"/>
  <c r="C150" i="3"/>
  <c r="C61" i="2"/>
  <c r="H126" i="1"/>
  <c r="I125" i="1"/>
  <c r="H91" i="7" l="1"/>
  <c r="I22" i="11" s="1"/>
  <c r="C56" i="16"/>
  <c r="C57" i="16"/>
  <c r="I57" i="16"/>
  <c r="H91" i="9" s="1"/>
  <c r="K22" i="11" s="1"/>
  <c r="I56" i="16"/>
  <c r="L57" i="16"/>
  <c r="H91" i="10" s="1"/>
  <c r="L22" i="11" s="1"/>
  <c r="L56" i="16"/>
  <c r="O58" i="9"/>
  <c r="O58" i="10"/>
  <c r="AE58" i="7"/>
  <c r="AB59" i="7"/>
  <c r="AE59" i="7" s="1"/>
  <c r="AF58" i="7"/>
  <c r="AJ58" i="7"/>
  <c r="AC59" i="7"/>
  <c r="N52" i="8"/>
  <c r="B52" i="8"/>
  <c r="N52" i="9"/>
  <c r="B52" i="9"/>
  <c r="N52" i="7"/>
  <c r="B52" i="7"/>
  <c r="M60" i="2"/>
  <c r="J130" i="2"/>
  <c r="F130" i="2"/>
  <c r="K130" i="2"/>
  <c r="G130" i="2"/>
  <c r="D130" i="2"/>
  <c r="E130" i="2"/>
  <c r="I130" i="2"/>
  <c r="H130" i="2"/>
  <c r="E59" i="8"/>
  <c r="M59" i="9"/>
  <c r="A59" i="9"/>
  <c r="D59" i="9" s="1"/>
  <c r="F58" i="9"/>
  <c r="H58" i="9"/>
  <c r="R58" i="9"/>
  <c r="S58" i="9"/>
  <c r="Q58" i="9"/>
  <c r="K58" i="9"/>
  <c r="T58" i="9"/>
  <c r="P58" i="9"/>
  <c r="D58" i="9"/>
  <c r="P59" i="8"/>
  <c r="S58" i="10"/>
  <c r="Q58" i="10"/>
  <c r="P58" i="10"/>
  <c r="A60" i="8"/>
  <c r="E60" i="8" s="1"/>
  <c r="E61" i="8" s="1"/>
  <c r="S59" i="8"/>
  <c r="F59" i="8"/>
  <c r="R59" i="8"/>
  <c r="K59" i="8"/>
  <c r="Q59" i="8"/>
  <c r="M60" i="8"/>
  <c r="T59" i="8"/>
  <c r="H59" i="8"/>
  <c r="A59" i="7"/>
  <c r="S58" i="7"/>
  <c r="H58" i="7"/>
  <c r="Q58" i="7"/>
  <c r="M59" i="7"/>
  <c r="T58" i="7"/>
  <c r="P58" i="7"/>
  <c r="K58" i="7"/>
  <c r="F58" i="7"/>
  <c r="E58" i="7"/>
  <c r="R58" i="7"/>
  <c r="A59" i="10"/>
  <c r="K58" i="10"/>
  <c r="M59" i="10"/>
  <c r="R58" i="10"/>
  <c r="H58" i="10"/>
  <c r="F58" i="10"/>
  <c r="T58" i="10"/>
  <c r="E58" i="10"/>
  <c r="D58" i="10"/>
  <c r="AB60" i="10"/>
  <c r="AE60" i="10" s="1"/>
  <c r="AE59" i="10"/>
  <c r="N59" i="10"/>
  <c r="B59" i="10"/>
  <c r="AC60" i="10"/>
  <c r="AJ59" i="9"/>
  <c r="AG59" i="9"/>
  <c r="AE59" i="9"/>
  <c r="AJ59" i="8"/>
  <c r="AG59" i="8"/>
  <c r="AE59" i="8"/>
  <c r="D58" i="7"/>
  <c r="A58" i="13"/>
  <c r="A610" i="13"/>
  <c r="H610" i="13" s="1"/>
  <c r="A294" i="13"/>
  <c r="H294" i="13" s="1"/>
  <c r="A531" i="13"/>
  <c r="H531" i="13" s="1"/>
  <c r="A452" i="13"/>
  <c r="H452" i="13" s="1"/>
  <c r="A215" i="13"/>
  <c r="H215" i="13" s="1"/>
  <c r="A136" i="13"/>
  <c r="H136" i="13" s="1"/>
  <c r="A373" i="13"/>
  <c r="H373" i="13" s="1"/>
  <c r="H57" i="13"/>
  <c r="X52" i="7"/>
  <c r="G52" i="7"/>
  <c r="B150" i="5"/>
  <c r="B230" i="5"/>
  <c r="B59" i="2"/>
  <c r="B127" i="2"/>
  <c r="B230" i="3"/>
  <c r="B150" i="3"/>
  <c r="AH52" i="7"/>
  <c r="B230" i="4"/>
  <c r="B150" i="4"/>
  <c r="B230" i="6"/>
  <c r="B150" i="6"/>
  <c r="AI43" i="7"/>
  <c r="AI43" i="10"/>
  <c r="AJ43" i="10" s="1"/>
  <c r="AI42" i="7"/>
  <c r="AI42" i="10"/>
  <c r="AJ42" i="10" s="1"/>
  <c r="G54" i="10"/>
  <c r="I54" i="10"/>
  <c r="AF53" i="10"/>
  <c r="AG53" i="10" s="1"/>
  <c r="AF52" i="9"/>
  <c r="G52" i="9"/>
  <c r="G52" i="8"/>
  <c r="X52" i="8"/>
  <c r="AF52" i="8"/>
  <c r="I52" i="7"/>
  <c r="G53" i="7"/>
  <c r="A59" i="3"/>
  <c r="C58" i="3"/>
  <c r="C59" i="6"/>
  <c r="C153" i="6"/>
  <c r="C152" i="5"/>
  <c r="C59" i="5"/>
  <c r="C152" i="4"/>
  <c r="C58" i="4"/>
  <c r="C151" i="3"/>
  <c r="C62" i="2"/>
  <c r="H127" i="1"/>
  <c r="I126" i="1"/>
  <c r="AG59" i="7" l="1"/>
  <c r="O59" i="10"/>
  <c r="O59" i="9"/>
  <c r="D60" i="8"/>
  <c r="D61" i="8" s="1"/>
  <c r="D63" i="8" s="1"/>
  <c r="AC60" i="7"/>
  <c r="AF59" i="7"/>
  <c r="AJ59" i="7"/>
  <c r="AB60" i="7"/>
  <c r="AE60" i="7" s="1"/>
  <c r="N53" i="9"/>
  <c r="B53" i="9"/>
  <c r="B53" i="7"/>
  <c r="N53" i="7"/>
  <c r="B53" i="8"/>
  <c r="N53" i="8"/>
  <c r="J131" i="2"/>
  <c r="F131" i="2"/>
  <c r="K131" i="2"/>
  <c r="G131" i="2"/>
  <c r="D131" i="2"/>
  <c r="I131" i="2"/>
  <c r="H131" i="2"/>
  <c r="E131" i="2"/>
  <c r="M61" i="2"/>
  <c r="T59" i="9"/>
  <c r="M60" i="9"/>
  <c r="A60" i="9"/>
  <c r="D60" i="9" s="1"/>
  <c r="D61" i="9" s="1"/>
  <c r="D63" i="9" s="1"/>
  <c r="Q59" i="9"/>
  <c r="F59" i="9"/>
  <c r="R59" i="9"/>
  <c r="P59" i="9"/>
  <c r="K59" i="9"/>
  <c r="H59" i="9"/>
  <c r="S59" i="9"/>
  <c r="P60" i="8"/>
  <c r="S59" i="10"/>
  <c r="Q59" i="10"/>
  <c r="P59" i="10"/>
  <c r="E59" i="9"/>
  <c r="Q60" i="8"/>
  <c r="K60" i="8"/>
  <c r="T60" i="8"/>
  <c r="H60" i="8"/>
  <c r="R60" i="8"/>
  <c r="S60" i="8"/>
  <c r="F60" i="8"/>
  <c r="M60" i="7"/>
  <c r="T59" i="7"/>
  <c r="P59" i="7"/>
  <c r="K59" i="7"/>
  <c r="R59" i="7"/>
  <c r="F59" i="7"/>
  <c r="Q59" i="7"/>
  <c r="A60" i="7"/>
  <c r="S59" i="7"/>
  <c r="E59" i="7"/>
  <c r="H59" i="7"/>
  <c r="B60" i="10"/>
  <c r="N60" i="10"/>
  <c r="M60" i="10"/>
  <c r="R59" i="10"/>
  <c r="H59" i="10"/>
  <c r="F59" i="10"/>
  <c r="T59" i="10"/>
  <c r="D59" i="10"/>
  <c r="A60" i="10"/>
  <c r="K59" i="10"/>
  <c r="E59" i="10"/>
  <c r="AJ60" i="9"/>
  <c r="AG60" i="9"/>
  <c r="AE60" i="9"/>
  <c r="AE61" i="9" s="1"/>
  <c r="AJ60" i="8"/>
  <c r="AG60" i="8"/>
  <c r="AE60" i="8"/>
  <c r="AE61" i="8" s="1"/>
  <c r="D59" i="7"/>
  <c r="A59" i="13"/>
  <c r="A374" i="13"/>
  <c r="H374" i="13" s="1"/>
  <c r="A611" i="13"/>
  <c r="H611" i="13" s="1"/>
  <c r="A295" i="13"/>
  <c r="H295" i="13" s="1"/>
  <c r="A532" i="13"/>
  <c r="H532" i="13" s="1"/>
  <c r="A216" i="13"/>
  <c r="H216" i="13" s="1"/>
  <c r="A137" i="13"/>
  <c r="H137" i="13" s="1"/>
  <c r="A453" i="13"/>
  <c r="H453" i="13" s="1"/>
  <c r="H58" i="13"/>
  <c r="B231" i="4"/>
  <c r="B151" i="4"/>
  <c r="B128" i="2"/>
  <c r="B60" i="2"/>
  <c r="B151" i="3"/>
  <c r="B231" i="3"/>
  <c r="B231" i="6"/>
  <c r="B151" i="6"/>
  <c r="AH53" i="7"/>
  <c r="B231" i="5"/>
  <c r="B151" i="5"/>
  <c r="AI44" i="7"/>
  <c r="AI44" i="10"/>
  <c r="AJ44" i="10" s="1"/>
  <c r="AF54" i="10"/>
  <c r="AG54" i="10" s="1"/>
  <c r="I55" i="10"/>
  <c r="G55" i="10"/>
  <c r="AF53" i="9"/>
  <c r="G53" i="9"/>
  <c r="G53" i="8"/>
  <c r="X53" i="8"/>
  <c r="AF53" i="8"/>
  <c r="I53" i="7"/>
  <c r="X53" i="7"/>
  <c r="A60" i="3"/>
  <c r="C59" i="3"/>
  <c r="C154" i="6"/>
  <c r="C60" i="6"/>
  <c r="C153" i="5"/>
  <c r="C60" i="5"/>
  <c r="C153" i="4"/>
  <c r="C59" i="4"/>
  <c r="C152" i="3"/>
  <c r="C63" i="2"/>
  <c r="H128" i="1"/>
  <c r="I127" i="1"/>
  <c r="O60" i="10" l="1"/>
  <c r="O60" i="9"/>
  <c r="AG60" i="7"/>
  <c r="AJ60" i="7"/>
  <c r="AF60" i="7"/>
  <c r="N54" i="7"/>
  <c r="B54" i="7"/>
  <c r="N54" i="9"/>
  <c r="B54" i="9"/>
  <c r="B54" i="8"/>
  <c r="N54" i="8"/>
  <c r="J132" i="2"/>
  <c r="F132" i="2"/>
  <c r="K132" i="2"/>
  <c r="G132" i="2"/>
  <c r="D132" i="2"/>
  <c r="E132" i="2"/>
  <c r="I132" i="2"/>
  <c r="H132" i="2"/>
  <c r="M62" i="2"/>
  <c r="Q60" i="9"/>
  <c r="K60" i="9"/>
  <c r="T60" i="9"/>
  <c r="S60" i="9"/>
  <c r="F60" i="9"/>
  <c r="H60" i="9"/>
  <c r="P60" i="9"/>
  <c r="R60" i="9"/>
  <c r="E60" i="9"/>
  <c r="E61" i="9" s="1"/>
  <c r="E63" i="9" s="1"/>
  <c r="S60" i="10"/>
  <c r="Q60" i="10"/>
  <c r="P60" i="10"/>
  <c r="Q60" i="7"/>
  <c r="S60" i="7"/>
  <c r="H60" i="7"/>
  <c r="R60" i="7"/>
  <c r="F60" i="7"/>
  <c r="T60" i="7"/>
  <c r="E60" i="7"/>
  <c r="E61" i="7" s="1"/>
  <c r="P60" i="7"/>
  <c r="K60" i="7"/>
  <c r="F60" i="10"/>
  <c r="T60" i="10"/>
  <c r="D60" i="10"/>
  <c r="D61" i="10" s="1"/>
  <c r="D63" i="10" s="1"/>
  <c r="K60" i="10"/>
  <c r="H60" i="10"/>
  <c r="R60" i="10"/>
  <c r="E60" i="10"/>
  <c r="E61" i="10" s="1"/>
  <c r="D60" i="7"/>
  <c r="D61" i="7" s="1"/>
  <c r="D63" i="7" s="1"/>
  <c r="A60" i="13"/>
  <c r="A454" i="13"/>
  <c r="H454" i="13" s="1"/>
  <c r="A375" i="13"/>
  <c r="H375" i="13" s="1"/>
  <c r="A612" i="13"/>
  <c r="H612" i="13" s="1"/>
  <c r="A533" i="13"/>
  <c r="H533" i="13" s="1"/>
  <c r="A217" i="13"/>
  <c r="H217" i="13" s="1"/>
  <c r="A296" i="13"/>
  <c r="H296" i="13" s="1"/>
  <c r="A138" i="13"/>
  <c r="H138" i="13" s="1"/>
  <c r="H59" i="13"/>
  <c r="X54" i="7"/>
  <c r="G54" i="7"/>
  <c r="AH54" i="7"/>
  <c r="B232" i="3"/>
  <c r="B152" i="3"/>
  <c r="B61" i="2"/>
  <c r="B129" i="2"/>
  <c r="B232" i="4"/>
  <c r="B152" i="4"/>
  <c r="B152" i="5"/>
  <c r="B232" i="5"/>
  <c r="B232" i="6"/>
  <c r="B152" i="6"/>
  <c r="AF55" i="10"/>
  <c r="AG55" i="10"/>
  <c r="I56" i="10"/>
  <c r="G56" i="10"/>
  <c r="G54" i="9"/>
  <c r="AF54" i="9"/>
  <c r="X55" i="8"/>
  <c r="G54" i="8"/>
  <c r="AF54" i="8"/>
  <c r="X54" i="8"/>
  <c r="G55" i="7"/>
  <c r="I54" i="7"/>
  <c r="A61" i="3"/>
  <c r="C60" i="3"/>
  <c r="C61" i="6"/>
  <c r="C155" i="6"/>
  <c r="C61" i="5"/>
  <c r="C154" i="5"/>
  <c r="C60" i="4"/>
  <c r="C154" i="4"/>
  <c r="C153" i="3"/>
  <c r="C64" i="2"/>
  <c r="H129" i="1"/>
  <c r="I128" i="1"/>
  <c r="N55" i="9" l="1"/>
  <c r="B55" i="9"/>
  <c r="N55" i="7"/>
  <c r="B55" i="7"/>
  <c r="B55" i="8"/>
  <c r="N55" i="8"/>
  <c r="J133" i="2"/>
  <c r="F133" i="2"/>
  <c r="I133" i="2"/>
  <c r="E133" i="2"/>
  <c r="K133" i="2"/>
  <c r="G133" i="2"/>
  <c r="D133" i="2"/>
  <c r="H133" i="2"/>
  <c r="M63" i="2"/>
  <c r="A61" i="13"/>
  <c r="A534" i="13"/>
  <c r="H534" i="13" s="1"/>
  <c r="A455" i="13"/>
  <c r="H455" i="13" s="1"/>
  <c r="A376" i="13"/>
  <c r="H376" i="13" s="1"/>
  <c r="A297" i="13"/>
  <c r="H297" i="13" s="1"/>
  <c r="A139" i="13"/>
  <c r="H139" i="13" s="1"/>
  <c r="A218" i="13"/>
  <c r="H218" i="13" s="1"/>
  <c r="A613" i="13"/>
  <c r="H613" i="13" s="1"/>
  <c r="H60" i="13"/>
  <c r="B233" i="5"/>
  <c r="B153" i="5"/>
  <c r="B130" i="2"/>
  <c r="B62" i="2"/>
  <c r="B153" i="4"/>
  <c r="B233" i="4"/>
  <c r="B233" i="3"/>
  <c r="B153" i="3"/>
  <c r="B153" i="6"/>
  <c r="B233" i="6"/>
  <c r="AH55" i="7"/>
  <c r="AI45" i="7"/>
  <c r="AI45" i="10"/>
  <c r="AJ45" i="10" s="1"/>
  <c r="G57" i="10"/>
  <c r="I57" i="10"/>
  <c r="AF56" i="10"/>
  <c r="AG56" i="10" s="1"/>
  <c r="AF55" i="9"/>
  <c r="G55" i="9"/>
  <c r="AF55" i="8"/>
  <c r="G55" i="8"/>
  <c r="G56" i="7"/>
  <c r="I55" i="7"/>
  <c r="X55" i="7"/>
  <c r="A62" i="3"/>
  <c r="C61" i="3"/>
  <c r="C62" i="6"/>
  <c r="C156" i="6"/>
  <c r="C155" i="5"/>
  <c r="C62" i="5"/>
  <c r="C155" i="4"/>
  <c r="C61" i="4"/>
  <c r="C154" i="3"/>
  <c r="C65" i="2"/>
  <c r="H130" i="1"/>
  <c r="I129" i="1"/>
  <c r="N56" i="9" l="1"/>
  <c r="B56" i="9"/>
  <c r="B56" i="7"/>
  <c r="N56" i="7"/>
  <c r="N56" i="8"/>
  <c r="B56" i="8"/>
  <c r="J134" i="2"/>
  <c r="F134" i="2"/>
  <c r="I134" i="2"/>
  <c r="E134" i="2"/>
  <c r="K134" i="2"/>
  <c r="G134" i="2"/>
  <c r="H134" i="2"/>
  <c r="D134" i="2"/>
  <c r="M64" i="2"/>
  <c r="A62" i="13"/>
  <c r="A614" i="13"/>
  <c r="H614" i="13" s="1"/>
  <c r="A298" i="13"/>
  <c r="H298" i="13" s="1"/>
  <c r="A535" i="13"/>
  <c r="H535" i="13" s="1"/>
  <c r="A456" i="13"/>
  <c r="H456" i="13" s="1"/>
  <c r="A219" i="13"/>
  <c r="H219" i="13" s="1"/>
  <c r="A140" i="13"/>
  <c r="H140" i="13" s="1"/>
  <c r="A377" i="13"/>
  <c r="H377" i="13" s="1"/>
  <c r="H61" i="13"/>
  <c r="X56" i="8"/>
  <c r="B154" i="6"/>
  <c r="B234" i="6"/>
  <c r="B154" i="3"/>
  <c r="B234" i="3"/>
  <c r="B131" i="2"/>
  <c r="B63" i="2"/>
  <c r="X56" i="7"/>
  <c r="AH56" i="7"/>
  <c r="B154" i="4"/>
  <c r="B234" i="4"/>
  <c r="B234" i="5"/>
  <c r="B154" i="5"/>
  <c r="AI47" i="7"/>
  <c r="AI47" i="10"/>
  <c r="AJ47" i="10" s="1"/>
  <c r="AI46" i="7"/>
  <c r="AI46" i="10"/>
  <c r="AJ46" i="10" s="1"/>
  <c r="G58" i="10"/>
  <c r="J58" i="10"/>
  <c r="I58" i="10"/>
  <c r="AF57" i="10"/>
  <c r="AG57" i="10" s="1"/>
  <c r="G56" i="9"/>
  <c r="AF56" i="9"/>
  <c r="AF56" i="8"/>
  <c r="G56" i="8"/>
  <c r="I56" i="7"/>
  <c r="C62" i="3"/>
  <c r="A63" i="3"/>
  <c r="C157" i="6"/>
  <c r="C63" i="6"/>
  <c r="C156" i="5"/>
  <c r="C63" i="5"/>
  <c r="C62" i="4"/>
  <c r="C156" i="4"/>
  <c r="C155" i="3"/>
  <c r="C66" i="2"/>
  <c r="H131" i="1"/>
  <c r="I131" i="1" s="1"/>
  <c r="I130" i="1"/>
  <c r="N57" i="7" l="1"/>
  <c r="B57" i="7"/>
  <c r="N57" i="8"/>
  <c r="B57" i="8"/>
  <c r="B57" i="9"/>
  <c r="N57" i="9"/>
  <c r="M65" i="2"/>
  <c r="J135" i="2"/>
  <c r="F135" i="2"/>
  <c r="I135" i="2"/>
  <c r="E135" i="2"/>
  <c r="K135" i="2"/>
  <c r="G135" i="2"/>
  <c r="D135" i="2"/>
  <c r="H135" i="2"/>
  <c r="A63" i="13"/>
  <c r="A378" i="13"/>
  <c r="H378" i="13" s="1"/>
  <c r="A615" i="13"/>
  <c r="H615" i="13" s="1"/>
  <c r="A299" i="13"/>
  <c r="H299" i="13" s="1"/>
  <c r="A536" i="13"/>
  <c r="H536" i="13" s="1"/>
  <c r="A457" i="13"/>
  <c r="H457" i="13" s="1"/>
  <c r="A220" i="13"/>
  <c r="H220" i="13" s="1"/>
  <c r="A141" i="13"/>
  <c r="H141" i="13" s="1"/>
  <c r="H62" i="13"/>
  <c r="X57" i="7"/>
  <c r="G57" i="7"/>
  <c r="X57" i="8"/>
  <c r="AH57" i="7"/>
  <c r="B132" i="2"/>
  <c r="B64" i="2"/>
  <c r="B235" i="5"/>
  <c r="B155" i="5"/>
  <c r="B155" i="6"/>
  <c r="B235" i="6"/>
  <c r="B235" i="3"/>
  <c r="B155" i="3"/>
  <c r="B155" i="4"/>
  <c r="B235" i="4"/>
  <c r="AJ58" i="10"/>
  <c r="AF58" i="10"/>
  <c r="AI58" i="10"/>
  <c r="AH58" i="10"/>
  <c r="AG58" i="10"/>
  <c r="I59" i="10"/>
  <c r="G59" i="10"/>
  <c r="J59" i="10"/>
  <c r="AF57" i="9"/>
  <c r="G57" i="9"/>
  <c r="AF57" i="8"/>
  <c r="G57" i="8"/>
  <c r="X58" i="8"/>
  <c r="X58" i="7"/>
  <c r="I57" i="7"/>
  <c r="A64" i="3"/>
  <c r="C63" i="3"/>
  <c r="C159" i="6"/>
  <c r="C158" i="6"/>
  <c r="C64" i="6"/>
  <c r="C157" i="5"/>
  <c r="C64" i="5"/>
  <c r="C157" i="4"/>
  <c r="C63" i="4"/>
  <c r="C156" i="3"/>
  <c r="C68" i="2"/>
  <c r="C67" i="2"/>
  <c r="N58" i="8" l="1"/>
  <c r="B58" i="8"/>
  <c r="B58" i="7"/>
  <c r="N58" i="7"/>
  <c r="N58" i="9"/>
  <c r="B58" i="9"/>
  <c r="J136" i="2"/>
  <c r="F136" i="2"/>
  <c r="I136" i="2"/>
  <c r="E136" i="2"/>
  <c r="K136" i="2"/>
  <c r="G136" i="2"/>
  <c r="H136" i="2"/>
  <c r="D136" i="2"/>
  <c r="M66" i="2"/>
  <c r="J137" i="2"/>
  <c r="F137" i="2"/>
  <c r="I137" i="2"/>
  <c r="E137" i="2"/>
  <c r="K137" i="2"/>
  <c r="G137" i="2"/>
  <c r="D137" i="2"/>
  <c r="H137" i="2"/>
  <c r="A64" i="13"/>
  <c r="A458" i="13"/>
  <c r="H458" i="13" s="1"/>
  <c r="A379" i="13"/>
  <c r="H379" i="13" s="1"/>
  <c r="A616" i="13"/>
  <c r="H616" i="13" s="1"/>
  <c r="A300" i="13"/>
  <c r="H300" i="13" s="1"/>
  <c r="A537" i="13"/>
  <c r="H537" i="13" s="1"/>
  <c r="A221" i="13"/>
  <c r="H221" i="13" s="1"/>
  <c r="A142" i="13"/>
  <c r="H142" i="13" s="1"/>
  <c r="H63" i="13"/>
  <c r="B65" i="2"/>
  <c r="B133" i="2"/>
  <c r="B236" i="3"/>
  <c r="B156" i="3"/>
  <c r="B236" i="6"/>
  <c r="B156" i="6"/>
  <c r="B156" i="5"/>
  <c r="B236" i="5"/>
  <c r="E63" i="10"/>
  <c r="B236" i="4"/>
  <c r="B156" i="4"/>
  <c r="AH58" i="7"/>
  <c r="AI58" i="7"/>
  <c r="AI49" i="7"/>
  <c r="AI49" i="10"/>
  <c r="AJ49" i="10" s="1"/>
  <c r="AI48" i="7"/>
  <c r="AI48" i="10"/>
  <c r="AJ48" i="10" s="1"/>
  <c r="AG59" i="10"/>
  <c r="AJ59" i="10"/>
  <c r="AF59" i="10"/>
  <c r="AI59" i="10"/>
  <c r="AH59" i="10"/>
  <c r="J60" i="10"/>
  <c r="I60" i="10"/>
  <c r="G60" i="10"/>
  <c r="G58" i="9"/>
  <c r="J58" i="9"/>
  <c r="I58" i="9"/>
  <c r="AF58" i="9"/>
  <c r="AI58" i="9"/>
  <c r="AH58" i="9"/>
  <c r="G58" i="8"/>
  <c r="J58" i="8"/>
  <c r="I58" i="8"/>
  <c r="AF58" i="8"/>
  <c r="AI58" i="8"/>
  <c r="AH58" i="8"/>
  <c r="G58" i="7"/>
  <c r="J58" i="7"/>
  <c r="I58" i="7"/>
  <c r="A65" i="3"/>
  <c r="C64" i="3"/>
  <c r="C66" i="6"/>
  <c r="AE14" i="10" s="1"/>
  <c r="C65" i="6"/>
  <c r="C66" i="5"/>
  <c r="C65" i="5"/>
  <c r="C159" i="5"/>
  <c r="C158" i="5"/>
  <c r="C64" i="4"/>
  <c r="C159" i="4"/>
  <c r="C158" i="4"/>
  <c r="C157" i="3"/>
  <c r="AG14" i="10" l="1"/>
  <c r="AE61" i="10"/>
  <c r="K138" i="2"/>
  <c r="J138" i="2"/>
  <c r="I138" i="2"/>
  <c r="N59" i="7"/>
  <c r="B59" i="7"/>
  <c r="N59" i="9"/>
  <c r="B59" i="9"/>
  <c r="B59" i="8"/>
  <c r="N59" i="8"/>
  <c r="M67" i="2"/>
  <c r="G138" i="2"/>
  <c r="F138" i="2"/>
  <c r="M68" i="2"/>
  <c r="D138" i="2"/>
  <c r="H138" i="2"/>
  <c r="E138" i="2"/>
  <c r="A65" i="13"/>
  <c r="A538" i="13"/>
  <c r="H538" i="13" s="1"/>
  <c r="A459" i="13"/>
  <c r="H459" i="13" s="1"/>
  <c r="A380" i="13"/>
  <c r="H380" i="13" s="1"/>
  <c r="A143" i="13"/>
  <c r="H143" i="13" s="1"/>
  <c r="A222" i="13"/>
  <c r="H222" i="13" s="1"/>
  <c r="A301" i="13"/>
  <c r="H301" i="13" s="1"/>
  <c r="A617" i="13"/>
  <c r="H617" i="13" s="1"/>
  <c r="H64" i="13"/>
  <c r="B134" i="2"/>
  <c r="B66" i="2"/>
  <c r="AI59" i="7"/>
  <c r="AH59" i="7"/>
  <c r="B157" i="4"/>
  <c r="B237" i="4"/>
  <c r="B237" i="5"/>
  <c r="B157" i="5"/>
  <c r="B237" i="6"/>
  <c r="B157" i="6"/>
  <c r="Q61" i="10"/>
  <c r="B237" i="3"/>
  <c r="B157" i="3"/>
  <c r="X59" i="8"/>
  <c r="AI50" i="7"/>
  <c r="AI50" i="10"/>
  <c r="AJ50" i="10" s="1"/>
  <c r="AH60" i="10"/>
  <c r="AG60" i="10"/>
  <c r="AJ60" i="10"/>
  <c r="AF60" i="10"/>
  <c r="AI60" i="10"/>
  <c r="I59" i="9"/>
  <c r="G59" i="9"/>
  <c r="J59" i="9"/>
  <c r="AF59" i="9"/>
  <c r="AI59" i="9"/>
  <c r="AH59" i="9"/>
  <c r="I59" i="8"/>
  <c r="G59" i="8"/>
  <c r="J59" i="8"/>
  <c r="AF59" i="8"/>
  <c r="AI59" i="8"/>
  <c r="AH59" i="8"/>
  <c r="G59" i="7"/>
  <c r="J59" i="7"/>
  <c r="I59" i="7"/>
  <c r="X59" i="7"/>
  <c r="A66" i="3"/>
  <c r="C66" i="3" s="1"/>
  <c r="C65" i="3"/>
  <c r="P61" i="10"/>
  <c r="H61" i="10"/>
  <c r="H63" i="10" s="1"/>
  <c r="F61" i="10"/>
  <c r="F63" i="10" s="1"/>
  <c r="C65" i="4"/>
  <c r="C66" i="4"/>
  <c r="C159" i="3"/>
  <c r="C158" i="3"/>
  <c r="N60" i="9" l="1"/>
  <c r="B60" i="9"/>
  <c r="B60" i="7"/>
  <c r="N60" i="7"/>
  <c r="N60" i="8"/>
  <c r="B60" i="8"/>
  <c r="O15" i="7"/>
  <c r="O12" i="7"/>
  <c r="O16" i="7"/>
  <c r="O13" i="7"/>
  <c r="O17" i="7"/>
  <c r="O14" i="7"/>
  <c r="O19" i="7"/>
  <c r="O18" i="7"/>
  <c r="O20" i="7"/>
  <c r="O20" i="8"/>
  <c r="O18" i="8"/>
  <c r="O13" i="8"/>
  <c r="O15" i="8"/>
  <c r="O17" i="8"/>
  <c r="O16" i="8"/>
  <c r="O12" i="8"/>
  <c r="O21" i="8"/>
  <c r="O19" i="8"/>
  <c r="O14" i="8"/>
  <c r="O21" i="7"/>
  <c r="O22" i="8"/>
  <c r="O23" i="8"/>
  <c r="O22" i="7"/>
  <c r="O23" i="7"/>
  <c r="O24" i="8"/>
  <c r="O24" i="7"/>
  <c r="O25" i="8"/>
  <c r="O25" i="7"/>
  <c r="O26" i="8"/>
  <c r="O27" i="8"/>
  <c r="O26" i="7"/>
  <c r="O27" i="7"/>
  <c r="O28" i="8"/>
  <c r="O28" i="7"/>
  <c r="O29" i="8"/>
  <c r="Q29" i="8" s="1"/>
  <c r="O30" i="8"/>
  <c r="O29" i="7"/>
  <c r="O30" i="7"/>
  <c r="O31" i="8"/>
  <c r="O31" i="7"/>
  <c r="O32" i="8"/>
  <c r="O33" i="8"/>
  <c r="O32" i="7"/>
  <c r="O34" i="8"/>
  <c r="O33" i="7"/>
  <c r="O35" i="8"/>
  <c r="O34" i="7"/>
  <c r="O35" i="7"/>
  <c r="O36" i="8"/>
  <c r="O36" i="7"/>
  <c r="O37" i="8"/>
  <c r="O37" i="7"/>
  <c r="O38" i="8"/>
  <c r="O38" i="7"/>
  <c r="O39" i="8"/>
  <c r="O39" i="7"/>
  <c r="O40" i="8"/>
  <c r="O40" i="7"/>
  <c r="O41" i="8"/>
  <c r="O41" i="7"/>
  <c r="O42" i="8"/>
  <c r="O42" i="7"/>
  <c r="O43" i="8"/>
  <c r="O43" i="7"/>
  <c r="O44" i="8"/>
  <c r="O44" i="7"/>
  <c r="O45" i="8"/>
  <c r="O46" i="8"/>
  <c r="O45" i="7"/>
  <c r="O46" i="7"/>
  <c r="O47" i="8"/>
  <c r="O47" i="7"/>
  <c r="O48" i="8"/>
  <c r="O49" i="8"/>
  <c r="O48" i="7"/>
  <c r="O49" i="7"/>
  <c r="O50" i="8"/>
  <c r="O50" i="7"/>
  <c r="O51" i="8"/>
  <c r="O51" i="7"/>
  <c r="O52" i="8"/>
  <c r="O52" i="7"/>
  <c r="O53" i="8"/>
  <c r="O54" i="8"/>
  <c r="O53" i="7"/>
  <c r="O54" i="7"/>
  <c r="O55" i="8"/>
  <c r="O55" i="7"/>
  <c r="O56" i="8"/>
  <c r="O57" i="8"/>
  <c r="O58" i="8" s="1"/>
  <c r="O59" i="8" s="1"/>
  <c r="O60" i="8" s="1"/>
  <c r="O56" i="7"/>
  <c r="O57" i="7"/>
  <c r="O58" i="7" s="1"/>
  <c r="O59" i="7" s="1"/>
  <c r="O60" i="7" s="1"/>
  <c r="M69" i="2"/>
  <c r="J71" i="2" s="1"/>
  <c r="AE25" i="7"/>
  <c r="AE29" i="7"/>
  <c r="AE24" i="7"/>
  <c r="AE23" i="7"/>
  <c r="AE28" i="7"/>
  <c r="AE30" i="7"/>
  <c r="AE27" i="7"/>
  <c r="AE26" i="7"/>
  <c r="H77" i="10"/>
  <c r="L14" i="11" s="1"/>
  <c r="AE18" i="7"/>
  <c r="AG18" i="7" s="1"/>
  <c r="AE12" i="7"/>
  <c r="AG12" i="7" s="1"/>
  <c r="AE22" i="7"/>
  <c r="AE20" i="7"/>
  <c r="AG20" i="7" s="1"/>
  <c r="AE21" i="7"/>
  <c r="AE17" i="7"/>
  <c r="AG17" i="7" s="1"/>
  <c r="AE19" i="7"/>
  <c r="AG19" i="7" s="1"/>
  <c r="AE16" i="7"/>
  <c r="AG16" i="7" s="1"/>
  <c r="AE11" i="7"/>
  <c r="AE13" i="7"/>
  <c r="AG13" i="7" s="1"/>
  <c r="AE14" i="7"/>
  <c r="AG14" i="7" s="1"/>
  <c r="AE15" i="7"/>
  <c r="AG15" i="7" s="1"/>
  <c r="A66" i="13"/>
  <c r="A618" i="13"/>
  <c r="H618" i="13" s="1"/>
  <c r="A539" i="13"/>
  <c r="H539" i="13" s="1"/>
  <c r="A460" i="13"/>
  <c r="H460" i="13" s="1"/>
  <c r="A381" i="13"/>
  <c r="H381" i="13" s="1"/>
  <c r="A223" i="13"/>
  <c r="H223" i="13" s="1"/>
  <c r="A302" i="13"/>
  <c r="H302" i="13" s="1"/>
  <c r="A144" i="13"/>
  <c r="H144" i="13" s="1"/>
  <c r="H65" i="13"/>
  <c r="R61" i="10"/>
  <c r="E63" i="8"/>
  <c r="B238" i="6"/>
  <c r="B158" i="6"/>
  <c r="B135" i="2"/>
  <c r="B67" i="2"/>
  <c r="E63" i="7"/>
  <c r="Q61" i="9"/>
  <c r="P61" i="9"/>
  <c r="X60" i="7"/>
  <c r="X60" i="8"/>
  <c r="AH60" i="7"/>
  <c r="AI60" i="7"/>
  <c r="B158" i="3"/>
  <c r="B238" i="3"/>
  <c r="B158" i="5"/>
  <c r="B238" i="5"/>
  <c r="B238" i="4"/>
  <c r="B158" i="4"/>
  <c r="S61" i="10"/>
  <c r="AH60" i="9"/>
  <c r="AG61" i="9"/>
  <c r="H85" i="9" s="1"/>
  <c r="AF60" i="9"/>
  <c r="AE81" i="9"/>
  <c r="E64" i="9" s="1"/>
  <c r="E65" i="9" s="1"/>
  <c r="AI60" i="9"/>
  <c r="J60" i="9"/>
  <c r="F61" i="9"/>
  <c r="F63" i="9" s="1"/>
  <c r="I60" i="9"/>
  <c r="H61" i="9"/>
  <c r="H63" i="9" s="1"/>
  <c r="G60" i="9"/>
  <c r="J60" i="8"/>
  <c r="F61" i="8"/>
  <c r="F63" i="8" s="1"/>
  <c r="I60" i="8"/>
  <c r="H61" i="8"/>
  <c r="H63" i="8" s="1"/>
  <c r="G60" i="8"/>
  <c r="AH60" i="8"/>
  <c r="AG61" i="8"/>
  <c r="H85" i="8" s="1"/>
  <c r="AF60" i="8"/>
  <c r="AI60" i="8"/>
  <c r="AE81" i="8"/>
  <c r="E64" i="8" s="1"/>
  <c r="J60" i="7"/>
  <c r="F61" i="7"/>
  <c r="F63" i="7" s="1"/>
  <c r="I60" i="7"/>
  <c r="H61" i="7"/>
  <c r="H63" i="7" s="1"/>
  <c r="G60" i="7"/>
  <c r="AE81" i="10"/>
  <c r="E64" i="10" s="1"/>
  <c r="E65" i="10" s="1"/>
  <c r="AG61" i="10"/>
  <c r="H85" i="10" s="1"/>
  <c r="H84" i="10" l="1"/>
  <c r="L18" i="11"/>
  <c r="Q17" i="8"/>
  <c r="P17" i="8"/>
  <c r="R17" i="8" s="1"/>
  <c r="S17" i="8" s="1"/>
  <c r="P24" i="8"/>
  <c r="Q24" i="8"/>
  <c r="R24" i="8" s="1"/>
  <c r="S24" i="8" s="1"/>
  <c r="Q22" i="8"/>
  <c r="P22" i="8"/>
  <c r="R22" i="8" s="1"/>
  <c r="S22" i="8" s="1"/>
  <c r="Q21" i="8"/>
  <c r="P21" i="8"/>
  <c r="R21" i="8" s="1"/>
  <c r="S21" i="8" s="1"/>
  <c r="P15" i="8"/>
  <c r="Q15" i="8"/>
  <c r="Q23" i="8"/>
  <c r="P23" i="8"/>
  <c r="R23" i="8" s="1"/>
  <c r="S23" i="8" s="1"/>
  <c r="P19" i="8"/>
  <c r="Q19" i="8"/>
  <c r="Q20" i="8"/>
  <c r="P20" i="8"/>
  <c r="R20" i="8" s="1"/>
  <c r="S20" i="8" s="1"/>
  <c r="P12" i="8"/>
  <c r="Q12" i="8"/>
  <c r="P13" i="8"/>
  <c r="Q13" i="8"/>
  <c r="P25" i="8"/>
  <c r="Q25" i="8"/>
  <c r="P14" i="8"/>
  <c r="Q14" i="8"/>
  <c r="Q16" i="8"/>
  <c r="P16" i="8"/>
  <c r="R16" i="8" s="1"/>
  <c r="S16" i="8" s="1"/>
  <c r="P18" i="8"/>
  <c r="Q18" i="8"/>
  <c r="P24" i="7"/>
  <c r="Q24" i="7"/>
  <c r="Q14" i="7"/>
  <c r="P14" i="7"/>
  <c r="R14" i="7" s="1"/>
  <c r="S14" i="7" s="1"/>
  <c r="Q20" i="7"/>
  <c r="P20" i="7"/>
  <c r="R20" i="7" s="1"/>
  <c r="S20" i="7" s="1"/>
  <c r="Q17" i="7"/>
  <c r="P17" i="7"/>
  <c r="R17" i="7" s="1"/>
  <c r="S17" i="7" s="1"/>
  <c r="Q15" i="7"/>
  <c r="P15" i="7"/>
  <c r="R15" i="7" s="1"/>
  <c r="S15" i="7" s="1"/>
  <c r="Q25" i="7"/>
  <c r="P25" i="7"/>
  <c r="R25" i="7" s="1"/>
  <c r="S25" i="7" s="1"/>
  <c r="P23" i="7"/>
  <c r="Q23" i="7"/>
  <c r="R23" i="7" s="1"/>
  <c r="S23" i="7" s="1"/>
  <c r="P21" i="7"/>
  <c r="Q21" i="7"/>
  <c r="P18" i="7"/>
  <c r="Q18" i="7"/>
  <c r="Q13" i="7"/>
  <c r="P13" i="7"/>
  <c r="R13" i="7" s="1"/>
  <c r="S13" i="7" s="1"/>
  <c r="Q22" i="7"/>
  <c r="P22" i="7"/>
  <c r="R22" i="7" s="1"/>
  <c r="S22" i="7" s="1"/>
  <c r="Q19" i="7"/>
  <c r="P19" i="7"/>
  <c r="Q16" i="7"/>
  <c r="P16" i="7"/>
  <c r="R16" i="7" s="1"/>
  <c r="S16" i="7" s="1"/>
  <c r="Q12" i="7"/>
  <c r="P12" i="7"/>
  <c r="I71" i="2"/>
  <c r="D71" i="2"/>
  <c r="E71" i="2"/>
  <c r="F71" i="2"/>
  <c r="G71" i="2"/>
  <c r="K71" i="2"/>
  <c r="H71" i="2"/>
  <c r="AG26" i="7"/>
  <c r="AG23" i="7"/>
  <c r="H77" i="7"/>
  <c r="I14" i="11" s="1"/>
  <c r="AG27" i="7"/>
  <c r="AG24" i="7"/>
  <c r="AG30" i="7"/>
  <c r="AG29" i="7"/>
  <c r="AG28" i="7"/>
  <c r="AG25" i="7"/>
  <c r="H77" i="8"/>
  <c r="J14" i="11" s="1"/>
  <c r="J19" i="11"/>
  <c r="H77" i="9"/>
  <c r="K14" i="11" s="1"/>
  <c r="L19" i="11"/>
  <c r="L20" i="11" s="1"/>
  <c r="H86" i="10"/>
  <c r="L60" i="16" s="1"/>
  <c r="K19" i="11"/>
  <c r="AG22" i="7"/>
  <c r="AG11" i="7"/>
  <c r="AE61" i="7"/>
  <c r="AE81" i="7" s="1"/>
  <c r="E64" i="7" s="1"/>
  <c r="E65" i="7" s="1"/>
  <c r="AG21" i="7"/>
  <c r="E65" i="8"/>
  <c r="A67" i="13"/>
  <c r="A382" i="13"/>
  <c r="H382" i="13" s="1"/>
  <c r="A619" i="13"/>
  <c r="H619" i="13" s="1"/>
  <c r="A540" i="13"/>
  <c r="H540" i="13" s="1"/>
  <c r="A303" i="13"/>
  <c r="H303" i="13" s="1"/>
  <c r="A461" i="13"/>
  <c r="H461" i="13" s="1"/>
  <c r="A224" i="13"/>
  <c r="H224" i="13" s="1"/>
  <c r="A145" i="13"/>
  <c r="H145" i="13" s="1"/>
  <c r="H66" i="13"/>
  <c r="S61" i="9"/>
  <c r="B159" i="4"/>
  <c r="B240" i="4" s="1"/>
  <c r="B239" i="4"/>
  <c r="B136" i="2"/>
  <c r="B68" i="2"/>
  <c r="B137" i="2" s="1"/>
  <c r="B239" i="5"/>
  <c r="B159" i="5"/>
  <c r="B240" i="5" s="1"/>
  <c r="B159" i="3"/>
  <c r="B240" i="3" s="1"/>
  <c r="B239" i="3"/>
  <c r="B159" i="6"/>
  <c r="B240" i="6" s="1"/>
  <c r="B239" i="6"/>
  <c r="AG81" i="9"/>
  <c r="H64" i="9" s="1"/>
  <c r="H65" i="9" s="1"/>
  <c r="H74" i="9" s="1"/>
  <c r="AI52" i="7"/>
  <c r="AI52" i="10"/>
  <c r="AJ52" i="10" s="1"/>
  <c r="AI51" i="7"/>
  <c r="AI51" i="10"/>
  <c r="AJ51" i="10" s="1"/>
  <c r="AG81" i="10"/>
  <c r="H64" i="10" s="1"/>
  <c r="H65" i="10" s="1"/>
  <c r="H74" i="10" s="1"/>
  <c r="AG81" i="8"/>
  <c r="Q61" i="8" l="1"/>
  <c r="P61" i="8"/>
  <c r="H84" i="9"/>
  <c r="H86" i="9" s="1"/>
  <c r="I60" i="16" s="1"/>
  <c r="K18" i="11"/>
  <c r="K20" i="11" s="1"/>
  <c r="R18" i="8"/>
  <c r="S18" i="8" s="1"/>
  <c r="R14" i="8"/>
  <c r="S14" i="8" s="1"/>
  <c r="R13" i="8"/>
  <c r="S13" i="8" s="1"/>
  <c r="R25" i="8"/>
  <c r="S25" i="8" s="1"/>
  <c r="R12" i="8"/>
  <c r="S12" i="8" s="1"/>
  <c r="R19" i="8"/>
  <c r="S19" i="8" s="1"/>
  <c r="R15" i="8"/>
  <c r="S15" i="8" s="1"/>
  <c r="Q61" i="7"/>
  <c r="R21" i="7"/>
  <c r="S21" i="7" s="1"/>
  <c r="R19" i="7"/>
  <c r="S19" i="7" s="1"/>
  <c r="R18" i="7"/>
  <c r="S18" i="7" s="1"/>
  <c r="R24" i="7"/>
  <c r="S24" i="7" s="1"/>
  <c r="R12" i="7"/>
  <c r="P61" i="7"/>
  <c r="J15" i="11"/>
  <c r="J16" i="11" s="1"/>
  <c r="H78" i="8"/>
  <c r="H79" i="8" s="1"/>
  <c r="L15" i="11"/>
  <c r="L16" i="11" s="1"/>
  <c r="H78" i="10"/>
  <c r="H79" i="10" s="1"/>
  <c r="K15" i="11"/>
  <c r="K16" i="11" s="1"/>
  <c r="H78" i="9"/>
  <c r="H79" i="9" s="1"/>
  <c r="H64" i="8"/>
  <c r="H65" i="8" s="1"/>
  <c r="A68" i="13"/>
  <c r="A462" i="13"/>
  <c r="H462" i="13" s="1"/>
  <c r="A383" i="13"/>
  <c r="H383" i="13" s="1"/>
  <c r="A620" i="13"/>
  <c r="H620" i="13" s="1"/>
  <c r="A304" i="13"/>
  <c r="H304" i="13" s="1"/>
  <c r="A225" i="13"/>
  <c r="H225" i="13" s="1"/>
  <c r="A541" i="13"/>
  <c r="H541" i="13" s="1"/>
  <c r="A146" i="13"/>
  <c r="H146" i="13" s="1"/>
  <c r="H67" i="13"/>
  <c r="R61" i="9"/>
  <c r="AG61" i="7"/>
  <c r="H85" i="7" s="1"/>
  <c r="R61" i="8" l="1"/>
  <c r="S61" i="8"/>
  <c r="S12" i="7"/>
  <c r="S61" i="7" s="1"/>
  <c r="R61" i="7"/>
  <c r="I19" i="11"/>
  <c r="H74" i="8"/>
  <c r="A69" i="13"/>
  <c r="A542" i="13"/>
  <c r="H542" i="13" s="1"/>
  <c r="A463" i="13"/>
  <c r="H463" i="13" s="1"/>
  <c r="A384" i="13"/>
  <c r="H384" i="13" s="1"/>
  <c r="A621" i="13"/>
  <c r="H621" i="13" s="1"/>
  <c r="A147" i="13"/>
  <c r="H147" i="13" s="1"/>
  <c r="A305" i="13"/>
  <c r="H305" i="13" s="1"/>
  <c r="A226" i="13"/>
  <c r="H226" i="13" s="1"/>
  <c r="H68" i="13"/>
  <c r="AG81" i="7"/>
  <c r="K6" i="11"/>
  <c r="L6" i="11"/>
  <c r="AI54" i="7"/>
  <c r="AI54" i="10"/>
  <c r="AJ54" i="10" s="1"/>
  <c r="AI53" i="7"/>
  <c r="AI53" i="10"/>
  <c r="AJ53" i="10" s="1"/>
  <c r="J18" i="11" l="1"/>
  <c r="J20" i="11" s="1"/>
  <c r="H84" i="8"/>
  <c r="H86" i="8" s="1"/>
  <c r="F60" i="16" s="1"/>
  <c r="H84" i="7"/>
  <c r="H86" i="7" s="1"/>
  <c r="C60" i="16" s="1"/>
  <c r="I18" i="11"/>
  <c r="I20" i="11" s="1"/>
  <c r="J6" i="11"/>
  <c r="H64" i="7"/>
  <c r="H65" i="7" s="1"/>
  <c r="H74" i="7" s="1"/>
  <c r="I15" i="11"/>
  <c r="I16" i="11" s="1"/>
  <c r="H78" i="7"/>
  <c r="H79" i="7" s="1"/>
  <c r="A70" i="13"/>
  <c r="A622" i="13"/>
  <c r="H622" i="13" s="1"/>
  <c r="A543" i="13"/>
  <c r="H543" i="13" s="1"/>
  <c r="A464" i="13"/>
  <c r="H464" i="13" s="1"/>
  <c r="A227" i="13"/>
  <c r="H227" i="13" s="1"/>
  <c r="A385" i="13"/>
  <c r="H385" i="13" s="1"/>
  <c r="A148" i="13"/>
  <c r="H148" i="13" s="1"/>
  <c r="A306" i="13"/>
  <c r="H306" i="13" s="1"/>
  <c r="H69" i="13"/>
  <c r="AI55" i="7"/>
  <c r="AI55" i="10"/>
  <c r="AJ55" i="10" s="1"/>
  <c r="A71" i="13" l="1"/>
  <c r="A386" i="13"/>
  <c r="H386" i="13" s="1"/>
  <c r="A623" i="13"/>
  <c r="H623" i="13" s="1"/>
  <c r="A544" i="13"/>
  <c r="H544" i="13" s="1"/>
  <c r="A307" i="13"/>
  <c r="H307" i="13" s="1"/>
  <c r="A228" i="13"/>
  <c r="H228" i="13" s="1"/>
  <c r="A465" i="13"/>
  <c r="H465" i="13" s="1"/>
  <c r="A149" i="13"/>
  <c r="H149" i="13" s="1"/>
  <c r="H70" i="13"/>
  <c r="I6" i="11"/>
  <c r="AI56" i="7"/>
  <c r="AI56" i="10"/>
  <c r="AJ56" i="10" s="1"/>
  <c r="A72" i="13" l="1"/>
  <c r="A466" i="13"/>
  <c r="H466" i="13" s="1"/>
  <c r="A387" i="13"/>
  <c r="H387" i="13" s="1"/>
  <c r="A624" i="13"/>
  <c r="H624" i="13" s="1"/>
  <c r="A545" i="13"/>
  <c r="H545" i="13" s="1"/>
  <c r="A308" i="13"/>
  <c r="H308" i="13" s="1"/>
  <c r="A229" i="13"/>
  <c r="H229" i="13" s="1"/>
  <c r="A150" i="13"/>
  <c r="H150" i="13" s="1"/>
  <c r="H71" i="13"/>
  <c r="AI57" i="7"/>
  <c r="AI57" i="10"/>
  <c r="AJ57" i="10" s="1"/>
  <c r="A73" i="13" l="1"/>
  <c r="A546" i="13"/>
  <c r="H546" i="13" s="1"/>
  <c r="A467" i="13"/>
  <c r="H467" i="13" s="1"/>
  <c r="A388" i="13"/>
  <c r="H388" i="13" s="1"/>
  <c r="A151" i="13"/>
  <c r="H151" i="13" s="1"/>
  <c r="A625" i="13"/>
  <c r="H625" i="13" s="1"/>
  <c r="A230" i="13"/>
  <c r="H230" i="13" s="1"/>
  <c r="A309" i="13"/>
  <c r="H309" i="13" s="1"/>
  <c r="H72" i="13"/>
  <c r="A74" i="13" l="1"/>
  <c r="A626" i="13"/>
  <c r="H626" i="13" s="1"/>
  <c r="A547" i="13"/>
  <c r="H547" i="13" s="1"/>
  <c r="A468" i="13"/>
  <c r="H468" i="13" s="1"/>
  <c r="A231" i="13"/>
  <c r="H231" i="13" s="1"/>
  <c r="A152" i="13"/>
  <c r="H152" i="13" s="1"/>
  <c r="A389" i="13"/>
  <c r="H389" i="13" s="1"/>
  <c r="A310" i="13"/>
  <c r="H310" i="13" s="1"/>
  <c r="H73" i="13"/>
  <c r="A75" i="13" l="1"/>
  <c r="A390" i="13"/>
  <c r="H390" i="13" s="1"/>
  <c r="A627" i="13"/>
  <c r="H627" i="13" s="1"/>
  <c r="A548" i="13"/>
  <c r="H548" i="13" s="1"/>
  <c r="A311" i="13"/>
  <c r="H311" i="13" s="1"/>
  <c r="A232" i="13"/>
  <c r="H232" i="13" s="1"/>
  <c r="A469" i="13"/>
  <c r="H469" i="13" s="1"/>
  <c r="A153" i="13"/>
  <c r="H153" i="13" s="1"/>
  <c r="H74" i="13"/>
  <c r="I26" i="8"/>
  <c r="J26" i="8"/>
  <c r="I27" i="8"/>
  <c r="J27" i="8"/>
  <c r="I28" i="8"/>
  <c r="J28" i="8"/>
  <c r="I29" i="8"/>
  <c r="J29" i="8"/>
  <c r="I30" i="8"/>
  <c r="J30" i="8"/>
  <c r="I31" i="8"/>
  <c r="J31" i="8"/>
  <c r="I32" i="8"/>
  <c r="J32" i="8"/>
  <c r="I33" i="8"/>
  <c r="J33" i="8"/>
  <c r="I34" i="8"/>
  <c r="J34" i="8"/>
  <c r="I35" i="8"/>
  <c r="J35" i="8"/>
  <c r="I36" i="8"/>
  <c r="J36" i="8"/>
  <c r="I37" i="8"/>
  <c r="J37" i="8"/>
  <c r="I38" i="8"/>
  <c r="J38" i="8"/>
  <c r="I39" i="8"/>
  <c r="J39" i="8"/>
  <c r="I40" i="8"/>
  <c r="J40" i="8"/>
  <c r="I41" i="8"/>
  <c r="J41" i="8"/>
  <c r="I42" i="8"/>
  <c r="J42" i="8"/>
  <c r="I43" i="8"/>
  <c r="J43" i="8"/>
  <c r="I44" i="8"/>
  <c r="J44" i="8"/>
  <c r="I45" i="8"/>
  <c r="J45" i="8"/>
  <c r="I46" i="8"/>
  <c r="J46" i="8"/>
  <c r="I47" i="8"/>
  <c r="J47" i="8"/>
  <c r="I48" i="8"/>
  <c r="J48" i="8"/>
  <c r="I49" i="8"/>
  <c r="J49" i="8"/>
  <c r="I50" i="8"/>
  <c r="J50" i="8"/>
  <c r="I51" i="8"/>
  <c r="J51" i="8"/>
  <c r="I52" i="8"/>
  <c r="J52" i="8"/>
  <c r="I53" i="8"/>
  <c r="J53" i="8"/>
  <c r="I54" i="8"/>
  <c r="J54" i="8"/>
  <c r="I55" i="8"/>
  <c r="J55" i="8"/>
  <c r="I56" i="8"/>
  <c r="J56" i="8"/>
  <c r="I57" i="8"/>
  <c r="J57" i="8"/>
  <c r="I26" i="9"/>
  <c r="J26" i="9"/>
  <c r="I27" i="9"/>
  <c r="J27" i="9"/>
  <c r="I28" i="9"/>
  <c r="J28" i="9"/>
  <c r="I29" i="9"/>
  <c r="J29" i="9"/>
  <c r="I30" i="9"/>
  <c r="J30" i="9"/>
  <c r="I31" i="9"/>
  <c r="J31" i="9"/>
  <c r="I32" i="9"/>
  <c r="J32" i="9"/>
  <c r="I33" i="9"/>
  <c r="J33" i="9"/>
  <c r="I34" i="9"/>
  <c r="J34" i="9"/>
  <c r="I35" i="9"/>
  <c r="J35" i="9"/>
  <c r="I36" i="9"/>
  <c r="J36" i="9"/>
  <c r="I37" i="9"/>
  <c r="J37" i="9"/>
  <c r="I38" i="9"/>
  <c r="J38" i="9"/>
  <c r="I39" i="9"/>
  <c r="J39" i="9"/>
  <c r="I40" i="9"/>
  <c r="J40" i="9"/>
  <c r="I41" i="9"/>
  <c r="J41" i="9"/>
  <c r="I42" i="9"/>
  <c r="J42" i="9"/>
  <c r="I43" i="9"/>
  <c r="J43" i="9"/>
  <c r="I44" i="9"/>
  <c r="J44" i="9"/>
  <c r="I45" i="9"/>
  <c r="J45" i="9"/>
  <c r="I46" i="9"/>
  <c r="J46" i="9"/>
  <c r="I47" i="9"/>
  <c r="J47" i="9"/>
  <c r="I48" i="9"/>
  <c r="J48" i="9"/>
  <c r="I49" i="9"/>
  <c r="J49" i="9"/>
  <c r="I50" i="9"/>
  <c r="J50" i="9"/>
  <c r="I51" i="9"/>
  <c r="J51" i="9"/>
  <c r="I52" i="9"/>
  <c r="J52" i="9"/>
  <c r="I53" i="9"/>
  <c r="J53" i="9"/>
  <c r="I54" i="9"/>
  <c r="J54" i="9"/>
  <c r="I55" i="9"/>
  <c r="J55" i="9"/>
  <c r="I56" i="9"/>
  <c r="J56" i="9"/>
  <c r="I57" i="9"/>
  <c r="J57" i="9"/>
  <c r="I26" i="10"/>
  <c r="J26" i="10"/>
  <c r="I27" i="10"/>
  <c r="J27" i="10"/>
  <c r="I28" i="10"/>
  <c r="J28" i="10"/>
  <c r="I29" i="10"/>
  <c r="J29" i="10"/>
  <c r="I30" i="10"/>
  <c r="J30" i="10"/>
  <c r="I31" i="10"/>
  <c r="J31" i="10"/>
  <c r="I32" i="10"/>
  <c r="J32" i="10"/>
  <c r="I33" i="10"/>
  <c r="J33" i="10"/>
  <c r="I34" i="10"/>
  <c r="J34" i="10"/>
  <c r="I35" i="10"/>
  <c r="J35" i="10"/>
  <c r="I36" i="10"/>
  <c r="J36" i="10"/>
  <c r="I37" i="10"/>
  <c r="J37" i="10"/>
  <c r="I38" i="10"/>
  <c r="J38" i="10"/>
  <c r="I39" i="10"/>
  <c r="J39" i="10"/>
  <c r="I40" i="10"/>
  <c r="J40" i="10"/>
  <c r="I41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AI57" i="8"/>
  <c r="AI57" i="9"/>
  <c r="AI56" i="9"/>
  <c r="AI55" i="8"/>
  <c r="AI54" i="9"/>
  <c r="AI52" i="8"/>
  <c r="AI52" i="9"/>
  <c r="AI48" i="8"/>
  <c r="AI56" i="8"/>
  <c r="AI55" i="9"/>
  <c r="AI46" i="9"/>
  <c r="AI54" i="8"/>
  <c r="AI45" i="9"/>
  <c r="AI53" i="9"/>
  <c r="AI44" i="9"/>
  <c r="AI53" i="8"/>
  <c r="AI51" i="9"/>
  <c r="AI51" i="8"/>
  <c r="AI50" i="8"/>
  <c r="AI50" i="9"/>
  <c r="AI41" i="9"/>
  <c r="AI49" i="8"/>
  <c r="AI49" i="9"/>
  <c r="AI48" i="9"/>
  <c r="AI47" i="9"/>
  <c r="AI47" i="8"/>
  <c r="AI38" i="8"/>
  <c r="AI37" i="9"/>
  <c r="AI46" i="8"/>
  <c r="AI37" i="8"/>
  <c r="AI45" i="8"/>
  <c r="AI35" i="9"/>
  <c r="AI44" i="8"/>
  <c r="AI43" i="9"/>
  <c r="AI43" i="8"/>
  <c r="AI42" i="9"/>
  <c r="AI33" i="9"/>
  <c r="AI42" i="8"/>
  <c r="AI41" i="8"/>
  <c r="AI40" i="8"/>
  <c r="AI40" i="9"/>
  <c r="AI39" i="8"/>
  <c r="AI39" i="9"/>
  <c r="AI30" i="9"/>
  <c r="AI38" i="9"/>
  <c r="AI29" i="9"/>
  <c r="AI29" i="8"/>
  <c r="AI35" i="10"/>
  <c r="AI34" i="10"/>
  <c r="AI28" i="9"/>
  <c r="AI36" i="9"/>
  <c r="AI27" i="9"/>
  <c r="AI33" i="10"/>
  <c r="AI36" i="8"/>
  <c r="AI26" i="9"/>
  <c r="AI41" i="10"/>
  <c r="AI35" i="8"/>
  <c r="AI40" i="10"/>
  <c r="AI34" i="9"/>
  <c r="AI34" i="8"/>
  <c r="AI39" i="10"/>
  <c r="AI33" i="8"/>
  <c r="AI32" i="9"/>
  <c r="AI32" i="8"/>
  <c r="AI38" i="10"/>
  <c r="AI29" i="10"/>
  <c r="AI31" i="8"/>
  <c r="AI31" i="9"/>
  <c r="AI37" i="10"/>
  <c r="AI30" i="8"/>
  <c r="AI36" i="10"/>
  <c r="AI27" i="10"/>
  <c r="AI26" i="10"/>
  <c r="AI28" i="8"/>
  <c r="AI27" i="8"/>
  <c r="AI32" i="10"/>
  <c r="AI26" i="8"/>
  <c r="AI31" i="10"/>
  <c r="AI30" i="10"/>
  <c r="AI28" i="10"/>
  <c r="AH57" i="8"/>
  <c r="AH56" i="8"/>
  <c r="AH55" i="8"/>
  <c r="AH54" i="8"/>
  <c r="AH53" i="8"/>
  <c r="AH52" i="8"/>
  <c r="AH51" i="8"/>
  <c r="AH50" i="8"/>
  <c r="AH49" i="8"/>
  <c r="AH48" i="8"/>
  <c r="AH47" i="8"/>
  <c r="AH46" i="8"/>
  <c r="AH45" i="8"/>
  <c r="AH44" i="8"/>
  <c r="AH43" i="8"/>
  <c r="AH42" i="8"/>
  <c r="AH41" i="8"/>
  <c r="AH40" i="8"/>
  <c r="AH39" i="8"/>
  <c r="AH38" i="8"/>
  <c r="AH37" i="8"/>
  <c r="AH36" i="8"/>
  <c r="AH35" i="8"/>
  <c r="AH34" i="8"/>
  <c r="AH33" i="8"/>
  <c r="AH32" i="8"/>
  <c r="AH31" i="8"/>
  <c r="AH30" i="8"/>
  <c r="AH29" i="8"/>
  <c r="AH28" i="8"/>
  <c r="AJ28" i="8" s="1"/>
  <c r="AH27" i="8"/>
  <c r="AJ27" i="8" s="1"/>
  <c r="AH26" i="8"/>
  <c r="AJ26" i="8" s="1"/>
  <c r="AH57" i="10"/>
  <c r="AH56" i="10"/>
  <c r="AH55" i="10"/>
  <c r="AH54" i="10"/>
  <c r="AH53" i="10"/>
  <c r="AH52" i="10"/>
  <c r="AH51" i="10"/>
  <c r="AH50" i="10"/>
  <c r="AH49" i="10"/>
  <c r="AH48" i="10"/>
  <c r="AH47" i="10"/>
  <c r="AH46" i="10"/>
  <c r="AH45" i="10"/>
  <c r="AH44" i="10"/>
  <c r="AH43" i="10"/>
  <c r="AH42" i="10"/>
  <c r="AH41" i="10"/>
  <c r="AH40" i="10"/>
  <c r="AH39" i="10"/>
  <c r="AH38" i="10"/>
  <c r="AH37" i="10"/>
  <c r="AH36" i="10"/>
  <c r="AH35" i="10"/>
  <c r="AH34" i="10"/>
  <c r="AH33" i="10"/>
  <c r="AH32" i="10"/>
  <c r="AH31" i="10"/>
  <c r="AH30" i="10"/>
  <c r="AH29" i="10"/>
  <c r="AH28" i="10"/>
  <c r="AH27" i="10"/>
  <c r="AH26" i="10"/>
  <c r="AH57" i="9"/>
  <c r="AH56" i="9"/>
  <c r="AH55" i="9"/>
  <c r="AH54" i="9"/>
  <c r="AH53" i="9"/>
  <c r="AH52" i="9"/>
  <c r="AH51" i="9"/>
  <c r="AH50" i="9"/>
  <c r="AH49" i="9"/>
  <c r="AH48" i="9"/>
  <c r="AH47" i="9"/>
  <c r="AH46" i="9"/>
  <c r="AH45" i="9"/>
  <c r="AH44" i="9"/>
  <c r="AH43" i="9"/>
  <c r="AH42" i="9"/>
  <c r="AH41" i="9"/>
  <c r="AH40" i="9"/>
  <c r="AH39" i="9"/>
  <c r="AH38" i="9"/>
  <c r="AH37" i="9"/>
  <c r="AH36" i="9"/>
  <c r="AH35" i="9"/>
  <c r="AH34" i="9"/>
  <c r="AH33" i="9"/>
  <c r="AH32" i="9"/>
  <c r="AH31" i="9"/>
  <c r="AH30" i="9"/>
  <c r="AH29" i="9"/>
  <c r="AH28" i="9"/>
  <c r="AH27" i="9"/>
  <c r="AH26" i="9"/>
  <c r="AJ29" i="8" l="1"/>
  <c r="K29" i="8"/>
  <c r="T29" i="8"/>
  <c r="T27" i="8"/>
  <c r="K27" i="8"/>
  <c r="T30" i="8"/>
  <c r="K30" i="8"/>
  <c r="K28" i="8"/>
  <c r="T28" i="8"/>
  <c r="T26" i="8"/>
  <c r="K26" i="8"/>
  <c r="AJ30" i="8"/>
  <c r="A76" i="13"/>
  <c r="A470" i="13"/>
  <c r="H470" i="13" s="1"/>
  <c r="A391" i="13"/>
  <c r="H391" i="13" s="1"/>
  <c r="A628" i="13"/>
  <c r="H628" i="13" s="1"/>
  <c r="A549" i="13"/>
  <c r="H549" i="13" s="1"/>
  <c r="A312" i="13"/>
  <c r="H312" i="13" s="1"/>
  <c r="A233" i="13"/>
  <c r="H233" i="13" s="1"/>
  <c r="A154" i="13"/>
  <c r="H154" i="13" s="1"/>
  <c r="H75" i="13"/>
  <c r="A77" i="13" l="1"/>
  <c r="A550" i="13"/>
  <c r="H550" i="13" s="1"/>
  <c r="A471" i="13"/>
  <c r="H471" i="13" s="1"/>
  <c r="A392" i="13"/>
  <c r="H392" i="13" s="1"/>
  <c r="A155" i="13"/>
  <c r="H155" i="13" s="1"/>
  <c r="A629" i="13"/>
  <c r="H629" i="13" s="1"/>
  <c r="A313" i="13"/>
  <c r="H313" i="13" s="1"/>
  <c r="A234" i="13"/>
  <c r="H234" i="13" s="1"/>
  <c r="H76" i="13"/>
  <c r="A78" i="13" l="1"/>
  <c r="A630" i="13"/>
  <c r="H630" i="13" s="1"/>
  <c r="A551" i="13"/>
  <c r="H551" i="13" s="1"/>
  <c r="A472" i="13"/>
  <c r="H472" i="13" s="1"/>
  <c r="A235" i="13"/>
  <c r="H235" i="13" s="1"/>
  <c r="A156" i="13"/>
  <c r="H156" i="13" s="1"/>
  <c r="A314" i="13"/>
  <c r="H314" i="13" s="1"/>
  <c r="A393" i="13"/>
  <c r="H393" i="13" s="1"/>
  <c r="H77" i="13"/>
  <c r="A79" i="13" l="1"/>
  <c r="A394" i="13"/>
  <c r="H394" i="13" s="1"/>
  <c r="A631" i="13"/>
  <c r="H631" i="13" s="1"/>
  <c r="A552" i="13"/>
  <c r="H552" i="13" s="1"/>
  <c r="A473" i="13"/>
  <c r="H473" i="13" s="1"/>
  <c r="A315" i="13"/>
  <c r="H315" i="13" s="1"/>
  <c r="A236" i="13"/>
  <c r="H236" i="13" s="1"/>
  <c r="A157" i="13"/>
  <c r="H157" i="13" s="1"/>
  <c r="H78" i="13"/>
  <c r="A80" i="13" l="1"/>
  <c r="A474" i="13"/>
  <c r="H474" i="13" s="1"/>
  <c r="A395" i="13"/>
  <c r="H395" i="13" s="1"/>
  <c r="A632" i="13"/>
  <c r="H632" i="13" s="1"/>
  <c r="A316" i="13"/>
  <c r="H316" i="13" s="1"/>
  <c r="A553" i="13"/>
  <c r="H553" i="13" s="1"/>
  <c r="A237" i="13"/>
  <c r="H237" i="13" s="1"/>
  <c r="A158" i="13"/>
  <c r="H158" i="13" s="1"/>
  <c r="H79" i="13"/>
  <c r="A81" i="13" l="1"/>
  <c r="A554" i="13"/>
  <c r="H554" i="13" s="1"/>
  <c r="A475" i="13"/>
  <c r="H475" i="13" s="1"/>
  <c r="A396" i="13"/>
  <c r="H396" i="13" s="1"/>
  <c r="A159" i="13"/>
  <c r="H159" i="13" s="1"/>
  <c r="A633" i="13"/>
  <c r="H633" i="13" s="1"/>
  <c r="A317" i="13"/>
  <c r="H317" i="13" s="1"/>
  <c r="A238" i="13"/>
  <c r="H238" i="13" s="1"/>
  <c r="H80" i="13"/>
  <c r="A82" i="13" l="1"/>
  <c r="A634" i="13"/>
  <c r="H634" i="13" s="1"/>
  <c r="A555" i="13"/>
  <c r="H555" i="13" s="1"/>
  <c r="A476" i="13"/>
  <c r="H476" i="13" s="1"/>
  <c r="A239" i="13"/>
  <c r="H239" i="13" s="1"/>
  <c r="A397" i="13"/>
  <c r="H397" i="13" s="1"/>
  <c r="A160" i="13"/>
  <c r="H160" i="13" s="1"/>
  <c r="A318" i="13"/>
  <c r="H318" i="13" s="1"/>
  <c r="H81" i="13"/>
  <c r="A398" i="13" l="1"/>
  <c r="H398" i="13" s="1"/>
  <c r="A635" i="13"/>
  <c r="H635" i="13" s="1"/>
  <c r="A556" i="13"/>
  <c r="H556" i="13" s="1"/>
  <c r="A319" i="13"/>
  <c r="H319" i="13" s="1"/>
  <c r="A477" i="13"/>
  <c r="H477" i="13" s="1"/>
  <c r="A240" i="13"/>
  <c r="H240" i="13" s="1"/>
  <c r="A161" i="13"/>
  <c r="H161" i="13" s="1"/>
  <c r="H82" i="13"/>
  <c r="I23" i="7" l="1"/>
  <c r="J23" i="7"/>
  <c r="I24" i="7"/>
  <c r="J24" i="7"/>
  <c r="I25" i="7"/>
  <c r="J25" i="7"/>
  <c r="AH23" i="7"/>
  <c r="AI23" i="7"/>
  <c r="AH24" i="7"/>
  <c r="AI24" i="7"/>
  <c r="AH25" i="7"/>
  <c r="AI25" i="7"/>
  <c r="AH23" i="9"/>
  <c r="AJ23" i="9" s="1"/>
  <c r="AI23" i="9"/>
  <c r="AH24" i="9"/>
  <c r="AI24" i="9"/>
  <c r="AH25" i="9"/>
  <c r="AJ25" i="9" s="1"/>
  <c r="AI25" i="9"/>
  <c r="J22" i="10"/>
  <c r="I23" i="10"/>
  <c r="J23" i="10"/>
  <c r="I24" i="10"/>
  <c r="J24" i="10"/>
  <c r="I25" i="10"/>
  <c r="J25" i="10"/>
  <c r="AH23" i="10"/>
  <c r="AJ23" i="10" s="1"/>
  <c r="AI23" i="10"/>
  <c r="AH24" i="10"/>
  <c r="AJ24" i="10" s="1"/>
  <c r="AI24" i="10"/>
  <c r="AH25" i="10"/>
  <c r="AJ25" i="10" s="1"/>
  <c r="AI25" i="10"/>
  <c r="I23" i="8"/>
  <c r="J23" i="8"/>
  <c r="I24" i="8"/>
  <c r="J24" i="8"/>
  <c r="I25" i="8"/>
  <c r="J25" i="8"/>
  <c r="AH23" i="8"/>
  <c r="AI23" i="8"/>
  <c r="AH24" i="8"/>
  <c r="AI24" i="8"/>
  <c r="AH25" i="8"/>
  <c r="AI25" i="8"/>
  <c r="I23" i="9"/>
  <c r="J23" i="9"/>
  <c r="I24" i="9"/>
  <c r="J24" i="9"/>
  <c r="I25" i="9"/>
  <c r="J25" i="9"/>
  <c r="AI26" i="7"/>
  <c r="AJ26" i="7" s="1"/>
  <c r="J53" i="7"/>
  <c r="J51" i="7"/>
  <c r="J49" i="7"/>
  <c r="J57" i="7"/>
  <c r="J48" i="7"/>
  <c r="J56" i="7"/>
  <c r="J55" i="7"/>
  <c r="J54" i="7"/>
  <c r="J44" i="7"/>
  <c r="J52" i="7"/>
  <c r="J43" i="7"/>
  <c r="J50" i="7"/>
  <c r="AI40" i="7"/>
  <c r="J39" i="7"/>
  <c r="J47" i="7"/>
  <c r="J38" i="7"/>
  <c r="J46" i="7"/>
  <c r="J45" i="7"/>
  <c r="J35" i="7"/>
  <c r="AI34" i="7"/>
  <c r="J42" i="7"/>
  <c r="J41" i="7"/>
  <c r="J32" i="7"/>
  <c r="AI41" i="7"/>
  <c r="AI32" i="7"/>
  <c r="J40" i="7"/>
  <c r="J31" i="7"/>
  <c r="AI31" i="7"/>
  <c r="AI39" i="7"/>
  <c r="J29" i="7"/>
  <c r="AI38" i="7"/>
  <c r="AI29" i="7"/>
  <c r="AJ29" i="7" s="1"/>
  <c r="J37" i="7"/>
  <c r="J36" i="7"/>
  <c r="AI37" i="7"/>
  <c r="AI28" i="7"/>
  <c r="AJ28" i="7" s="1"/>
  <c r="AI36" i="7"/>
  <c r="AI35" i="7"/>
  <c r="J34" i="7"/>
  <c r="J33" i="7"/>
  <c r="AI33" i="7"/>
  <c r="J30" i="7"/>
  <c r="AI30" i="7"/>
  <c r="AJ30" i="7" s="1"/>
  <c r="J28" i="7"/>
  <c r="J27" i="7"/>
  <c r="J26" i="7"/>
  <c r="AI27" i="7"/>
  <c r="AJ27" i="7" s="1"/>
  <c r="K23" i="10" l="1"/>
  <c r="T23" i="10"/>
  <c r="K24" i="10"/>
  <c r="T24" i="10"/>
  <c r="K25" i="10"/>
  <c r="T25" i="10"/>
  <c r="AJ24" i="9"/>
  <c r="K25" i="9"/>
  <c r="T25" i="9"/>
  <c r="K24" i="9"/>
  <c r="T24" i="9"/>
  <c r="K23" i="9"/>
  <c r="T23" i="9"/>
  <c r="AJ24" i="8"/>
  <c r="AJ24" i="7"/>
  <c r="K30" i="7"/>
  <c r="T30" i="7"/>
  <c r="K23" i="8"/>
  <c r="T23" i="8"/>
  <c r="AJ25" i="7"/>
  <c r="AJ23" i="7"/>
  <c r="K24" i="7"/>
  <c r="T24" i="7"/>
  <c r="K29" i="7"/>
  <c r="T29" i="7"/>
  <c r="T25" i="8"/>
  <c r="K25" i="8"/>
  <c r="AJ25" i="8"/>
  <c r="AJ23" i="8"/>
  <c r="K24" i="8"/>
  <c r="T24" i="8"/>
  <c r="K26" i="7"/>
  <c r="T26" i="7"/>
  <c r="K27" i="7"/>
  <c r="T27" i="7"/>
  <c r="T28" i="7"/>
  <c r="K28" i="7"/>
  <c r="T25" i="7"/>
  <c r="K25" i="7"/>
  <c r="K23" i="7"/>
  <c r="T23" i="7"/>
  <c r="I22" i="7" l="1"/>
  <c r="I13" i="9"/>
  <c r="I15" i="9"/>
  <c r="I17" i="9"/>
  <c r="I13" i="10"/>
  <c r="I15" i="10"/>
  <c r="I17" i="10"/>
  <c r="I19" i="10"/>
  <c r="I21" i="10"/>
  <c r="I22" i="8"/>
  <c r="I19" i="9"/>
  <c r="I21" i="9"/>
  <c r="I21" i="7"/>
  <c r="I12" i="9"/>
  <c r="I14" i="9"/>
  <c r="I16" i="9"/>
  <c r="I12" i="10"/>
  <c r="I14" i="10"/>
  <c r="I16" i="10"/>
  <c r="I18" i="10"/>
  <c r="I20" i="10"/>
  <c r="I22" i="10"/>
  <c r="I21" i="8"/>
  <c r="I18" i="9"/>
  <c r="I20" i="9"/>
  <c r="I22" i="9"/>
  <c r="K22" i="10" l="1"/>
  <c r="T22" i="10"/>
  <c r="I13" i="7"/>
  <c r="I15" i="7"/>
  <c r="I17" i="7"/>
  <c r="I19" i="7"/>
  <c r="I13" i="8"/>
  <c r="I15" i="8"/>
  <c r="I17" i="8"/>
  <c r="I19" i="8"/>
  <c r="I12" i="7"/>
  <c r="I14" i="7"/>
  <c r="I16" i="7"/>
  <c r="I18" i="7"/>
  <c r="I20" i="7"/>
  <c r="I12" i="8"/>
  <c r="I14" i="8"/>
  <c r="I16" i="8"/>
  <c r="I18" i="8"/>
  <c r="I20" i="8"/>
  <c r="J13" i="10" l="1"/>
  <c r="J15" i="10"/>
  <c r="J17" i="10"/>
  <c r="J19" i="10"/>
  <c r="J21" i="10"/>
  <c r="J12" i="10"/>
  <c r="J14" i="10"/>
  <c r="J16" i="10"/>
  <c r="J18" i="10"/>
  <c r="J20" i="10"/>
  <c r="K14" i="10" l="1"/>
  <c r="T14" i="10"/>
  <c r="K19" i="10"/>
  <c r="T19" i="10"/>
  <c r="K20" i="10"/>
  <c r="T20" i="10"/>
  <c r="K12" i="10"/>
  <c r="T12" i="10"/>
  <c r="K15" i="10"/>
  <c r="T15" i="10"/>
  <c r="K16" i="10"/>
  <c r="T16" i="10"/>
  <c r="K17" i="10"/>
  <c r="T17" i="10"/>
  <c r="K18" i="10"/>
  <c r="T18" i="10"/>
  <c r="K21" i="10"/>
  <c r="T21" i="10"/>
  <c r="K13" i="10"/>
  <c r="T13" i="10"/>
  <c r="J13" i="9"/>
  <c r="J13" i="7"/>
  <c r="J13" i="8"/>
  <c r="J12" i="9"/>
  <c r="J12" i="8"/>
  <c r="J12" i="7"/>
  <c r="K12" i="9" l="1"/>
  <c r="T12" i="9"/>
  <c r="K13" i="9"/>
  <c r="T13" i="9"/>
  <c r="K12" i="7"/>
  <c r="T12" i="7"/>
  <c r="K13" i="7"/>
  <c r="T13" i="7"/>
  <c r="J14" i="9"/>
  <c r="J14" i="7"/>
  <c r="J14" i="8"/>
  <c r="K13" i="8"/>
  <c r="T13" i="8"/>
  <c r="K12" i="8"/>
  <c r="T12" i="8"/>
  <c r="K14" i="9" l="1"/>
  <c r="T14" i="9"/>
  <c r="K14" i="8"/>
  <c r="T14" i="8"/>
  <c r="K14" i="7"/>
  <c r="T14" i="7"/>
  <c r="J15" i="9" l="1"/>
  <c r="J15" i="7"/>
  <c r="J15" i="8"/>
  <c r="K15" i="9" l="1"/>
  <c r="T15" i="9"/>
  <c r="J17" i="9"/>
  <c r="J17" i="7"/>
  <c r="J17" i="8"/>
  <c r="T15" i="7"/>
  <c r="K15" i="7"/>
  <c r="T15" i="8"/>
  <c r="K15" i="8"/>
  <c r="J16" i="9"/>
  <c r="J16" i="7"/>
  <c r="J16" i="8"/>
  <c r="K17" i="9" l="1"/>
  <c r="T17" i="9"/>
  <c r="K16" i="9"/>
  <c r="T16" i="9"/>
  <c r="T16" i="8"/>
  <c r="K16" i="8"/>
  <c r="K17" i="8"/>
  <c r="T17" i="8"/>
  <c r="K17" i="7"/>
  <c r="T17" i="7"/>
  <c r="T16" i="7"/>
  <c r="K16" i="7"/>
  <c r="J18" i="9" l="1"/>
  <c r="J18" i="8"/>
  <c r="J18" i="7"/>
  <c r="K18" i="9" l="1"/>
  <c r="T18" i="9"/>
  <c r="K18" i="8"/>
  <c r="T18" i="8"/>
  <c r="J19" i="9"/>
  <c r="J19" i="7"/>
  <c r="J19" i="8"/>
  <c r="T18" i="7"/>
  <c r="K18" i="7"/>
  <c r="K19" i="9" l="1"/>
  <c r="T19" i="9"/>
  <c r="J20" i="9"/>
  <c r="J20" i="7"/>
  <c r="J20" i="8"/>
  <c r="T19" i="8"/>
  <c r="K19" i="8"/>
  <c r="T19" i="7"/>
  <c r="K19" i="7"/>
  <c r="K20" i="9" l="1"/>
  <c r="T20" i="9"/>
  <c r="K20" i="7"/>
  <c r="T20" i="7"/>
  <c r="J21" i="9"/>
  <c r="J21" i="7"/>
  <c r="J21" i="8"/>
  <c r="T20" i="8"/>
  <c r="K20" i="8"/>
  <c r="K21" i="9" l="1"/>
  <c r="T21" i="9"/>
  <c r="T21" i="8"/>
  <c r="K21" i="8"/>
  <c r="J22" i="7"/>
  <c r="J22" i="8"/>
  <c r="J22" i="9"/>
  <c r="K21" i="7"/>
  <c r="T21" i="7"/>
  <c r="K22" i="9" l="1"/>
  <c r="T22" i="9"/>
  <c r="K22" i="8"/>
  <c r="T22" i="8"/>
  <c r="T22" i="7"/>
  <c r="K22" i="7"/>
  <c r="AH12" i="8" l="1"/>
  <c r="AI12" i="8"/>
  <c r="AH13" i="8"/>
  <c r="AI13" i="8"/>
  <c r="AH14" i="8"/>
  <c r="AI14" i="8"/>
  <c r="AH15" i="8"/>
  <c r="AI15" i="8"/>
  <c r="AH16" i="8"/>
  <c r="AJ16" i="8" s="1"/>
  <c r="AI16" i="8"/>
  <c r="AH17" i="8"/>
  <c r="AI17" i="8"/>
  <c r="AH18" i="8"/>
  <c r="AI18" i="8"/>
  <c r="AH19" i="8"/>
  <c r="AI19" i="8"/>
  <c r="AH20" i="8"/>
  <c r="AJ20" i="8" s="1"/>
  <c r="AI20" i="8"/>
  <c r="AH21" i="8"/>
  <c r="AI21" i="8"/>
  <c r="AH22" i="8"/>
  <c r="AI22" i="8"/>
  <c r="AH66" i="8"/>
  <c r="AI66" i="8"/>
  <c r="AH67" i="8"/>
  <c r="AI67" i="8"/>
  <c r="AH68" i="8"/>
  <c r="AI68" i="8"/>
  <c r="AH69" i="8"/>
  <c r="AI69" i="8"/>
  <c r="AH70" i="8"/>
  <c r="AI70" i="8"/>
  <c r="AH71" i="8"/>
  <c r="AI71" i="8"/>
  <c r="AH75" i="8"/>
  <c r="AI75" i="8"/>
  <c r="AH76" i="8"/>
  <c r="AI76" i="8"/>
  <c r="AH77" i="8"/>
  <c r="AI77" i="8"/>
  <c r="AH78" i="8"/>
  <c r="AI78" i="8"/>
  <c r="AH79" i="8"/>
  <c r="AI79" i="8"/>
  <c r="AH80" i="8"/>
  <c r="AI80" i="8"/>
  <c r="AH12" i="7"/>
  <c r="AI12" i="7"/>
  <c r="AH13" i="7"/>
  <c r="AI13" i="7"/>
  <c r="AH14" i="7"/>
  <c r="AI14" i="7"/>
  <c r="AH15" i="7"/>
  <c r="AI15" i="7"/>
  <c r="AJ15" i="7"/>
  <c r="AH16" i="7"/>
  <c r="AJ16" i="7" s="1"/>
  <c r="AI16" i="7"/>
  <c r="AH17" i="7"/>
  <c r="AI17" i="7"/>
  <c r="AH18" i="7"/>
  <c r="AI18" i="7"/>
  <c r="AH19" i="7"/>
  <c r="AI19" i="7"/>
  <c r="AH20" i="7"/>
  <c r="AI20" i="7"/>
  <c r="AH21" i="7"/>
  <c r="AI21" i="7"/>
  <c r="AH22" i="7"/>
  <c r="AI22" i="7"/>
  <c r="AH66" i="7"/>
  <c r="AI66" i="7"/>
  <c r="AJ66" i="7" s="1"/>
  <c r="AH67" i="7"/>
  <c r="AI67" i="7"/>
  <c r="AH68" i="7"/>
  <c r="AI68" i="7"/>
  <c r="AH69" i="7"/>
  <c r="AI69" i="7"/>
  <c r="AH70" i="7"/>
  <c r="AI70" i="7"/>
  <c r="AH71" i="7"/>
  <c r="AJ71" i="7" s="1"/>
  <c r="AI71" i="7"/>
  <c r="AH75" i="7"/>
  <c r="AI75" i="7"/>
  <c r="AH76" i="7"/>
  <c r="AJ76" i="7" s="1"/>
  <c r="AI76" i="7"/>
  <c r="AH77" i="7"/>
  <c r="AI77" i="7"/>
  <c r="AH78" i="7"/>
  <c r="AI78" i="7"/>
  <c r="AH79" i="7"/>
  <c r="AI79" i="7"/>
  <c r="AH80" i="7"/>
  <c r="AI80" i="7"/>
  <c r="AI22" i="10"/>
  <c r="AI22" i="9"/>
  <c r="AI20" i="10"/>
  <c r="AI20" i="9"/>
  <c r="AI18" i="10"/>
  <c r="AI18" i="9"/>
  <c r="AI21" i="10"/>
  <c r="AI21" i="9"/>
  <c r="AI19" i="10"/>
  <c r="AI19" i="9"/>
  <c r="AI80" i="9"/>
  <c r="AI71" i="9"/>
  <c r="AI80" i="10"/>
  <c r="AI17" i="10"/>
  <c r="AI17" i="9"/>
  <c r="AI71" i="10"/>
  <c r="AI78" i="9"/>
  <c r="AI69" i="9"/>
  <c r="AI78" i="10"/>
  <c r="AI15" i="10"/>
  <c r="AI15" i="9"/>
  <c r="AI69" i="10"/>
  <c r="AI76" i="9"/>
  <c r="AI67" i="9"/>
  <c r="AI76" i="10"/>
  <c r="AI13" i="10"/>
  <c r="AI13" i="9"/>
  <c r="AI67" i="10"/>
  <c r="AI79" i="10"/>
  <c r="AI16" i="10"/>
  <c r="AI16" i="9"/>
  <c r="AI70" i="10"/>
  <c r="AI79" i="9"/>
  <c r="AI70" i="9"/>
  <c r="AI77" i="10"/>
  <c r="AI14" i="10"/>
  <c r="AI14" i="9"/>
  <c r="AI68" i="10"/>
  <c r="AI77" i="9"/>
  <c r="AI68" i="9"/>
  <c r="AI75" i="10"/>
  <c r="AI12" i="10"/>
  <c r="AI12" i="9"/>
  <c r="AI66" i="10"/>
  <c r="AI75" i="9"/>
  <c r="AI66" i="9"/>
  <c r="AH71" i="10"/>
  <c r="AJ71" i="10" s="1"/>
  <c r="AH69" i="10"/>
  <c r="AH67" i="10"/>
  <c r="AJ67" i="10" s="1"/>
  <c r="AH70" i="9"/>
  <c r="AJ70" i="9" s="1"/>
  <c r="AH68" i="9"/>
  <c r="AJ68" i="9" s="1"/>
  <c r="AH66" i="9"/>
  <c r="AH79" i="10"/>
  <c r="AJ79" i="10" s="1"/>
  <c r="AH77" i="10"/>
  <c r="AJ77" i="10" s="1"/>
  <c r="AH75" i="10"/>
  <c r="AJ75" i="10" s="1"/>
  <c r="AH80" i="9"/>
  <c r="AJ80" i="9" s="1"/>
  <c r="AH78" i="9"/>
  <c r="AJ78" i="9" s="1"/>
  <c r="AH76" i="9"/>
  <c r="AJ76" i="9" s="1"/>
  <c r="AH22" i="10"/>
  <c r="AJ22" i="10" s="1"/>
  <c r="AH20" i="10"/>
  <c r="AJ20" i="10" s="1"/>
  <c r="AH18" i="10"/>
  <c r="AJ18" i="10" s="1"/>
  <c r="AH16" i="10"/>
  <c r="AJ16" i="10" s="1"/>
  <c r="AH14" i="10"/>
  <c r="AJ14" i="10" s="1"/>
  <c r="AH12" i="10"/>
  <c r="AH22" i="9"/>
  <c r="AH20" i="9"/>
  <c r="AJ20" i="9" s="1"/>
  <c r="AH18" i="9"/>
  <c r="AH16" i="9"/>
  <c r="AJ16" i="9" s="1"/>
  <c r="AH14" i="9"/>
  <c r="AJ14" i="9" s="1"/>
  <c r="AH12" i="9"/>
  <c r="AJ12" i="9" s="1"/>
  <c r="AH70" i="10"/>
  <c r="AJ70" i="10" s="1"/>
  <c r="AH68" i="10"/>
  <c r="AH66" i="10"/>
  <c r="AJ66" i="10" s="1"/>
  <c r="AH71" i="9"/>
  <c r="AJ71" i="9" s="1"/>
  <c r="AH69" i="9"/>
  <c r="AH67" i="9"/>
  <c r="AJ67" i="9" s="1"/>
  <c r="AH80" i="10"/>
  <c r="AJ80" i="10" s="1"/>
  <c r="AH78" i="10"/>
  <c r="AJ78" i="10" s="1"/>
  <c r="AH76" i="10"/>
  <c r="AJ76" i="10" s="1"/>
  <c r="AH79" i="9"/>
  <c r="AJ79" i="9" s="1"/>
  <c r="AH77" i="9"/>
  <c r="AJ77" i="9" s="1"/>
  <c r="AH75" i="9"/>
  <c r="AJ75" i="9" s="1"/>
  <c r="AH21" i="10"/>
  <c r="AJ21" i="10" s="1"/>
  <c r="AH19" i="10"/>
  <c r="AJ19" i="10" s="1"/>
  <c r="AH17" i="10"/>
  <c r="AH15" i="10"/>
  <c r="AJ15" i="10" s="1"/>
  <c r="AH13" i="10"/>
  <c r="AJ13" i="10" s="1"/>
  <c r="AH21" i="9"/>
  <c r="AJ21" i="9" s="1"/>
  <c r="AH19" i="9"/>
  <c r="AH17" i="9"/>
  <c r="AJ17" i="9" s="1"/>
  <c r="AH15" i="9"/>
  <c r="AJ15" i="9" s="1"/>
  <c r="AH13" i="9"/>
  <c r="AJ13" i="9" s="1"/>
  <c r="AJ77" i="7" l="1"/>
  <c r="AJ17" i="10"/>
  <c r="AJ68" i="10"/>
  <c r="AJ12" i="10"/>
  <c r="AJ69" i="10"/>
  <c r="AJ19" i="9"/>
  <c r="AJ22" i="9"/>
  <c r="AJ66" i="9"/>
  <c r="AJ69" i="9"/>
  <c r="AJ18" i="9"/>
  <c r="AJ79" i="8"/>
  <c r="AJ19" i="8"/>
  <c r="AJ15" i="8"/>
  <c r="AJ12" i="8"/>
  <c r="AJ78" i="7"/>
  <c r="AJ80" i="7"/>
  <c r="AJ70" i="7"/>
  <c r="AJ17" i="7"/>
  <c r="AJ14" i="7"/>
  <c r="AJ19" i="7"/>
  <c r="AJ12" i="7"/>
  <c r="AJ75" i="7"/>
  <c r="AJ69" i="7"/>
  <c r="AJ67" i="7"/>
  <c r="AJ22" i="7"/>
  <c r="AJ20" i="7"/>
  <c r="AJ76" i="8"/>
  <c r="AJ70" i="8"/>
  <c r="AJ66" i="8"/>
  <c r="AJ21" i="8"/>
  <c r="AJ17" i="8"/>
  <c r="AJ13" i="8"/>
  <c r="AJ22" i="8"/>
  <c r="AJ18" i="8"/>
  <c r="AJ14" i="8"/>
  <c r="AJ80" i="8"/>
  <c r="AJ75" i="8"/>
  <c r="AJ69" i="8"/>
  <c r="AJ67" i="8"/>
  <c r="AJ68" i="7"/>
  <c r="AJ79" i="7"/>
  <c r="AJ21" i="7"/>
  <c r="AJ18" i="7"/>
  <c r="AJ13" i="7"/>
  <c r="AJ78" i="8"/>
  <c r="AJ71" i="8"/>
  <c r="AJ68" i="8"/>
  <c r="AJ77" i="8"/>
  <c r="I491" i="13" l="1"/>
  <c r="I11" i="10" s="1"/>
  <c r="I11" i="9" l="1"/>
  <c r="I492" i="13"/>
  <c r="I11" i="8"/>
  <c r="I11" i="7"/>
  <c r="AH65" i="9"/>
  <c r="AH65" i="8"/>
  <c r="I62" i="7"/>
  <c r="AH11" i="10"/>
  <c r="AH11" i="8"/>
  <c r="I62" i="10"/>
  <c r="AH74" i="10"/>
  <c r="AH65" i="7"/>
  <c r="I17" i="13"/>
  <c r="I18" i="13" s="1"/>
  <c r="AH11" i="9"/>
  <c r="AH65" i="10"/>
  <c r="I490" i="13"/>
  <c r="K491" i="13"/>
  <c r="AH74" i="7"/>
  <c r="I62" i="9"/>
  <c r="AH11" i="7"/>
  <c r="AH74" i="8"/>
  <c r="AH74" i="9"/>
  <c r="I19" i="13"/>
  <c r="K18" i="13"/>
  <c r="I62" i="8" l="1"/>
  <c r="I493" i="13"/>
  <c r="I494" i="13" s="1"/>
  <c r="K492" i="13"/>
  <c r="I16" i="13"/>
  <c r="K17" i="13"/>
  <c r="I489" i="13"/>
  <c r="K490" i="13"/>
  <c r="I20" i="13"/>
  <c r="I495" i="13"/>
  <c r="K489" i="13" l="1"/>
  <c r="I488" i="13"/>
  <c r="I487" i="13" s="1"/>
  <c r="I486" i="13" s="1"/>
  <c r="I485" i="13" s="1"/>
  <c r="I484" i="13" s="1"/>
  <c r="K16" i="13"/>
  <c r="I15" i="13"/>
  <c r="I496" i="13"/>
  <c r="I21" i="13"/>
  <c r="K15" i="13" l="1"/>
  <c r="I14" i="13"/>
  <c r="I13" i="13" s="1"/>
  <c r="I12" i="13" s="1"/>
  <c r="I11" i="13" s="1"/>
  <c r="I10" i="13" s="1"/>
  <c r="H481" i="13"/>
  <c r="H482" i="13"/>
  <c r="I497" i="13"/>
  <c r="I22" i="13"/>
  <c r="J484" i="13" l="1"/>
  <c r="J486" i="13"/>
  <c r="J488" i="13"/>
  <c r="J487" i="13"/>
  <c r="J485" i="13"/>
  <c r="H8" i="13"/>
  <c r="H7" i="13"/>
  <c r="H218" i="1"/>
  <c r="H232" i="1"/>
  <c r="I498" i="13"/>
  <c r="I23" i="13"/>
  <c r="H238" i="1" l="1"/>
  <c r="H212" i="1"/>
  <c r="I8" i="7"/>
  <c r="I8" i="10"/>
  <c r="I8" i="8"/>
  <c r="I8" i="9"/>
  <c r="J13" i="13"/>
  <c r="J12" i="13"/>
  <c r="J11" i="13"/>
  <c r="J14" i="13"/>
  <c r="J10" i="13"/>
  <c r="I24" i="13"/>
  <c r="I499" i="13"/>
  <c r="J490" i="13"/>
  <c r="J489" i="13"/>
  <c r="AH8" i="9" l="1"/>
  <c r="AH8" i="8"/>
  <c r="AH8" i="7"/>
  <c r="AH8" i="10"/>
  <c r="I500" i="13"/>
  <c r="I25" i="13"/>
  <c r="J16" i="13" s="1"/>
  <c r="J15" i="13"/>
  <c r="I26" i="13" l="1"/>
  <c r="I501" i="13"/>
  <c r="J491" i="13"/>
  <c r="I27" i="13" l="1"/>
  <c r="I502" i="13"/>
  <c r="J492" i="13"/>
  <c r="J11" i="7" s="1"/>
  <c r="J493" i="13"/>
  <c r="J17" i="13"/>
  <c r="J11" i="9" l="1"/>
  <c r="K11" i="9"/>
  <c r="T11" i="9"/>
  <c r="T11" i="7"/>
  <c r="K11" i="7"/>
  <c r="J11" i="10"/>
  <c r="J11" i="8"/>
  <c r="I28" i="13"/>
  <c r="J19" i="13" s="1"/>
  <c r="J18" i="13"/>
  <c r="AI11" i="10" s="1"/>
  <c r="AJ11" i="10" s="1"/>
  <c r="AJ61" i="10" s="1"/>
  <c r="I503" i="13"/>
  <c r="J494" i="13" s="1"/>
  <c r="AI74" i="10"/>
  <c r="AJ74" i="10" s="1"/>
  <c r="AI74" i="9"/>
  <c r="AJ74" i="9" s="1"/>
  <c r="H73" i="10" l="1"/>
  <c r="L51" i="10"/>
  <c r="L54" i="10"/>
  <c r="L53" i="10"/>
  <c r="L56" i="10"/>
  <c r="C88" i="10"/>
  <c r="L47" i="10"/>
  <c r="L50" i="10"/>
  <c r="L49" i="10"/>
  <c r="L52" i="10"/>
  <c r="L59" i="10"/>
  <c r="L60" i="10"/>
  <c r="L46" i="10"/>
  <c r="L45" i="10"/>
  <c r="L48" i="10"/>
  <c r="L55" i="10"/>
  <c r="L58" i="10"/>
  <c r="L44" i="10"/>
  <c r="L57" i="10"/>
  <c r="L10" i="10"/>
  <c r="W10" i="10"/>
  <c r="L5" i="11"/>
  <c r="V10" i="10"/>
  <c r="K11" i="10"/>
  <c r="T11" i="10"/>
  <c r="U16" i="9"/>
  <c r="U46" i="9"/>
  <c r="U23" i="9"/>
  <c r="U26" i="9"/>
  <c r="U32" i="9"/>
  <c r="U44" i="9"/>
  <c r="U52" i="9"/>
  <c r="U58" i="9"/>
  <c r="U33" i="9"/>
  <c r="U14" i="9"/>
  <c r="T61" i="9"/>
  <c r="U15" i="9"/>
  <c r="U43" i="9"/>
  <c r="U42" i="9"/>
  <c r="U53" i="9"/>
  <c r="U48" i="9"/>
  <c r="U29" i="9"/>
  <c r="U34" i="9"/>
  <c r="U54" i="9"/>
  <c r="U19" i="9"/>
  <c r="U12" i="9"/>
  <c r="U36" i="9"/>
  <c r="U18" i="9"/>
  <c r="U21" i="9"/>
  <c r="U27" i="9"/>
  <c r="U55" i="9"/>
  <c r="U40" i="9"/>
  <c r="U51" i="9"/>
  <c r="U56" i="9"/>
  <c r="U13" i="9"/>
  <c r="U57" i="9"/>
  <c r="U47" i="9"/>
  <c r="U28" i="9"/>
  <c r="U45" i="9"/>
  <c r="U17" i="9"/>
  <c r="U25" i="9"/>
  <c r="U59" i="9"/>
  <c r="U11" i="9"/>
  <c r="U35" i="9"/>
  <c r="U31" i="9"/>
  <c r="U20" i="9"/>
  <c r="U49" i="9"/>
  <c r="U24" i="9"/>
  <c r="U22" i="9"/>
  <c r="U37" i="9"/>
  <c r="U50" i="9"/>
  <c r="U60" i="9"/>
  <c r="U41" i="9"/>
  <c r="U38" i="9"/>
  <c r="U39" i="9"/>
  <c r="U30" i="9"/>
  <c r="AA13" i="9"/>
  <c r="AA26" i="9"/>
  <c r="AA40" i="9"/>
  <c r="AA23" i="9"/>
  <c r="AA15" i="9"/>
  <c r="AA36" i="9"/>
  <c r="AA16" i="9"/>
  <c r="AA25" i="9"/>
  <c r="AA32" i="9"/>
  <c r="AA28" i="9"/>
  <c r="AA29" i="9"/>
  <c r="AA18" i="9"/>
  <c r="AA11" i="9"/>
  <c r="AA27" i="9"/>
  <c r="AA35" i="9"/>
  <c r="AA17" i="9"/>
  <c r="AA33" i="9"/>
  <c r="AA14" i="9"/>
  <c r="AA30" i="9"/>
  <c r="AA37" i="9"/>
  <c r="AA42" i="9"/>
  <c r="AA21" i="9"/>
  <c r="AA38" i="9"/>
  <c r="AA20" i="9"/>
  <c r="AA34" i="9"/>
  <c r="K61" i="9"/>
  <c r="AA19" i="9"/>
  <c r="AA41" i="9"/>
  <c r="AA24" i="9"/>
  <c r="AA12" i="9"/>
  <c r="AA39" i="9"/>
  <c r="AA31" i="9"/>
  <c r="AA22" i="9"/>
  <c r="T11" i="8"/>
  <c r="K11" i="8"/>
  <c r="AA11" i="7"/>
  <c r="AA12" i="7"/>
  <c r="AA13" i="7"/>
  <c r="AA14" i="7"/>
  <c r="AA15" i="7"/>
  <c r="AA17" i="7"/>
  <c r="AA16" i="7"/>
  <c r="AA18" i="7"/>
  <c r="AA19" i="7"/>
  <c r="AA20" i="7"/>
  <c r="AA21" i="7"/>
  <c r="AA57" i="7"/>
  <c r="AA43" i="7"/>
  <c r="AA29" i="7"/>
  <c r="AA30" i="7"/>
  <c r="AA40" i="7"/>
  <c r="AA55" i="7"/>
  <c r="AA36" i="7"/>
  <c r="AA50" i="7"/>
  <c r="AA41" i="7"/>
  <c r="AA28" i="7"/>
  <c r="AA22" i="7"/>
  <c r="AA44" i="7"/>
  <c r="AA47" i="7"/>
  <c r="AA26" i="7"/>
  <c r="AA59" i="7"/>
  <c r="K61" i="7"/>
  <c r="AA48" i="7"/>
  <c r="AA25" i="7"/>
  <c r="AA53" i="7"/>
  <c r="AA33" i="7"/>
  <c r="AA60" i="7"/>
  <c r="AA31" i="7"/>
  <c r="AA39" i="7"/>
  <c r="AA58" i="7"/>
  <c r="AA37" i="7"/>
  <c r="AA54" i="7"/>
  <c r="AA38" i="7"/>
  <c r="AA27" i="7"/>
  <c r="AA35" i="7"/>
  <c r="AA32" i="7"/>
  <c r="AA52" i="7"/>
  <c r="AA49" i="7"/>
  <c r="AA56" i="7"/>
  <c r="AA34" i="7"/>
  <c r="AA46" i="7"/>
  <c r="AA42" i="7"/>
  <c r="AA24" i="7"/>
  <c r="AA51" i="7"/>
  <c r="AA23" i="7"/>
  <c r="AA45" i="7"/>
  <c r="U11" i="7"/>
  <c r="U13" i="7"/>
  <c r="U12" i="7"/>
  <c r="U14" i="7"/>
  <c r="U15" i="7"/>
  <c r="U16" i="7"/>
  <c r="U17" i="7"/>
  <c r="U18" i="7"/>
  <c r="U19" i="7"/>
  <c r="U20" i="7"/>
  <c r="U21" i="7"/>
  <c r="U49" i="7"/>
  <c r="U48" i="7"/>
  <c r="U30" i="7"/>
  <c r="U52" i="7"/>
  <c r="U44" i="7"/>
  <c r="U32" i="7"/>
  <c r="U27" i="7"/>
  <c r="U37" i="7"/>
  <c r="U46" i="7"/>
  <c r="U23" i="7"/>
  <c r="U28" i="7"/>
  <c r="U22" i="7"/>
  <c r="U42" i="7"/>
  <c r="U31" i="7"/>
  <c r="U50" i="7"/>
  <c r="U54" i="7"/>
  <c r="U51" i="7"/>
  <c r="U33" i="7"/>
  <c r="U29" i="7"/>
  <c r="U57" i="7"/>
  <c r="U38" i="7"/>
  <c r="U45" i="7"/>
  <c r="U60" i="7"/>
  <c r="U41" i="7"/>
  <c r="T61" i="7"/>
  <c r="U56" i="7"/>
  <c r="U53" i="7"/>
  <c r="U55" i="7"/>
  <c r="U34" i="7"/>
  <c r="U58" i="7"/>
  <c r="U47" i="7"/>
  <c r="U40" i="7"/>
  <c r="U36" i="7"/>
  <c r="U39" i="7"/>
  <c r="U59" i="7"/>
  <c r="U43" i="7"/>
  <c r="U25" i="7"/>
  <c r="U35" i="7"/>
  <c r="U26" i="7"/>
  <c r="U24" i="7"/>
  <c r="AI65" i="10"/>
  <c r="AJ65" i="10" s="1"/>
  <c r="AJ81" i="10" s="1"/>
  <c r="K64" i="10" s="1"/>
  <c r="AI11" i="7"/>
  <c r="AJ11" i="7" s="1"/>
  <c r="AJ61" i="7" s="1"/>
  <c r="AI74" i="7"/>
  <c r="AJ74" i="7" s="1"/>
  <c r="AI11" i="9"/>
  <c r="AJ11" i="9" s="1"/>
  <c r="AJ61" i="9" s="1"/>
  <c r="AI65" i="9"/>
  <c r="AJ65" i="9" s="1"/>
  <c r="AI65" i="8"/>
  <c r="AJ65" i="8" s="1"/>
  <c r="AI74" i="8"/>
  <c r="AJ74" i="8" s="1"/>
  <c r="AI11" i="8"/>
  <c r="AJ11" i="8" s="1"/>
  <c r="AJ61" i="8" s="1"/>
  <c r="AI65" i="7"/>
  <c r="AJ65" i="7" s="1"/>
  <c r="J62" i="7"/>
  <c r="K62" i="7" s="1"/>
  <c r="K63" i="7" s="1"/>
  <c r="J62" i="10"/>
  <c r="K62" i="10" s="1"/>
  <c r="J62" i="8"/>
  <c r="K62" i="8" s="1"/>
  <c r="J62" i="9"/>
  <c r="K62" i="9" s="1"/>
  <c r="I29" i="13"/>
  <c r="I504" i="13"/>
  <c r="U56" i="10" l="1"/>
  <c r="U46" i="10"/>
  <c r="U60" i="10"/>
  <c r="U41" i="10"/>
  <c r="U35" i="10"/>
  <c r="U47" i="10"/>
  <c r="V47" i="10" s="1"/>
  <c r="U39" i="10"/>
  <c r="U12" i="10"/>
  <c r="U48" i="10"/>
  <c r="U21" i="10"/>
  <c r="U59" i="10"/>
  <c r="U27" i="10"/>
  <c r="V27" i="10" s="1"/>
  <c r="U57" i="10"/>
  <c r="V57" i="10" s="1"/>
  <c r="U23" i="10"/>
  <c r="U51" i="10"/>
  <c r="U52" i="10"/>
  <c r="U36" i="10"/>
  <c r="V36" i="10" s="1"/>
  <c r="T61" i="10"/>
  <c r="U40" i="10"/>
  <c r="U33" i="10"/>
  <c r="U13" i="10"/>
  <c r="U29" i="10"/>
  <c r="U54" i="10"/>
  <c r="U17" i="10"/>
  <c r="U58" i="10"/>
  <c r="V58" i="10" s="1"/>
  <c r="U11" i="10"/>
  <c r="V11" i="10" s="1"/>
  <c r="U42" i="10"/>
  <c r="U14" i="10"/>
  <c r="U26" i="10"/>
  <c r="U15" i="10"/>
  <c r="U16" i="10"/>
  <c r="U31" i="10"/>
  <c r="V31" i="10" s="1"/>
  <c r="U28" i="10"/>
  <c r="U53" i="10"/>
  <c r="U55" i="10"/>
  <c r="U49" i="10"/>
  <c r="V49" i="10" s="1"/>
  <c r="U43" i="10"/>
  <c r="U32" i="10"/>
  <c r="U44" i="10"/>
  <c r="U22" i="10"/>
  <c r="U37" i="10"/>
  <c r="U38" i="10"/>
  <c r="U20" i="10"/>
  <c r="U18" i="10"/>
  <c r="U24" i="10"/>
  <c r="U50" i="10"/>
  <c r="U34" i="10"/>
  <c r="U45" i="10"/>
  <c r="V45" i="10" s="1"/>
  <c r="U25" i="10"/>
  <c r="U30" i="10"/>
  <c r="U19" i="10"/>
  <c r="AA18" i="10"/>
  <c r="AA42" i="10"/>
  <c r="AA14" i="10"/>
  <c r="AA29" i="10"/>
  <c r="AA21" i="10"/>
  <c r="AA24" i="10"/>
  <c r="AA11" i="10"/>
  <c r="AA15" i="10"/>
  <c r="AA38" i="10"/>
  <c r="L38" i="10" s="1"/>
  <c r="AA32" i="10"/>
  <c r="AA34" i="10"/>
  <c r="AA27" i="10"/>
  <c r="AA25" i="10"/>
  <c r="AA31" i="10"/>
  <c r="AA12" i="10"/>
  <c r="AA30" i="10"/>
  <c r="AA13" i="10"/>
  <c r="AA37" i="10"/>
  <c r="AA23" i="10"/>
  <c r="AA36" i="10"/>
  <c r="L36" i="10" s="1"/>
  <c r="AA33" i="10"/>
  <c r="L33" i="10" s="1"/>
  <c r="AA35" i="10"/>
  <c r="AA41" i="10"/>
  <c r="AA22" i="10"/>
  <c r="AA28" i="10"/>
  <c r="AA20" i="10"/>
  <c r="K61" i="10"/>
  <c r="AA16" i="10"/>
  <c r="AA40" i="10"/>
  <c r="AA39" i="10"/>
  <c r="AA19" i="10"/>
  <c r="AA17" i="10"/>
  <c r="AA26" i="10"/>
  <c r="L26" i="10" s="1"/>
  <c r="L22" i="9"/>
  <c r="L42" i="9"/>
  <c r="L33" i="9"/>
  <c r="L11" i="9"/>
  <c r="L32" i="9"/>
  <c r="L15" i="9"/>
  <c r="L13" i="9"/>
  <c r="V41" i="9"/>
  <c r="V23" i="9"/>
  <c r="V22" i="9"/>
  <c r="V31" i="9"/>
  <c r="V26" i="9"/>
  <c r="V25" i="9"/>
  <c r="V47" i="9"/>
  <c r="V51" i="9"/>
  <c r="V21" i="9"/>
  <c r="V19" i="9"/>
  <c r="V48" i="9"/>
  <c r="V16" i="9"/>
  <c r="V15" i="9"/>
  <c r="V58" i="9"/>
  <c r="H73" i="9"/>
  <c r="L55" i="9"/>
  <c r="L44" i="9"/>
  <c r="L53" i="9"/>
  <c r="L46" i="9"/>
  <c r="L59" i="9"/>
  <c r="L60" i="9"/>
  <c r="C88" i="9"/>
  <c r="L45" i="9"/>
  <c r="L48" i="9"/>
  <c r="L58" i="9"/>
  <c r="L51" i="9"/>
  <c r="L56" i="9"/>
  <c r="L47" i="9"/>
  <c r="L57" i="9"/>
  <c r="L52" i="9"/>
  <c r="L49" i="9"/>
  <c r="L50" i="9"/>
  <c r="L54" i="9"/>
  <c r="L10" i="9"/>
  <c r="K5" i="11"/>
  <c r="V10" i="9"/>
  <c r="W10" i="9"/>
  <c r="W11" i="9" s="1"/>
  <c r="W12" i="9" s="1"/>
  <c r="W13" i="9" s="1"/>
  <c r="W14" i="9" s="1"/>
  <c r="W15" i="9" s="1"/>
  <c r="W16" i="9" s="1"/>
  <c r="W17" i="9" s="1"/>
  <c r="W18" i="9" s="1"/>
  <c r="W19" i="9" s="1"/>
  <c r="W20" i="9" s="1"/>
  <c r="W21" i="9" s="1"/>
  <c r="W22" i="9" s="1"/>
  <c r="W23" i="9" s="1"/>
  <c r="W24" i="9" s="1"/>
  <c r="W25" i="9" s="1"/>
  <c r="W26" i="9" s="1"/>
  <c r="W27" i="9" s="1"/>
  <c r="W28" i="9" s="1"/>
  <c r="W29" i="9" s="1"/>
  <c r="W30" i="9" s="1"/>
  <c r="W31" i="9" s="1"/>
  <c r="W32" i="9" s="1"/>
  <c r="W33" i="9" s="1"/>
  <c r="W34" i="9" s="1"/>
  <c r="W35" i="9" s="1"/>
  <c r="W36" i="9" s="1"/>
  <c r="W37" i="9" s="1"/>
  <c r="W38" i="9" s="1"/>
  <c r="W39" i="9" s="1"/>
  <c r="W40" i="9" s="1"/>
  <c r="W41" i="9" s="1"/>
  <c r="W42" i="9" s="1"/>
  <c r="AJ81" i="9"/>
  <c r="K64" i="9" s="1"/>
  <c r="L43" i="9"/>
  <c r="L24" i="9"/>
  <c r="L31" i="9"/>
  <c r="L41" i="9"/>
  <c r="L20" i="9"/>
  <c r="L37" i="9"/>
  <c r="L17" i="9"/>
  <c r="L18" i="9"/>
  <c r="L25" i="9"/>
  <c r="L23" i="9"/>
  <c r="V30" i="9"/>
  <c r="V60" i="9"/>
  <c r="V24" i="9"/>
  <c r="V35" i="9"/>
  <c r="V17" i="9"/>
  <c r="V57" i="9"/>
  <c r="V40" i="9"/>
  <c r="V18" i="9"/>
  <c r="V54" i="9"/>
  <c r="V53" i="9"/>
  <c r="V52" i="9"/>
  <c r="L34" i="9"/>
  <c r="L39" i="9"/>
  <c r="L19" i="9"/>
  <c r="L38" i="9"/>
  <c r="L30" i="9"/>
  <c r="L35" i="9"/>
  <c r="L29" i="9"/>
  <c r="L16" i="9"/>
  <c r="L40" i="9"/>
  <c r="V39" i="9"/>
  <c r="V50" i="9"/>
  <c r="V49" i="9"/>
  <c r="V11" i="9"/>
  <c r="V45" i="9"/>
  <c r="V13" i="9"/>
  <c r="V55" i="9"/>
  <c r="V36" i="9"/>
  <c r="V34" i="9"/>
  <c r="V42" i="9"/>
  <c r="V14" i="9"/>
  <c r="V44" i="9"/>
  <c r="V46" i="9"/>
  <c r="L12" i="9"/>
  <c r="I88" i="9"/>
  <c r="K63" i="9"/>
  <c r="L21" i="9"/>
  <c r="L14" i="9"/>
  <c r="L27" i="9"/>
  <c r="L28" i="9"/>
  <c r="L36" i="9"/>
  <c r="L26" i="9"/>
  <c r="V38" i="9"/>
  <c r="V37" i="9"/>
  <c r="V20" i="9"/>
  <c r="V59" i="9"/>
  <c r="V28" i="9"/>
  <c r="V56" i="9"/>
  <c r="V27" i="9"/>
  <c r="V12" i="9"/>
  <c r="V29" i="9"/>
  <c r="V43" i="9"/>
  <c r="V33" i="9"/>
  <c r="V32" i="9"/>
  <c r="AA11" i="8"/>
  <c r="L11" i="8" s="1"/>
  <c r="AA12" i="8"/>
  <c r="AA13" i="8"/>
  <c r="AA14" i="8"/>
  <c r="AA15" i="8"/>
  <c r="AA16" i="8"/>
  <c r="AA17" i="8"/>
  <c r="AA18" i="8"/>
  <c r="AA19" i="8"/>
  <c r="AA20" i="8"/>
  <c r="AA21" i="8"/>
  <c r="AA57" i="8"/>
  <c r="K61" i="8"/>
  <c r="AA33" i="8"/>
  <c r="AA22" i="8"/>
  <c r="AA26" i="8"/>
  <c r="AA50" i="8"/>
  <c r="AA55" i="8"/>
  <c r="AA47" i="8"/>
  <c r="AA60" i="8"/>
  <c r="AA34" i="8"/>
  <c r="AA41" i="8"/>
  <c r="AA54" i="8"/>
  <c r="AA51" i="8"/>
  <c r="AA32" i="8"/>
  <c r="AA42" i="8"/>
  <c r="AA28" i="8"/>
  <c r="AA59" i="8"/>
  <c r="AA27" i="8"/>
  <c r="AA38" i="8"/>
  <c r="AA36" i="8"/>
  <c r="AA39" i="8"/>
  <c r="AA49" i="8"/>
  <c r="AA56" i="8"/>
  <c r="AA58" i="8"/>
  <c r="AA35" i="8"/>
  <c r="AA43" i="8"/>
  <c r="AA25" i="8"/>
  <c r="AA45" i="8"/>
  <c r="AA46" i="8"/>
  <c r="AA37" i="8"/>
  <c r="AA48" i="8"/>
  <c r="AA30" i="8"/>
  <c r="AA40" i="8"/>
  <c r="AA24" i="8"/>
  <c r="AA52" i="8"/>
  <c r="AA53" i="8"/>
  <c r="AA23" i="8"/>
  <c r="AA29" i="8"/>
  <c r="AA44" i="8"/>
  <c r="AA31" i="8"/>
  <c r="H73" i="8"/>
  <c r="V10" i="8"/>
  <c r="C88" i="8"/>
  <c r="L10" i="8"/>
  <c r="J5" i="11"/>
  <c r="W10" i="8"/>
  <c r="AJ81" i="8"/>
  <c r="K64" i="8" s="1"/>
  <c r="U11" i="8"/>
  <c r="V11" i="8" s="1"/>
  <c r="U13" i="8"/>
  <c r="U12" i="8"/>
  <c r="U14" i="8"/>
  <c r="U15" i="8"/>
  <c r="U16" i="8"/>
  <c r="U17" i="8"/>
  <c r="U18" i="8"/>
  <c r="U19" i="8"/>
  <c r="U20" i="8"/>
  <c r="U21" i="8"/>
  <c r="U51" i="8"/>
  <c r="U41" i="8"/>
  <c r="U22" i="8"/>
  <c r="U30" i="8"/>
  <c r="U31" i="8"/>
  <c r="U59" i="8"/>
  <c r="U25" i="8"/>
  <c r="U32" i="8"/>
  <c r="U55" i="8"/>
  <c r="U44" i="8"/>
  <c r="U27" i="8"/>
  <c r="U33" i="8"/>
  <c r="U42" i="8"/>
  <c r="U37" i="8"/>
  <c r="U47" i="8"/>
  <c r="U46" i="8"/>
  <c r="U40" i="8"/>
  <c r="U56" i="8"/>
  <c r="U28" i="8"/>
  <c r="T61" i="8"/>
  <c r="U58" i="8"/>
  <c r="U52" i="8"/>
  <c r="U45" i="8"/>
  <c r="U50" i="8"/>
  <c r="U26" i="8"/>
  <c r="U29" i="8"/>
  <c r="U36" i="8"/>
  <c r="U23" i="8"/>
  <c r="U24" i="8"/>
  <c r="U48" i="8"/>
  <c r="U54" i="8"/>
  <c r="U57" i="8"/>
  <c r="U43" i="8"/>
  <c r="U39" i="8"/>
  <c r="U53" i="8"/>
  <c r="U35" i="8"/>
  <c r="U49" i="8"/>
  <c r="U60" i="8"/>
  <c r="U34" i="8"/>
  <c r="U38" i="8"/>
  <c r="V39" i="7"/>
  <c r="V45" i="7"/>
  <c r="V48" i="7"/>
  <c r="V11" i="7"/>
  <c r="L35" i="7"/>
  <c r="L48" i="7"/>
  <c r="L47" i="7"/>
  <c r="L57" i="7"/>
  <c r="L18" i="7"/>
  <c r="L14" i="7"/>
  <c r="V25" i="7"/>
  <c r="V51" i="7"/>
  <c r="V44" i="7"/>
  <c r="V18" i="7"/>
  <c r="L45" i="7"/>
  <c r="L42" i="7"/>
  <c r="L49" i="7"/>
  <c r="L27" i="7"/>
  <c r="L58" i="7"/>
  <c r="L33" i="7"/>
  <c r="I88" i="7"/>
  <c r="L44" i="7"/>
  <c r="L50" i="7"/>
  <c r="L30" i="7"/>
  <c r="L21" i="7"/>
  <c r="L16" i="7"/>
  <c r="L13" i="7"/>
  <c r="V35" i="7"/>
  <c r="V56" i="7"/>
  <c r="V31" i="7"/>
  <c r="V32" i="7"/>
  <c r="V15" i="7"/>
  <c r="L24" i="7"/>
  <c r="L60" i="7"/>
  <c r="L41" i="7"/>
  <c r="AJ81" i="7"/>
  <c r="K64" i="7" s="1"/>
  <c r="K65" i="7" s="1"/>
  <c r="V34" i="7"/>
  <c r="V42" i="7"/>
  <c r="V46" i="7"/>
  <c r="V49" i="7"/>
  <c r="V14" i="7"/>
  <c r="V24" i="7"/>
  <c r="V43" i="7"/>
  <c r="V40" i="7"/>
  <c r="V55" i="7"/>
  <c r="V41" i="7"/>
  <c r="V57" i="7"/>
  <c r="V22" i="7"/>
  <c r="V37" i="7"/>
  <c r="V52" i="7"/>
  <c r="V21" i="7"/>
  <c r="V17" i="7"/>
  <c r="V12" i="7"/>
  <c r="L23" i="7"/>
  <c r="L46" i="7"/>
  <c r="L52" i="7"/>
  <c r="L38" i="7"/>
  <c r="L39" i="7"/>
  <c r="L53" i="7"/>
  <c r="L59" i="7"/>
  <c r="L22" i="7"/>
  <c r="L36" i="7"/>
  <c r="L29" i="7"/>
  <c r="L20" i="7"/>
  <c r="L17" i="7"/>
  <c r="L12" i="7"/>
  <c r="V54" i="7"/>
  <c r="W10" i="7"/>
  <c r="W11" i="7" s="1"/>
  <c r="W12" i="7" s="1"/>
  <c r="W13" i="7" s="1"/>
  <c r="W14" i="7" s="1"/>
  <c r="W15" i="7" s="1"/>
  <c r="W16" i="7" s="1"/>
  <c r="W17" i="7" s="1"/>
  <c r="W18" i="7" s="1"/>
  <c r="W19" i="7" s="1"/>
  <c r="W20" i="7" s="1"/>
  <c r="W21" i="7" s="1"/>
  <c r="W22" i="7" s="1"/>
  <c r="W23" i="7" s="1"/>
  <c r="W24" i="7" s="1"/>
  <c r="W25" i="7" s="1"/>
  <c r="W26" i="7" s="1"/>
  <c r="W27" i="7" s="1"/>
  <c r="W28" i="7" s="1"/>
  <c r="W29" i="7" s="1"/>
  <c r="W30" i="7" s="1"/>
  <c r="W31" i="7" s="1"/>
  <c r="W32" i="7" s="1"/>
  <c r="W33" i="7" s="1"/>
  <c r="W34" i="7" s="1"/>
  <c r="W35" i="7" s="1"/>
  <c r="W36" i="7" s="1"/>
  <c r="W37" i="7" s="1"/>
  <c r="W38" i="7" s="1"/>
  <c r="W39" i="7" s="1"/>
  <c r="W40" i="7" s="1"/>
  <c r="W41" i="7" s="1"/>
  <c r="W42" i="7" s="1"/>
  <c r="W43" i="7" s="1"/>
  <c r="W44" i="7" s="1"/>
  <c r="W45" i="7" s="1"/>
  <c r="W46" i="7" s="1"/>
  <c r="W47" i="7" s="1"/>
  <c r="W48" i="7" s="1"/>
  <c r="W49" i="7" s="1"/>
  <c r="W50" i="7" s="1"/>
  <c r="W51" i="7" s="1"/>
  <c r="W52" i="7" s="1"/>
  <c r="W53" i="7" s="1"/>
  <c r="W54" i="7" s="1"/>
  <c r="W55" i="7" s="1"/>
  <c r="W56" i="7" s="1"/>
  <c r="W57" i="7" s="1"/>
  <c r="W58" i="7" s="1"/>
  <c r="W59" i="7" s="1"/>
  <c r="W60" i="7" s="1"/>
  <c r="L10" i="7"/>
  <c r="I5" i="11"/>
  <c r="V10" i="7"/>
  <c r="C88" i="7"/>
  <c r="H73" i="7"/>
  <c r="V58" i="7"/>
  <c r="V33" i="7"/>
  <c r="V23" i="7"/>
  <c r="V19" i="7"/>
  <c r="L56" i="7"/>
  <c r="L37" i="7"/>
  <c r="L40" i="7"/>
  <c r="H72" i="7"/>
  <c r="I4" i="11"/>
  <c r="V36" i="7"/>
  <c r="V38" i="7"/>
  <c r="V26" i="7"/>
  <c r="V59" i="7"/>
  <c r="V47" i="7"/>
  <c r="V53" i="7"/>
  <c r="V60" i="7"/>
  <c r="V29" i="7"/>
  <c r="V50" i="7"/>
  <c r="V28" i="7"/>
  <c r="V27" i="7"/>
  <c r="V30" i="7"/>
  <c r="V20" i="7"/>
  <c r="V16" i="7"/>
  <c r="V13" i="7"/>
  <c r="L51" i="7"/>
  <c r="L34" i="7"/>
  <c r="L32" i="7"/>
  <c r="L54" i="7"/>
  <c r="L31" i="7"/>
  <c r="L25" i="7"/>
  <c r="L26" i="7"/>
  <c r="L28" i="7"/>
  <c r="L55" i="7"/>
  <c r="L43" i="7"/>
  <c r="L19" i="7"/>
  <c r="L15" i="7"/>
  <c r="L11" i="7"/>
  <c r="I505" i="13"/>
  <c r="J496" i="13"/>
  <c r="J495" i="13"/>
  <c r="I30" i="13"/>
  <c r="J20" i="13"/>
  <c r="V23" i="8" l="1"/>
  <c r="V40" i="10"/>
  <c r="V37" i="10"/>
  <c r="L15" i="10"/>
  <c r="L13" i="10"/>
  <c r="L52" i="8"/>
  <c r="W11" i="8"/>
  <c r="W12" i="8" s="1"/>
  <c r="W13" i="8" s="1"/>
  <c r="W14" i="8" s="1"/>
  <c r="W15" i="8" s="1"/>
  <c r="W16" i="8" s="1"/>
  <c r="W17" i="8" s="1"/>
  <c r="W18" i="8" s="1"/>
  <c r="W19" i="8" s="1"/>
  <c r="W20" i="8" s="1"/>
  <c r="W21" i="8" s="1"/>
  <c r="W22" i="8" s="1"/>
  <c r="W23" i="8" s="1"/>
  <c r="W24" i="8" s="1"/>
  <c r="W25" i="8" s="1"/>
  <c r="W26" i="8" s="1"/>
  <c r="W27" i="8" s="1"/>
  <c r="W28" i="8" s="1"/>
  <c r="W29" i="8" s="1"/>
  <c r="W30" i="8" s="1"/>
  <c r="W31" i="8" s="1"/>
  <c r="W32" i="8" s="1"/>
  <c r="W33" i="8" s="1"/>
  <c r="W34" i="8" s="1"/>
  <c r="W35" i="8" s="1"/>
  <c r="W36" i="8" s="1"/>
  <c r="W37" i="8" s="1"/>
  <c r="W38" i="8" s="1"/>
  <c r="W39" i="8" s="1"/>
  <c r="W40" i="8" s="1"/>
  <c r="W41" i="8" s="1"/>
  <c r="W42" i="8" s="1"/>
  <c r="W43" i="8" s="1"/>
  <c r="W44" i="8" s="1"/>
  <c r="W45" i="8" s="1"/>
  <c r="W46" i="8" s="1"/>
  <c r="W47" i="8" s="1"/>
  <c r="W48" i="8" s="1"/>
  <c r="W49" i="8" s="1"/>
  <c r="W50" i="8" s="1"/>
  <c r="W51" i="8" s="1"/>
  <c r="W52" i="8" s="1"/>
  <c r="W53" i="8" s="1"/>
  <c r="W54" i="8" s="1"/>
  <c r="W55" i="8" s="1"/>
  <c r="W56" i="8" s="1"/>
  <c r="W57" i="8" s="1"/>
  <c r="W58" i="8" s="1"/>
  <c r="W59" i="8" s="1"/>
  <c r="W60" i="8" s="1"/>
  <c r="L58" i="8"/>
  <c r="L21" i="10"/>
  <c r="V33" i="10"/>
  <c r="V12" i="10"/>
  <c r="V35" i="8"/>
  <c r="L27" i="8"/>
  <c r="L28" i="10"/>
  <c r="V52" i="10"/>
  <c r="V16" i="10"/>
  <c r="V33" i="8"/>
  <c r="L30" i="10"/>
  <c r="V17" i="10"/>
  <c r="L56" i="8"/>
  <c r="L17" i="10"/>
  <c r="L19" i="8"/>
  <c r="V20" i="8"/>
  <c r="V17" i="8"/>
  <c r="V55" i="10"/>
  <c r="V42" i="8"/>
  <c r="V38" i="8"/>
  <c r="V12" i="8"/>
  <c r="L40" i="10"/>
  <c r="V18" i="10"/>
  <c r="L16" i="10"/>
  <c r="V28" i="8"/>
  <c r="L12" i="10"/>
  <c r="L31" i="8"/>
  <c r="L42" i="8"/>
  <c r="L25" i="10"/>
  <c r="V22" i="10"/>
  <c r="V14" i="10"/>
  <c r="V41" i="10"/>
  <c r="V44" i="10"/>
  <c r="V30" i="10"/>
  <c r="L40" i="8"/>
  <c r="V25" i="10"/>
  <c r="L24" i="8"/>
  <c r="L15" i="8"/>
  <c r="V54" i="10"/>
  <c r="L35" i="10"/>
  <c r="V24" i="10"/>
  <c r="V30" i="8"/>
  <c r="V21" i="8"/>
  <c r="V16" i="8"/>
  <c r="L20" i="10"/>
  <c r="V32" i="8"/>
  <c r="L53" i="8"/>
  <c r="L45" i="8"/>
  <c r="L36" i="8"/>
  <c r="L47" i="8"/>
  <c r="L21" i="8"/>
  <c r="L17" i="8"/>
  <c r="L13" i="8"/>
  <c r="L22" i="10"/>
  <c r="V34" i="10"/>
  <c r="V42" i="10"/>
  <c r="V38" i="10"/>
  <c r="Y11" i="9"/>
  <c r="Y12" i="9" s="1"/>
  <c r="V27" i="8"/>
  <c r="V25" i="8"/>
  <c r="L35" i="8"/>
  <c r="V19" i="8"/>
  <c r="V15" i="8"/>
  <c r="L30" i="8"/>
  <c r="L28" i="8"/>
  <c r="L44" i="8"/>
  <c r="L25" i="8"/>
  <c r="L38" i="8"/>
  <c r="L41" i="8"/>
  <c r="L33" i="8"/>
  <c r="L20" i="8"/>
  <c r="L16" i="8"/>
  <c r="L12" i="8"/>
  <c r="L18" i="10"/>
  <c r="L27" i="10"/>
  <c r="L29" i="10"/>
  <c r="V19" i="10"/>
  <c r="V20" i="10"/>
  <c r="V51" i="10"/>
  <c r="V59" i="10"/>
  <c r="V39" i="10"/>
  <c r="V60" i="10"/>
  <c r="L19" i="10"/>
  <c r="I88" i="10"/>
  <c r="K63" i="10"/>
  <c r="L41" i="10"/>
  <c r="L23" i="10"/>
  <c r="L34" i="10"/>
  <c r="L11" i="10"/>
  <c r="W11" i="10"/>
  <c r="W12" i="10" s="1"/>
  <c r="W13" i="10" s="1"/>
  <c r="W14" i="10" s="1"/>
  <c r="W15" i="10" s="1"/>
  <c r="W16" i="10" s="1"/>
  <c r="W17" i="10" s="1"/>
  <c r="W18" i="10" s="1"/>
  <c r="W19" i="10" s="1"/>
  <c r="W20" i="10" s="1"/>
  <c r="W21" i="10" s="1"/>
  <c r="W22" i="10" s="1"/>
  <c r="W23" i="10" s="1"/>
  <c r="W24" i="10" s="1"/>
  <c r="W25" i="10" s="1"/>
  <c r="W26" i="10" s="1"/>
  <c r="W27" i="10" s="1"/>
  <c r="W28" i="10" s="1"/>
  <c r="W29" i="10" s="1"/>
  <c r="W30" i="10" s="1"/>
  <c r="W31" i="10" s="1"/>
  <c r="W32" i="10" s="1"/>
  <c r="W33" i="10" s="1"/>
  <c r="W34" i="10" s="1"/>
  <c r="W35" i="10" s="1"/>
  <c r="W36" i="10" s="1"/>
  <c r="W37" i="10" s="1"/>
  <c r="W38" i="10" s="1"/>
  <c r="W39" i="10" s="1"/>
  <c r="W40" i="10" s="1"/>
  <c r="W41" i="10" s="1"/>
  <c r="W42" i="10" s="1"/>
  <c r="L14" i="10"/>
  <c r="V50" i="10"/>
  <c r="V32" i="10"/>
  <c r="V53" i="10"/>
  <c r="V15" i="10"/>
  <c r="V29" i="10"/>
  <c r="V23" i="10"/>
  <c r="V21" i="10"/>
  <c r="V46" i="10"/>
  <c r="L39" i="10"/>
  <c r="L37" i="10"/>
  <c r="L31" i="10"/>
  <c r="L32" i="10"/>
  <c r="L24" i="10"/>
  <c r="L42" i="10"/>
  <c r="L43" i="10"/>
  <c r="V43" i="10"/>
  <c r="V28" i="10"/>
  <c r="V26" i="10"/>
  <c r="V13" i="10"/>
  <c r="V48" i="10"/>
  <c r="V35" i="10"/>
  <c r="V56" i="10"/>
  <c r="K4" i="11"/>
  <c r="H72" i="9"/>
  <c r="K65" i="9"/>
  <c r="V36" i="8"/>
  <c r="V22" i="8"/>
  <c r="V13" i="8"/>
  <c r="L48" i="8"/>
  <c r="L55" i="8"/>
  <c r="V34" i="8"/>
  <c r="V39" i="8"/>
  <c r="V29" i="8"/>
  <c r="V37" i="8"/>
  <c r="V41" i="8"/>
  <c r="L29" i="8"/>
  <c r="L37" i="8"/>
  <c r="L43" i="8"/>
  <c r="L49" i="8"/>
  <c r="L32" i="8"/>
  <c r="L34" i="8"/>
  <c r="L50" i="8"/>
  <c r="I88" i="8"/>
  <c r="L54" i="8"/>
  <c r="L22" i="8"/>
  <c r="V24" i="8"/>
  <c r="V26" i="8"/>
  <c r="V40" i="8"/>
  <c r="V31" i="8"/>
  <c r="V18" i="8"/>
  <c r="V14" i="8"/>
  <c r="L23" i="8"/>
  <c r="L46" i="8"/>
  <c r="L39" i="8"/>
  <c r="L59" i="8"/>
  <c r="L51" i="8"/>
  <c r="L60" i="8"/>
  <c r="L26" i="8"/>
  <c r="L57" i="8"/>
  <c r="L18" i="8"/>
  <c r="L14" i="8"/>
  <c r="K63" i="8"/>
  <c r="Y11" i="7"/>
  <c r="I31" i="13"/>
  <c r="J21" i="13"/>
  <c r="J22" i="13"/>
  <c r="I506" i="13"/>
  <c r="Y13" i="9" l="1"/>
  <c r="Y14" i="9" s="1"/>
  <c r="H88" i="9" s="1"/>
  <c r="K10" i="11" s="1"/>
  <c r="Y11" i="10"/>
  <c r="Y13" i="10" s="1"/>
  <c r="Y11" i="8"/>
  <c r="Y12" i="8" s="1"/>
  <c r="L4" i="11"/>
  <c r="K65" i="10"/>
  <c r="H72" i="10"/>
  <c r="J4" i="11"/>
  <c r="H72" i="8"/>
  <c r="K65" i="8"/>
  <c r="Y13" i="7"/>
  <c r="Y12" i="7"/>
  <c r="I507" i="13"/>
  <c r="J497" i="13"/>
  <c r="I32" i="13"/>
  <c r="Y12" i="10" l="1"/>
  <c r="Y14" i="10" s="1"/>
  <c r="H88" i="10" s="1"/>
  <c r="L10" i="11" s="1"/>
  <c r="Y13" i="8"/>
  <c r="Y14" i="8" s="1"/>
  <c r="H88" i="8" s="1"/>
  <c r="J10" i="11" s="1"/>
  <c r="Y14" i="7"/>
  <c r="H88" i="7" s="1"/>
  <c r="I10" i="11" s="1"/>
  <c r="I33" i="13"/>
  <c r="J23" i="13"/>
  <c r="J24" i="13"/>
  <c r="I508" i="13"/>
  <c r="J498" i="13"/>
  <c r="I509" i="13" l="1"/>
  <c r="J499" i="13"/>
  <c r="I34" i="13"/>
  <c r="I35" i="13" l="1"/>
  <c r="J26" i="13"/>
  <c r="J25" i="13"/>
  <c r="I510" i="13"/>
  <c r="J500" i="13"/>
  <c r="I36" i="13" l="1"/>
  <c r="I511" i="13"/>
  <c r="J501" i="13"/>
  <c r="I37" i="13" l="1"/>
  <c r="I512" i="13"/>
  <c r="J503" i="13" s="1"/>
  <c r="J502" i="13"/>
  <c r="J27" i="13"/>
  <c r="I38" i="13" l="1"/>
  <c r="J28" i="13"/>
  <c r="I513" i="13"/>
  <c r="J504" i="13" s="1"/>
  <c r="I514" i="13" l="1"/>
  <c r="I39" i="13"/>
  <c r="J29" i="13"/>
  <c r="J30" i="13"/>
  <c r="I40" i="13" l="1"/>
  <c r="I515" i="13"/>
  <c r="J506" i="13"/>
  <c r="J505" i="13"/>
  <c r="I516" i="13" l="1"/>
  <c r="I41" i="13"/>
  <c r="J31" i="13"/>
  <c r="I42" i="13" l="1"/>
  <c r="J32" i="13"/>
  <c r="I517" i="13"/>
  <c r="J507" i="13"/>
  <c r="I518" i="13" l="1"/>
  <c r="I43" i="13"/>
  <c r="J33" i="13"/>
  <c r="J508" i="13"/>
  <c r="I519" i="13" l="1"/>
  <c r="J510" i="13" s="1"/>
  <c r="I44" i="13"/>
  <c r="J34" i="13"/>
  <c r="J35" i="13"/>
  <c r="J509" i="13"/>
  <c r="I520" i="13" l="1"/>
  <c r="I45" i="13"/>
  <c r="J511" i="13"/>
  <c r="I521" i="13" l="1"/>
  <c r="I46" i="13"/>
  <c r="J36" i="13"/>
  <c r="I47" i="13" l="1"/>
  <c r="J37" i="13"/>
  <c r="I522" i="13"/>
  <c r="J512" i="13"/>
  <c r="J38" i="13"/>
  <c r="I48" i="13" l="1"/>
  <c r="I523" i="13"/>
  <c r="J513" i="13"/>
  <c r="I49" i="13" l="1"/>
  <c r="J39" i="13"/>
  <c r="I524" i="13"/>
  <c r="J515" i="13" s="1"/>
  <c r="J514" i="13"/>
  <c r="I50" i="13" l="1"/>
  <c r="J40" i="13"/>
  <c r="I525" i="13"/>
  <c r="I526" i="13" l="1"/>
  <c r="I51" i="13"/>
  <c r="J42" i="13" s="1"/>
  <c r="J516" i="13"/>
  <c r="J41" i="13"/>
  <c r="I52" i="13" l="1"/>
  <c r="J43" i="13"/>
  <c r="I527" i="13"/>
  <c r="J517" i="13"/>
  <c r="I528" i="13" l="1"/>
  <c r="J518" i="13"/>
  <c r="I53" i="13"/>
  <c r="J44" i="13" s="1"/>
  <c r="J519" i="13"/>
  <c r="I54" i="13" l="1"/>
  <c r="J45" i="13"/>
  <c r="I529" i="13"/>
  <c r="J520" i="13" s="1"/>
  <c r="I55" i="13" l="1"/>
  <c r="I530" i="13"/>
  <c r="I56" i="13" l="1"/>
  <c r="J47" i="13"/>
  <c r="J46" i="13"/>
  <c r="I531" i="13"/>
  <c r="J522" i="13" s="1"/>
  <c r="J521" i="13"/>
  <c r="I57" i="13" l="1"/>
  <c r="I532" i="13"/>
  <c r="J523" i="13" s="1"/>
  <c r="I58" i="13" l="1"/>
  <c r="J48" i="13"/>
  <c r="I533" i="13"/>
  <c r="I534" i="13" l="1"/>
  <c r="J524" i="13"/>
  <c r="I59" i="13"/>
  <c r="J49" i="13"/>
  <c r="I535" i="13" l="1"/>
  <c r="I60" i="13"/>
  <c r="J50" i="13"/>
  <c r="J526" i="13"/>
  <c r="J525" i="13"/>
  <c r="J51" i="13" l="1"/>
  <c r="I536" i="13"/>
  <c r="I61" i="13"/>
  <c r="J52" i="13"/>
  <c r="I537" i="13" l="1"/>
  <c r="J527" i="13"/>
  <c r="J528" i="13"/>
  <c r="I62" i="13"/>
  <c r="I63" i="13" l="1"/>
  <c r="J53" i="13"/>
  <c r="I538" i="13"/>
  <c r="J54" i="13"/>
  <c r="I64" i="13" l="1"/>
  <c r="I539" i="13"/>
  <c r="J530" i="13" s="1"/>
  <c r="J529" i="13"/>
  <c r="I540" i="13" l="1"/>
  <c r="I65" i="13"/>
  <c r="J56" i="13" s="1"/>
  <c r="J55" i="13"/>
  <c r="I541" i="13" l="1"/>
  <c r="J532" i="13" s="1"/>
  <c r="I66" i="13"/>
  <c r="J57" i="13"/>
  <c r="J531" i="13"/>
  <c r="I542" i="13" l="1"/>
  <c r="J533" i="13" s="1"/>
  <c r="I67" i="13"/>
  <c r="I68" i="13" l="1"/>
  <c r="I543" i="13"/>
  <c r="J58" i="13"/>
  <c r="I544" i="13" l="1"/>
  <c r="J535" i="13" s="1"/>
  <c r="J534" i="13"/>
  <c r="I69" i="13"/>
  <c r="J60" i="13" s="1"/>
  <c r="J59" i="13"/>
  <c r="I545" i="13" l="1"/>
  <c r="I70" i="13"/>
  <c r="J61" i="13" s="1"/>
  <c r="I546" i="13" l="1"/>
  <c r="J537" i="13"/>
  <c r="J536" i="13"/>
  <c r="I71" i="13"/>
  <c r="I72" i="13" l="1"/>
  <c r="J63" i="13" s="1"/>
  <c r="J62" i="13"/>
  <c r="I547" i="13"/>
  <c r="I73" i="13" l="1"/>
  <c r="I548" i="13"/>
  <c r="J538" i="13"/>
  <c r="I74" i="13" l="1"/>
  <c r="J64" i="13"/>
  <c r="I549" i="13"/>
  <c r="J539" i="13"/>
  <c r="I75" i="13" l="1"/>
  <c r="J66" i="13" s="1"/>
  <c r="I550" i="13"/>
  <c r="J540" i="13"/>
  <c r="J65" i="13"/>
  <c r="I551" i="13" l="1"/>
  <c r="I552" i="13" s="1"/>
  <c r="I553" i="13" s="1"/>
  <c r="J541" i="13"/>
  <c r="J544" i="13"/>
  <c r="J543" i="13"/>
  <c r="J542" i="13"/>
  <c r="I76" i="13"/>
  <c r="I554" i="13"/>
  <c r="I555" i="13" s="1"/>
  <c r="I556" i="13" s="1"/>
  <c r="J547" i="13" l="1"/>
  <c r="J546" i="13"/>
  <c r="J545" i="13"/>
  <c r="I77" i="13"/>
  <c r="J67" i="13"/>
  <c r="I78" i="13" l="1"/>
  <c r="J69" i="13"/>
  <c r="J68" i="13"/>
  <c r="I79" i="13" l="1"/>
  <c r="J70" i="13"/>
  <c r="I80" i="13" l="1"/>
  <c r="J71" i="13" s="1"/>
  <c r="I81" i="13" l="1"/>
  <c r="I82" i="13" s="1"/>
  <c r="J73" i="13" l="1"/>
  <c r="J72" i="13"/>
  <c r="I254" i="13"/>
  <c r="I255" i="13"/>
  <c r="I256" i="13"/>
  <c r="I257" i="13" s="1"/>
  <c r="I258" i="13" s="1"/>
  <c r="I259" i="13" s="1"/>
  <c r="I260" i="13" s="1"/>
  <c r="I261" i="13" s="1"/>
  <c r="I253" i="13"/>
  <c r="K254" i="13"/>
  <c r="K255" i="13"/>
  <c r="I570" i="13"/>
  <c r="I571" i="13" s="1"/>
  <c r="I96" i="13"/>
  <c r="I95" i="13" s="1"/>
  <c r="I333" i="13"/>
  <c r="I334" i="13" s="1"/>
  <c r="I175" i="13"/>
  <c r="I176" i="13" s="1"/>
  <c r="K176" i="13" s="1"/>
  <c r="I412" i="13"/>
  <c r="K412" i="13" s="1"/>
  <c r="I411" i="13"/>
  <c r="K96" i="13" l="1"/>
  <c r="I332" i="13"/>
  <c r="I331" i="13" s="1"/>
  <c r="I330" i="13" s="1"/>
  <c r="I329" i="13" s="1"/>
  <c r="I328" i="13" s="1"/>
  <c r="I327" i="13" s="1"/>
  <c r="I326" i="13" s="1"/>
  <c r="I572" i="13"/>
  <c r="I573" i="13" s="1"/>
  <c r="K571" i="13"/>
  <c r="K570" i="13"/>
  <c r="K175" i="13"/>
  <c r="I174" i="13"/>
  <c r="I569" i="13"/>
  <c r="K569" i="13" s="1"/>
  <c r="I335" i="13"/>
  <c r="K334" i="13"/>
  <c r="I262" i="13"/>
  <c r="K332" i="13"/>
  <c r="K411" i="13"/>
  <c r="I413" i="13"/>
  <c r="K331" i="13"/>
  <c r="I410" i="13"/>
  <c r="I574" i="13"/>
  <c r="I94" i="13"/>
  <c r="K95" i="13"/>
  <c r="K333" i="13"/>
  <c r="I252" i="13"/>
  <c r="K253" i="13"/>
  <c r="I97" i="13"/>
  <c r="I568" i="13"/>
  <c r="I177" i="13"/>
  <c r="I173" i="13" l="1"/>
  <c r="K174" i="13"/>
  <c r="I263" i="13"/>
  <c r="K252" i="13"/>
  <c r="I251" i="13"/>
  <c r="I250" i="13" s="1"/>
  <c r="I249" i="13" s="1"/>
  <c r="I248" i="13" s="1"/>
  <c r="I247" i="13" s="1"/>
  <c r="I414" i="13"/>
  <c r="K413" i="13"/>
  <c r="H324" i="13"/>
  <c r="H323" i="13"/>
  <c r="I178" i="13"/>
  <c r="I567" i="13"/>
  <c r="I566" i="13" s="1"/>
  <c r="I565" i="13" s="1"/>
  <c r="I564" i="13" s="1"/>
  <c r="I563" i="13" s="1"/>
  <c r="K568" i="13"/>
  <c r="K94" i="13"/>
  <c r="I93" i="13"/>
  <c r="I92" i="13" s="1"/>
  <c r="I91" i="13" s="1"/>
  <c r="I90" i="13" s="1"/>
  <c r="I89" i="13" s="1"/>
  <c r="K97" i="13"/>
  <c r="I98" i="13"/>
  <c r="I575" i="13"/>
  <c r="I336" i="13"/>
  <c r="I409" i="13"/>
  <c r="I408" i="13" s="1"/>
  <c r="I407" i="13" s="1"/>
  <c r="I406" i="13" s="1"/>
  <c r="I405" i="13" s="1"/>
  <c r="K410" i="13"/>
  <c r="K173" i="13" l="1"/>
  <c r="I172" i="13"/>
  <c r="I171" i="13" s="1"/>
  <c r="I170" i="13" s="1"/>
  <c r="I169" i="13" s="1"/>
  <c r="I168" i="13" s="1"/>
  <c r="I179" i="13"/>
  <c r="I99" i="13"/>
  <c r="H244" i="13"/>
  <c r="H245" i="13"/>
  <c r="J328" i="13"/>
  <c r="J326" i="13"/>
  <c r="J327" i="13"/>
  <c r="J329" i="13"/>
  <c r="J330" i="13"/>
  <c r="J331" i="13"/>
  <c r="J332" i="13"/>
  <c r="H403" i="13"/>
  <c r="H402" i="13"/>
  <c r="I576" i="13"/>
  <c r="I264" i="13"/>
  <c r="I415" i="13"/>
  <c r="H236" i="1"/>
  <c r="H216" i="1"/>
  <c r="J254" i="13"/>
  <c r="H86" i="13"/>
  <c r="H87" i="13"/>
  <c r="H561" i="13"/>
  <c r="H560" i="13"/>
  <c r="I337" i="13"/>
  <c r="H165" i="13" l="1"/>
  <c r="H166" i="13"/>
  <c r="I338" i="13"/>
  <c r="J249" i="13"/>
  <c r="J251" i="13"/>
  <c r="J248" i="13"/>
  <c r="J250" i="13"/>
  <c r="J247" i="13"/>
  <c r="J253" i="13"/>
  <c r="J252" i="13"/>
  <c r="H235" i="1"/>
  <c r="H215" i="1"/>
  <c r="H239" i="1"/>
  <c r="H219" i="1"/>
  <c r="I416" i="13"/>
  <c r="I100" i="13"/>
  <c r="H217" i="1"/>
  <c r="H237" i="1"/>
  <c r="J90" i="13"/>
  <c r="J92" i="13"/>
  <c r="J93" i="13"/>
  <c r="J91" i="13"/>
  <c r="J89" i="13"/>
  <c r="J95" i="13"/>
  <c r="J94" i="13"/>
  <c r="J563" i="13"/>
  <c r="J567" i="13"/>
  <c r="J564" i="13"/>
  <c r="J566" i="13"/>
  <c r="J565" i="13"/>
  <c r="J569" i="13"/>
  <c r="J568" i="13"/>
  <c r="J409" i="13"/>
  <c r="J407" i="13"/>
  <c r="J405" i="13"/>
  <c r="J406" i="13"/>
  <c r="J408" i="13"/>
  <c r="J411" i="13"/>
  <c r="J410" i="13"/>
  <c r="I265" i="13"/>
  <c r="J255" i="13"/>
  <c r="I180" i="13"/>
  <c r="I577" i="13"/>
  <c r="H213" i="1"/>
  <c r="H233" i="1"/>
  <c r="J170" i="13" l="1"/>
  <c r="J172" i="13"/>
  <c r="J173" i="13"/>
  <c r="J171" i="13"/>
  <c r="J174" i="13"/>
  <c r="J168" i="13"/>
  <c r="J169" i="13"/>
  <c r="H214" i="1"/>
  <c r="H234" i="1"/>
  <c r="I101" i="13"/>
  <c r="I417" i="13"/>
  <c r="I266" i="13"/>
  <c r="J256" i="13"/>
  <c r="I578" i="13"/>
  <c r="I339" i="13"/>
  <c r="I181" i="13"/>
  <c r="I579" i="13" l="1"/>
  <c r="J570" i="13"/>
  <c r="I182" i="13"/>
  <c r="I418" i="13"/>
  <c r="I267" i="13"/>
  <c r="J258" i="13"/>
  <c r="J257" i="13"/>
  <c r="I340" i="13"/>
  <c r="I102" i="13"/>
  <c r="I419" i="13" l="1"/>
  <c r="I341" i="13"/>
  <c r="I183" i="13"/>
  <c r="I103" i="13"/>
  <c r="I580" i="13"/>
  <c r="I268" i="13"/>
  <c r="I104" i="13" l="1"/>
  <c r="I269" i="13"/>
  <c r="J259" i="13"/>
  <c r="I342" i="13"/>
  <c r="I581" i="13"/>
  <c r="J571" i="13"/>
  <c r="I420" i="13"/>
  <c r="I184" i="13"/>
  <c r="I185" i="13" l="1"/>
  <c r="J176" i="13"/>
  <c r="J175" i="13"/>
  <c r="I582" i="13"/>
  <c r="J572" i="13"/>
  <c r="I270" i="13"/>
  <c r="J260" i="13"/>
  <c r="I421" i="13"/>
  <c r="I343" i="13"/>
  <c r="J334" i="13"/>
  <c r="J333" i="13"/>
  <c r="I105" i="13"/>
  <c r="J96" i="13" s="1"/>
  <c r="I422" i="13" l="1"/>
  <c r="I186" i="13"/>
  <c r="J573" i="13"/>
  <c r="I271" i="13"/>
  <c r="J261" i="13"/>
  <c r="J262" i="13"/>
  <c r="I106" i="13"/>
  <c r="I583" i="13"/>
  <c r="I344" i="13"/>
  <c r="J335" i="13"/>
  <c r="J412" i="13"/>
  <c r="I345" i="13" l="1"/>
  <c r="I107" i="13"/>
  <c r="J97" i="13"/>
  <c r="J98" i="13"/>
  <c r="I187" i="13"/>
  <c r="J178" i="13"/>
  <c r="J177" i="13"/>
  <c r="I584" i="13"/>
  <c r="I423" i="13"/>
  <c r="J413" i="13"/>
  <c r="J414" i="13"/>
  <c r="J575" i="13"/>
  <c r="J574" i="13"/>
  <c r="J336" i="13"/>
  <c r="I272" i="13"/>
  <c r="I108" i="13" l="1"/>
  <c r="I273" i="13"/>
  <c r="J264" i="13"/>
  <c r="J263" i="13"/>
  <c r="I585" i="13"/>
  <c r="J576" i="13"/>
  <c r="I188" i="13"/>
  <c r="I346" i="13"/>
  <c r="J337" i="13"/>
  <c r="I424" i="13"/>
  <c r="J415" i="13"/>
  <c r="J99" i="13"/>
  <c r="I189" i="13" l="1"/>
  <c r="J180" i="13"/>
  <c r="I347" i="13"/>
  <c r="I586" i="13"/>
  <c r="J577" i="13"/>
  <c r="I274" i="13"/>
  <c r="I425" i="13"/>
  <c r="J179" i="13"/>
  <c r="J265" i="13"/>
  <c r="I109" i="13"/>
  <c r="J100" i="13"/>
  <c r="I348" i="13" l="1"/>
  <c r="I275" i="13"/>
  <c r="J266" i="13"/>
  <c r="I426" i="13"/>
  <c r="I587" i="13"/>
  <c r="J578" i="13"/>
  <c r="I110" i="13"/>
  <c r="J416" i="13"/>
  <c r="J338" i="13"/>
  <c r="I190" i="13"/>
  <c r="I111" i="13" l="1"/>
  <c r="J102" i="13"/>
  <c r="I427" i="13"/>
  <c r="J418" i="13" s="1"/>
  <c r="I276" i="13"/>
  <c r="I191" i="13"/>
  <c r="J181" i="13"/>
  <c r="J182" i="13"/>
  <c r="J417" i="13"/>
  <c r="I588" i="13"/>
  <c r="I349" i="13"/>
  <c r="J339" i="13"/>
  <c r="J101" i="13"/>
  <c r="I277" i="13" l="1"/>
  <c r="J268" i="13"/>
  <c r="J267" i="13"/>
  <c r="I428" i="13"/>
  <c r="I350" i="13"/>
  <c r="I589" i="13"/>
  <c r="J580" i="13"/>
  <c r="J579" i="13"/>
  <c r="I192" i="13"/>
  <c r="J340" i="13"/>
  <c r="I112" i="13"/>
  <c r="I351" i="13" l="1"/>
  <c r="I590" i="13"/>
  <c r="I429" i="13"/>
  <c r="J419" i="13"/>
  <c r="J341" i="13"/>
  <c r="I113" i="13"/>
  <c r="J104" i="13"/>
  <c r="J103" i="13"/>
  <c r="I193" i="13"/>
  <c r="J183" i="13"/>
  <c r="J342" i="13"/>
  <c r="I278" i="13"/>
  <c r="J269" i="13" s="1"/>
  <c r="I114" i="13" l="1"/>
  <c r="I591" i="13"/>
  <c r="J581" i="13"/>
  <c r="J582" i="13"/>
  <c r="I194" i="13"/>
  <c r="J184" i="13"/>
  <c r="J185" i="13"/>
  <c r="I279" i="13"/>
  <c r="J270" i="13"/>
  <c r="I352" i="13"/>
  <c r="J105" i="13"/>
  <c r="I430" i="13"/>
  <c r="J421" i="13" s="1"/>
  <c r="J420" i="13"/>
  <c r="I431" i="13" l="1"/>
  <c r="J422" i="13"/>
  <c r="I280" i="13"/>
  <c r="I592" i="13"/>
  <c r="I353" i="13"/>
  <c r="J343" i="13"/>
  <c r="J344" i="13"/>
  <c r="I115" i="13"/>
  <c r="J271" i="13"/>
  <c r="I195" i="13"/>
  <c r="I593" i="13" l="1"/>
  <c r="I196" i="13"/>
  <c r="J187" i="13"/>
  <c r="I281" i="13"/>
  <c r="J272" i="13"/>
  <c r="I354" i="13"/>
  <c r="J584" i="13"/>
  <c r="I116" i="13"/>
  <c r="J106" i="13"/>
  <c r="J107" i="13"/>
  <c r="J186" i="13"/>
  <c r="I432" i="13"/>
  <c r="J583" i="13"/>
  <c r="I197" i="13" l="1"/>
  <c r="I355" i="13"/>
  <c r="J345" i="13"/>
  <c r="I282" i="13"/>
  <c r="I594" i="13"/>
  <c r="I117" i="13"/>
  <c r="J108" i="13"/>
  <c r="I433" i="13"/>
  <c r="J424" i="13"/>
  <c r="J423" i="13"/>
  <c r="J188" i="13"/>
  <c r="J346" i="13"/>
  <c r="I118" i="13" l="1"/>
  <c r="J109" i="13"/>
  <c r="I595" i="13"/>
  <c r="J585" i="13"/>
  <c r="I198" i="13"/>
  <c r="J189" i="13"/>
  <c r="I356" i="13"/>
  <c r="I434" i="13"/>
  <c r="I283" i="13"/>
  <c r="J274" i="13"/>
  <c r="J273" i="13"/>
  <c r="J347" i="13"/>
  <c r="I596" i="13" l="1"/>
  <c r="I435" i="13"/>
  <c r="J425" i="13"/>
  <c r="J426" i="13"/>
  <c r="I284" i="13"/>
  <c r="J586" i="13"/>
  <c r="I357" i="13"/>
  <c r="I119" i="13"/>
  <c r="I199" i="13"/>
  <c r="J587" i="13"/>
  <c r="I436" i="13" l="1"/>
  <c r="I120" i="13"/>
  <c r="J110" i="13"/>
  <c r="I200" i="13"/>
  <c r="J191" i="13"/>
  <c r="J190" i="13"/>
  <c r="I285" i="13"/>
  <c r="J276" i="13" s="1"/>
  <c r="J348" i="13"/>
  <c r="J275" i="13"/>
  <c r="I597" i="13"/>
  <c r="J588" i="13"/>
  <c r="I358" i="13"/>
  <c r="I598" i="13" l="1"/>
  <c r="J589" i="13"/>
  <c r="I201" i="13"/>
  <c r="I121" i="13"/>
  <c r="J112" i="13"/>
  <c r="I437" i="13"/>
  <c r="J428" i="13"/>
  <c r="J427" i="13"/>
  <c r="I359" i="13"/>
  <c r="J349" i="13"/>
  <c r="J111" i="13"/>
  <c r="I286" i="13"/>
  <c r="I202" i="13" l="1"/>
  <c r="J193" i="13"/>
  <c r="J192" i="13"/>
  <c r="I360" i="13"/>
  <c r="J350" i="13"/>
  <c r="J351" i="13"/>
  <c r="I438" i="13"/>
  <c r="J429" i="13"/>
  <c r="I122" i="13"/>
  <c r="I287" i="13"/>
  <c r="J277" i="13"/>
  <c r="J113" i="13"/>
  <c r="I599" i="13"/>
  <c r="I361" i="13" l="1"/>
  <c r="I123" i="13"/>
  <c r="J352" i="13"/>
  <c r="I600" i="13"/>
  <c r="J590" i="13"/>
  <c r="I288" i="13"/>
  <c r="J278" i="13"/>
  <c r="I439" i="13"/>
  <c r="I203" i="13"/>
  <c r="J194" i="13"/>
  <c r="I601" i="13" l="1"/>
  <c r="I204" i="13"/>
  <c r="J195" i="13"/>
  <c r="I289" i="13"/>
  <c r="J279" i="13"/>
  <c r="J280" i="13"/>
  <c r="I124" i="13"/>
  <c r="J114" i="13"/>
  <c r="J591" i="13"/>
  <c r="J592" i="13"/>
  <c r="I362" i="13"/>
  <c r="I440" i="13"/>
  <c r="J430" i="13"/>
  <c r="I441" i="13" l="1"/>
  <c r="I125" i="13"/>
  <c r="J115" i="13"/>
  <c r="J116" i="13"/>
  <c r="I205" i="13"/>
  <c r="J196" i="13" s="1"/>
  <c r="I363" i="13"/>
  <c r="I602" i="13"/>
  <c r="J431" i="13"/>
  <c r="J432" i="13"/>
  <c r="J353" i="13"/>
  <c r="I290" i="13"/>
  <c r="I291" i="13" l="1"/>
  <c r="J282" i="13"/>
  <c r="J281" i="13"/>
  <c r="I126" i="13"/>
  <c r="I364" i="13"/>
  <c r="J355" i="13"/>
  <c r="J354" i="13"/>
  <c r="I442" i="13"/>
  <c r="I603" i="13"/>
  <c r="J593" i="13"/>
  <c r="J594" i="13"/>
  <c r="J117" i="13"/>
  <c r="I206" i="13"/>
  <c r="J197" i="13"/>
  <c r="I443" i="13" l="1"/>
  <c r="J434" i="13"/>
  <c r="J433" i="13"/>
  <c r="I127" i="13"/>
  <c r="I365" i="13"/>
  <c r="I604" i="13"/>
  <c r="I207" i="13"/>
  <c r="J198" i="13"/>
  <c r="I292" i="13"/>
  <c r="I293" i="13" l="1"/>
  <c r="J283" i="13"/>
  <c r="J284" i="13"/>
  <c r="I128" i="13"/>
  <c r="J118" i="13"/>
  <c r="I605" i="13"/>
  <c r="J596" i="13"/>
  <c r="J595" i="13"/>
  <c r="J119" i="13"/>
  <c r="I208" i="13"/>
  <c r="J199" i="13"/>
  <c r="I366" i="13"/>
  <c r="J357" i="13" s="1"/>
  <c r="J356" i="13"/>
  <c r="I444" i="13"/>
  <c r="I129" i="13" l="1"/>
  <c r="I367" i="13"/>
  <c r="J358" i="13"/>
  <c r="J120" i="13"/>
  <c r="I209" i="13"/>
  <c r="J200" i="13" s="1"/>
  <c r="I294" i="13"/>
  <c r="I445" i="13"/>
  <c r="J435" i="13"/>
  <c r="I606" i="13"/>
  <c r="I446" i="13" l="1"/>
  <c r="I295" i="13"/>
  <c r="J285" i="13"/>
  <c r="I368" i="13"/>
  <c r="J359" i="13"/>
  <c r="I130" i="13"/>
  <c r="J121" i="13"/>
  <c r="I607" i="13"/>
  <c r="J598" i="13"/>
  <c r="J597" i="13"/>
  <c r="J437" i="13"/>
  <c r="I210" i="13"/>
  <c r="J436" i="13"/>
  <c r="I296" i="13" l="1"/>
  <c r="I608" i="13"/>
  <c r="I369" i="13"/>
  <c r="I211" i="13"/>
  <c r="J202" i="13"/>
  <c r="J201" i="13"/>
  <c r="I447" i="13"/>
  <c r="J286" i="13"/>
  <c r="I131" i="13"/>
  <c r="I132" i="13" l="1"/>
  <c r="J122" i="13"/>
  <c r="I370" i="13"/>
  <c r="I609" i="13"/>
  <c r="J599" i="13"/>
  <c r="I212" i="13"/>
  <c r="I448" i="13"/>
  <c r="J439" i="13"/>
  <c r="J438" i="13"/>
  <c r="J360" i="13"/>
  <c r="I297" i="13"/>
  <c r="J288" i="13" s="1"/>
  <c r="J287" i="13"/>
  <c r="I449" i="13" l="1"/>
  <c r="J440" i="13"/>
  <c r="I371" i="13"/>
  <c r="J362" i="13"/>
  <c r="I610" i="13"/>
  <c r="J600" i="13"/>
  <c r="I213" i="13"/>
  <c r="J204" i="13"/>
  <c r="J361" i="13"/>
  <c r="I298" i="13"/>
  <c r="J203" i="13"/>
  <c r="I133" i="13"/>
  <c r="J123" i="13"/>
  <c r="I299" i="13" l="1"/>
  <c r="J290" i="13"/>
  <c r="I372" i="13"/>
  <c r="I611" i="13"/>
  <c r="I214" i="13"/>
  <c r="J205" i="13"/>
  <c r="J601" i="13"/>
  <c r="I134" i="13"/>
  <c r="J125" i="13"/>
  <c r="J124" i="13"/>
  <c r="I450" i="13"/>
  <c r="J441" i="13"/>
  <c r="J289" i="13"/>
  <c r="I215" i="13" l="1"/>
  <c r="J206" i="13"/>
  <c r="I373" i="13"/>
  <c r="I300" i="13"/>
  <c r="I135" i="13"/>
  <c r="J126" i="13"/>
  <c r="I451" i="13"/>
  <c r="I612" i="13"/>
  <c r="J602" i="13"/>
  <c r="J363" i="13"/>
  <c r="I374" i="13" l="1"/>
  <c r="J364" i="13"/>
  <c r="I136" i="13"/>
  <c r="J127" i="13"/>
  <c r="I452" i="13"/>
  <c r="J442" i="13"/>
  <c r="I613" i="13"/>
  <c r="J604" i="13"/>
  <c r="J603" i="13"/>
  <c r="I216" i="13"/>
  <c r="I301" i="13"/>
  <c r="J291" i="13"/>
  <c r="J365" i="13"/>
  <c r="I614" i="13" l="1"/>
  <c r="I453" i="13"/>
  <c r="I302" i="13"/>
  <c r="J293" i="13"/>
  <c r="I137" i="13"/>
  <c r="J128" i="13"/>
  <c r="I217" i="13"/>
  <c r="J207" i="13"/>
  <c r="J444" i="13"/>
  <c r="J292" i="13"/>
  <c r="J443" i="13"/>
  <c r="I375" i="13"/>
  <c r="I303" i="13" l="1"/>
  <c r="I218" i="13"/>
  <c r="I376" i="13"/>
  <c r="J366" i="13"/>
  <c r="I454" i="13"/>
  <c r="J208" i="13"/>
  <c r="I138" i="13"/>
  <c r="J209" i="13"/>
  <c r="I615" i="13"/>
  <c r="J605" i="13"/>
  <c r="I139" i="13" l="1"/>
  <c r="I377" i="13"/>
  <c r="J368" i="13"/>
  <c r="I616" i="13"/>
  <c r="J606" i="13"/>
  <c r="I455" i="13"/>
  <c r="J445" i="13"/>
  <c r="I219" i="13"/>
  <c r="J210" i="13"/>
  <c r="J130" i="13"/>
  <c r="J129" i="13"/>
  <c r="J367" i="13"/>
  <c r="I304" i="13"/>
  <c r="J294" i="13"/>
  <c r="I220" i="13" l="1"/>
  <c r="J211" i="13"/>
  <c r="I456" i="13"/>
  <c r="J447" i="13"/>
  <c r="I305" i="13"/>
  <c r="J295" i="13"/>
  <c r="I378" i="13"/>
  <c r="I140" i="13"/>
  <c r="I617" i="13"/>
  <c r="J607" i="13"/>
  <c r="J446" i="13"/>
  <c r="I618" i="13" l="1"/>
  <c r="J609" i="13"/>
  <c r="J608" i="13"/>
  <c r="I379" i="13"/>
  <c r="J369" i="13"/>
  <c r="I141" i="13"/>
  <c r="J131" i="13"/>
  <c r="I457" i="13"/>
  <c r="I306" i="13"/>
  <c r="J296" i="13"/>
  <c r="I221" i="13"/>
  <c r="J448" i="13"/>
  <c r="I307" i="13" l="1"/>
  <c r="J298" i="13"/>
  <c r="J297" i="13"/>
  <c r="I380" i="13"/>
  <c r="I142" i="13"/>
  <c r="J132" i="13"/>
  <c r="J370" i="13"/>
  <c r="J371" i="13"/>
  <c r="I222" i="13"/>
  <c r="J213" i="13"/>
  <c r="J212" i="13"/>
  <c r="I458" i="13"/>
  <c r="I619" i="13"/>
  <c r="I381" i="13" l="1"/>
  <c r="I459" i="13"/>
  <c r="J449" i="13"/>
  <c r="J450" i="13"/>
  <c r="I308" i="13"/>
  <c r="I620" i="13"/>
  <c r="J610" i="13"/>
  <c r="J611" i="13"/>
  <c r="I143" i="13"/>
  <c r="J133" i="13"/>
  <c r="I223" i="13"/>
  <c r="I224" i="13" l="1"/>
  <c r="J215" i="13"/>
  <c r="J214" i="13"/>
  <c r="I621" i="13"/>
  <c r="I460" i="13"/>
  <c r="I382" i="13"/>
  <c r="J373" i="13"/>
  <c r="J372" i="13"/>
  <c r="I144" i="13"/>
  <c r="J134" i="13"/>
  <c r="I309" i="13"/>
  <c r="J299" i="13"/>
  <c r="I461" i="13" l="1"/>
  <c r="J451" i="13"/>
  <c r="J452" i="13"/>
  <c r="I310" i="13"/>
  <c r="I622" i="13"/>
  <c r="J613" i="13"/>
  <c r="J612" i="13"/>
  <c r="I383" i="13"/>
  <c r="J374" i="13"/>
  <c r="J300" i="13"/>
  <c r="I145" i="13"/>
  <c r="J135" i="13"/>
  <c r="I225" i="13"/>
  <c r="I146" i="13" l="1"/>
  <c r="J137" i="13"/>
  <c r="I226" i="13"/>
  <c r="J216" i="13"/>
  <c r="J136" i="13"/>
  <c r="I384" i="13"/>
  <c r="I462" i="13"/>
  <c r="I623" i="13"/>
  <c r="I311" i="13"/>
  <c r="J302" i="13"/>
  <c r="J301" i="13"/>
  <c r="I227" i="13" l="1"/>
  <c r="I624" i="13"/>
  <c r="J614" i="13"/>
  <c r="J615" i="13"/>
  <c r="I385" i="13"/>
  <c r="J218" i="13"/>
  <c r="J217" i="13"/>
  <c r="I463" i="13"/>
  <c r="J453" i="13"/>
  <c r="I312" i="13"/>
  <c r="I147" i="13"/>
  <c r="J375" i="13"/>
  <c r="I464" i="13" l="1"/>
  <c r="I625" i="13"/>
  <c r="J616" i="13"/>
  <c r="I313" i="13"/>
  <c r="J303" i="13"/>
  <c r="I228" i="13"/>
  <c r="I148" i="13"/>
  <c r="J139" i="13"/>
  <c r="J138" i="13"/>
  <c r="J454" i="13"/>
  <c r="I386" i="13"/>
  <c r="J376" i="13"/>
  <c r="I229" i="13" l="1"/>
  <c r="I314" i="13"/>
  <c r="J305" i="13"/>
  <c r="J304" i="13"/>
  <c r="I387" i="13"/>
  <c r="J378" i="13"/>
  <c r="J219" i="13"/>
  <c r="I149" i="13"/>
  <c r="I626" i="13"/>
  <c r="J617" i="13"/>
  <c r="J220" i="13"/>
  <c r="J377" i="13"/>
  <c r="I465" i="13"/>
  <c r="J455" i="13"/>
  <c r="I466" i="13" l="1"/>
  <c r="J456" i="13"/>
  <c r="I627" i="13"/>
  <c r="I150" i="13"/>
  <c r="J141" i="13"/>
  <c r="I315" i="13"/>
  <c r="J140" i="13"/>
  <c r="I230" i="13"/>
  <c r="I388" i="13"/>
  <c r="I316" i="13" l="1"/>
  <c r="J307" i="13"/>
  <c r="J306" i="13"/>
  <c r="I628" i="13"/>
  <c r="J619" i="13"/>
  <c r="I389" i="13"/>
  <c r="J379" i="13"/>
  <c r="I231" i="13"/>
  <c r="J222" i="13"/>
  <c r="J221" i="13"/>
  <c r="I151" i="13"/>
  <c r="J618" i="13"/>
  <c r="I467" i="13"/>
  <c r="J457" i="13"/>
  <c r="I390" i="13" l="1"/>
  <c r="I232" i="13"/>
  <c r="I629" i="13"/>
  <c r="I468" i="13"/>
  <c r="J459" i="13"/>
  <c r="J458" i="13"/>
  <c r="J380" i="13"/>
  <c r="I152" i="13"/>
  <c r="J142" i="13"/>
  <c r="J143" i="13"/>
  <c r="I317" i="13"/>
  <c r="I630" i="13" l="1"/>
  <c r="J621" i="13"/>
  <c r="I233" i="13"/>
  <c r="J223" i="13"/>
  <c r="I318" i="13"/>
  <c r="J309" i="13"/>
  <c r="J308" i="13"/>
  <c r="I469" i="13"/>
  <c r="J224" i="13"/>
  <c r="I391" i="13"/>
  <c r="I153" i="13"/>
  <c r="J381" i="13"/>
  <c r="J620" i="13"/>
  <c r="I154" i="13" l="1"/>
  <c r="J144" i="13"/>
  <c r="I319" i="13"/>
  <c r="J310" i="13"/>
  <c r="I234" i="13"/>
  <c r="I392" i="13"/>
  <c r="J383" i="13"/>
  <c r="J382" i="13"/>
  <c r="I470" i="13"/>
  <c r="J460" i="13"/>
  <c r="J461" i="13"/>
  <c r="I631" i="13"/>
  <c r="I235" i="13" l="1"/>
  <c r="J225" i="13"/>
  <c r="I471" i="13"/>
  <c r="J462" i="13"/>
  <c r="I632" i="13"/>
  <c r="J622" i="13"/>
  <c r="I393" i="13"/>
  <c r="I155" i="13"/>
  <c r="J145" i="13"/>
  <c r="I633" i="13" l="1"/>
  <c r="I634" i="13" s="1"/>
  <c r="I635" i="13" s="1"/>
  <c r="J625" i="13"/>
  <c r="I472" i="13"/>
  <c r="J463" i="13"/>
  <c r="I394" i="13"/>
  <c r="J384" i="13"/>
  <c r="J385" i="13"/>
  <c r="I156" i="13"/>
  <c r="J146" i="13"/>
  <c r="J623" i="13"/>
  <c r="J624" i="13"/>
  <c r="J626" i="13"/>
  <c r="I236" i="13"/>
  <c r="J226" i="13"/>
  <c r="I237" i="13" l="1"/>
  <c r="J228" i="13" s="1"/>
  <c r="J227" i="13"/>
  <c r="I473" i="13"/>
  <c r="I157" i="13"/>
  <c r="I158" i="13" s="1"/>
  <c r="I159" i="13" s="1"/>
  <c r="I160" i="13" s="1"/>
  <c r="I161" i="13" s="1"/>
  <c r="J150" i="13"/>
  <c r="J152" i="13"/>
  <c r="I395" i="13"/>
  <c r="J386" i="13"/>
  <c r="J147" i="13"/>
  <c r="J464" i="13"/>
  <c r="I474" i="13" l="1"/>
  <c r="J465" i="13"/>
  <c r="J151" i="13"/>
  <c r="J149" i="13"/>
  <c r="J148" i="13"/>
  <c r="I396" i="13"/>
  <c r="J387" i="13"/>
  <c r="I238" i="13"/>
  <c r="J229" i="13"/>
  <c r="I239" i="13" l="1"/>
  <c r="I240" i="13" s="1"/>
  <c r="J230" i="13"/>
  <c r="J231" i="13"/>
  <c r="I397" i="13"/>
  <c r="J388" i="13"/>
  <c r="I475" i="13"/>
  <c r="I476" i="13" s="1"/>
  <c r="I477" i="13" s="1"/>
  <c r="J466" i="13"/>
  <c r="J468" i="13"/>
  <c r="J467" i="13"/>
  <c r="I398" i="13" l="1"/>
  <c r="J389" i="13"/>
</calcChain>
</file>

<file path=xl/sharedStrings.xml><?xml version="1.0" encoding="utf-8"?>
<sst xmlns="http://schemas.openxmlformats.org/spreadsheetml/2006/main" count="6594" uniqueCount="1082">
  <si>
    <t xml:space="preserve">(*) NOTE: This sheet contains Cell links used in various Input Ranges </t>
  </si>
  <si>
    <t>Name of Inflation file-&gt;</t>
  </si>
  <si>
    <t>C:/nofilename.xls</t>
  </si>
  <si>
    <t>Name of Inflation workbook-&gt;</t>
  </si>
  <si>
    <t>19infval.xls</t>
  </si>
  <si>
    <t>For Answer to:  Which Format(Combo Box Information)</t>
  </si>
  <si>
    <t>Input Range</t>
  </si>
  <si>
    <t>Cell Link</t>
  </si>
  <si>
    <t>Area to check initial input for project life is below</t>
  </si>
  <si>
    <t>Economic Analysis Format(For Non-OSCR)</t>
  </si>
  <si>
    <t>Format-&gt;</t>
  </si>
  <si>
    <t>For Answer to: Which Program(Combo Box Information)</t>
  </si>
  <si>
    <t>Army Working Capital Fund (AWCF) Capital Investment Program</t>
  </si>
  <si>
    <t>Program -&gt;</t>
  </si>
  <si>
    <t>Production Base Support (PBS)</t>
  </si>
  <si>
    <t>Operating and Support Cost Reduction (OSCR) Program</t>
  </si>
  <si>
    <t>Automated Information Systems(AIS)</t>
  </si>
  <si>
    <t>Other</t>
  </si>
  <si>
    <t>For Answer to: Type of Project(Combo Box Information)</t>
  </si>
  <si>
    <t>ADP Hardware/Software &amp; Telecommunications Equipment</t>
  </si>
  <si>
    <t>Type Project-&gt;</t>
  </si>
  <si>
    <t>Facilities Construction</t>
  </si>
  <si>
    <t>Equipment (non-ADPE/Telecomunications)</t>
  </si>
  <si>
    <t>For Answer to: Cost in Constant or Current Dollars?? (Combo Box  Info)</t>
  </si>
  <si>
    <t>Constant Dollars</t>
  </si>
  <si>
    <t>Cost In-&gt;</t>
  </si>
  <si>
    <t>For Answer to: Dollar Units( dollars, thousands, millions) (Combo Box Info)</t>
  </si>
  <si>
    <t xml:space="preserve"> ($)</t>
  </si>
  <si>
    <t xml:space="preserve"> ($K)</t>
  </si>
  <si>
    <t>Dollar Units-&gt;</t>
  </si>
  <si>
    <t xml:space="preserve"> ($M)</t>
  </si>
  <si>
    <t>For Answer to: Decimal Places(0,1,2,3) (Combo Box Info)</t>
  </si>
  <si>
    <t>Area to check initial input for Number of Decimal Places</t>
  </si>
  <si>
    <t>Choice f/ Decimal Places-&gt;</t>
  </si>
  <si>
    <t>Num of  Decimal Places-&gt;</t>
  </si>
  <si>
    <t>(*)  NOTE: I need to make the cell (B82) reference the first year off of the inflation tables being used in this spreadsheet</t>
  </si>
  <si>
    <t>&lt;-For Answer to: Base Year Of Dollars, When Project Starts(Combo Box Info)</t>
  </si>
  <si>
    <t>These two columns are required to adjust the "Base Year" and "Project Starts" values as saved in the "*.txt" file (if the inflation table was updated since the file was saved) - need to adjust because each year the inflation table drops one year out and a</t>
  </si>
  <si>
    <t xml:space="preserve">&lt;-Input Range(for Base Yr and Project Start) </t>
  </si>
  <si>
    <t>Old choice</t>
  </si>
  <si>
    <t>Year in old INFL table</t>
  </si>
  <si>
    <t>New choice</t>
  </si>
  <si>
    <t>Year in Current INFL table</t>
  </si>
  <si>
    <t>Available Choices in Current lookup table for "Base Year" and "Project Starts"</t>
  </si>
  <si>
    <t>Base Yr-&gt;</t>
  </si>
  <si>
    <t>Base Year input from Dialog1-&gt;</t>
  </si>
  <si>
    <t>Project Start-&gt;</t>
  </si>
  <si>
    <t>&lt;==Last FY in  Infl Table</t>
  </si>
  <si>
    <t xml:space="preserve">      currently loaded in model</t>
  </si>
  <si>
    <t>Adjust Year?</t>
  </si>
  <si>
    <t>Yes</t>
  </si>
  <si>
    <t>&lt;==Last FY in Infl Table</t>
  </si>
  <si>
    <t xml:space="preserve"> Old Base yr choice</t>
  </si>
  <si>
    <t xml:space="preserve">      that was loaded in </t>
  </si>
  <si>
    <t xml:space="preserve"> Old Project Start choice</t>
  </si>
  <si>
    <t xml:space="preserve">      the model at the time </t>
  </si>
  <si>
    <t xml:space="preserve">       Adjusted Base yr choice</t>
  </si>
  <si>
    <t xml:space="preserve">      the input data was </t>
  </si>
  <si>
    <t xml:space="preserve">       Adjusted Project Start choice</t>
  </si>
  <si>
    <t xml:space="preserve">     saved  to a  " *.txt"  file </t>
  </si>
  <si>
    <t>For Answer to: Project Life, Economic Life, Hard Savings Begins(Combo Box Info)</t>
  </si>
  <si>
    <t>&lt;-Input Range</t>
  </si>
  <si>
    <t>Project Life-&gt;</t>
  </si>
  <si>
    <t>Econ Lf Stat Quo-&gt;</t>
  </si>
  <si>
    <t>Econ Lf Alt A-&gt;</t>
  </si>
  <si>
    <t>Econ Lf Alt B-&gt;</t>
  </si>
  <si>
    <t>Econ Lf Alt C-&gt;</t>
  </si>
  <si>
    <t>Econ Lf Alt D-&gt;</t>
  </si>
  <si>
    <t>Hard Savings limited to 10 years from first year project begins or project life which ever comes first</t>
  </si>
  <si>
    <t>Alter A Hsave Begin-&gt;</t>
  </si>
  <si>
    <t xml:space="preserve">   Alter A Last Proj Year Hsave-&gt;</t>
  </si>
  <si>
    <t>Alter B Hsave Begin-&gt;</t>
  </si>
  <si>
    <t xml:space="preserve">   Alter B Last Proj Year Hsave-&gt;</t>
  </si>
  <si>
    <t>Alter C Hsave Begin-&gt;</t>
  </si>
  <si>
    <t xml:space="preserve">   Alter C Last Proj Year Hsave-&gt;</t>
  </si>
  <si>
    <t>Alter D Hsave Begin-&gt;</t>
  </si>
  <si>
    <t>For Answer to: Which Alternative are feasible(Check Box Information)</t>
  </si>
  <si>
    <t>Status Quo feas-&gt;</t>
  </si>
  <si>
    <t>Alter A feas-&gt;</t>
  </si>
  <si>
    <t>Alter B feas-&gt;</t>
  </si>
  <si>
    <t>Alter C feas-&gt;</t>
  </si>
  <si>
    <t>Alter D feas-&gt;</t>
  </si>
  <si>
    <t># of feasible alterns (not incl sq)</t>
  </si>
  <si>
    <t>For Answers to: INFLATION table(Investment Cost)(Combo Box Info)</t>
  </si>
  <si>
    <t>GuidanceDate</t>
  </si>
  <si>
    <t>Source</t>
  </si>
  <si>
    <t>BaseYr in use</t>
  </si>
  <si>
    <t>Research, Development, Test &amp; Evaluation (RDTE) Appropriation</t>
  </si>
  <si>
    <t>Alter A Inv Infl tbl-&gt;</t>
  </si>
  <si>
    <t>Aircraft Procurement Army (APA) Appropriation</t>
  </si>
  <si>
    <t>Alter B Inv Infl tbl-&gt;</t>
  </si>
  <si>
    <t>Missile Procurement Army (MIPA) Appropriation</t>
  </si>
  <si>
    <t>Alter C Inv Infl tbl-&gt;</t>
  </si>
  <si>
    <t>Weapons/Track Combat Vehicle (WTCV) Appropriation</t>
  </si>
  <si>
    <t>Alter D Inv Infl tbl-&gt;</t>
  </si>
  <si>
    <t>Ammunition Procurement (AMMO) Appropriation</t>
  </si>
  <si>
    <t>Other Procurement Army (OPA) Appropriation</t>
  </si>
  <si>
    <t>Operation and Maintenance Army (OMA) Appropriation</t>
  </si>
  <si>
    <t>Military Construction Army (MCA) Appropriation</t>
  </si>
  <si>
    <t>(*) NOTE: When compared to listing above, Number 1 &amp; 7 were switched so that existing .txt files could still be used (OMA used to be the only option below here, it was choice number 1)</t>
  </si>
  <si>
    <t>For Answers to: INFLATION table(Operating Costs)(Combo Box Info)</t>
  </si>
  <si>
    <t>Alter A Opr Infl tbl-&gt;</t>
  </si>
  <si>
    <t>Alter B Opr Infl tbl-&gt;</t>
  </si>
  <si>
    <t>Alter C Opr Infl tbl-&gt;</t>
  </si>
  <si>
    <t>Alter D Opr Infl tbl-&gt;</t>
  </si>
  <si>
    <t>For Answers to: PRIMARY REASON FOR JUSTIFYING INVESTMENT(Combo Box Info)</t>
  </si>
  <si>
    <t>Replacement.</t>
  </si>
  <si>
    <t>Alt A Primary -&gt;</t>
  </si>
  <si>
    <t xml:space="preserve">Productivity. </t>
  </si>
  <si>
    <t>Alt B Primary -&gt;</t>
  </si>
  <si>
    <t xml:space="preserve">New Mission. </t>
  </si>
  <si>
    <t>Alt C Primary -&gt;</t>
  </si>
  <si>
    <t>Environmental.</t>
  </si>
  <si>
    <t>Alt D Primary -&gt;</t>
  </si>
  <si>
    <t xml:space="preserve"> </t>
  </si>
  <si>
    <t>Replacement:    Unsafe, beyond economical repair, or inoperative/unusable assets</t>
  </si>
  <si>
    <t>Productivity:     Improved efficiency (savings) or effectiveness.</t>
  </si>
  <si>
    <t>New Mission:     Required new capability or capacity that cannnot be met with current equipment or facilities</t>
  </si>
  <si>
    <t>Environmental   :  Investment for environmental or hazardous reduction including regulatory agency mandated requirement</t>
  </si>
  <si>
    <t>For Answer to: Use to Column to Calculate Hard Savings (Combo Box Info) (If status Quo is not feasible than the fill range is located in column "O"</t>
  </si>
  <si>
    <t>See if User said "Yes- Savings" to status quo alternative but "No - Savings" to alterntive A or alternative B (or vice versa)</t>
  </si>
  <si>
    <t>No</t>
  </si>
  <si>
    <t>Status Quo-&gt;</t>
  </si>
  <si>
    <t>n/a</t>
  </si>
  <si>
    <t>Alternative A-&gt;</t>
  </si>
  <si>
    <t>Alternative B-&gt;</t>
  </si>
  <si>
    <t>Alternative C-&gt;</t>
  </si>
  <si>
    <t>Alternative D-&gt;</t>
  </si>
  <si>
    <t>(*) Note: The input range changes based on category of project (ADP,FACILITIES CONSTRUCTION, EQUIPMENT, OTHER) see columns O, P, and Q for other input ranges.</t>
  </si>
  <si>
    <t>For Answer to: To Investment Cost elements (Combo Box Info)</t>
  </si>
  <si>
    <t>"Input Range(ADP)"</t>
  </si>
  <si>
    <t>"Input Range(Construction)"</t>
  </si>
  <si>
    <t>Input Range(Equipment)"</t>
  </si>
  <si>
    <t>"Input Range (Other)"</t>
  </si>
  <si>
    <t>Documentation</t>
  </si>
  <si>
    <t>Building(Acq)</t>
  </si>
  <si>
    <t>Equipment(Acq)</t>
  </si>
  <si>
    <t>Fee</t>
  </si>
  <si>
    <t>Hardware(Acq)</t>
  </si>
  <si>
    <t>Installation</t>
  </si>
  <si>
    <t>Hardware(Devlp)</t>
  </si>
  <si>
    <t>Genl&amp;Admin(G&amp;A)</t>
  </si>
  <si>
    <t>Machinery(Acq)</t>
  </si>
  <si>
    <t>Initial Spares(Acq)</t>
  </si>
  <si>
    <t>Init Spares(Acq)</t>
  </si>
  <si>
    <t xml:space="preserve">Init Construction </t>
  </si>
  <si>
    <t>Plant Rearrangement</t>
  </si>
  <si>
    <t>Testing</t>
  </si>
  <si>
    <t>Land(Acq)</t>
  </si>
  <si>
    <t>Supp Equip(Acq)</t>
  </si>
  <si>
    <t>Land(Acqu)</t>
  </si>
  <si>
    <t>Training</t>
  </si>
  <si>
    <t>Software(Acq)</t>
  </si>
  <si>
    <t>Transportation</t>
  </si>
  <si>
    <t>Software(Devlp)</t>
  </si>
  <si>
    <t>Mobile Home/Trailer</t>
  </si>
  <si>
    <t>Road/Parking Lot</t>
  </si>
  <si>
    <t>Testing(Devlp)</t>
  </si>
  <si>
    <t>For Answer to: O&amp;S Cost elements (Combo Box Info)</t>
  </si>
  <si>
    <t>Communication</t>
  </si>
  <si>
    <t>Communications</t>
  </si>
  <si>
    <t>Consum Supplies</t>
  </si>
  <si>
    <t>Data Maint</t>
  </si>
  <si>
    <t>Imputed Insurance</t>
  </si>
  <si>
    <t>Contracts</t>
  </si>
  <si>
    <t>Hrdwr/Sftwre Maint</t>
  </si>
  <si>
    <t>Func User Persnl</t>
  </si>
  <si>
    <t>Imputed Land</t>
  </si>
  <si>
    <t>Labor(Civilian)</t>
  </si>
  <si>
    <t>Hardware Maint</t>
  </si>
  <si>
    <t>Impu Rl Estate Tax</t>
  </si>
  <si>
    <t>Labor(Military)</t>
  </si>
  <si>
    <t>Rent/Lease/Contr</t>
  </si>
  <si>
    <t>Lease/Rent</t>
  </si>
  <si>
    <t>Maint&amp;Repair</t>
  </si>
  <si>
    <t>Replenish Spares</t>
  </si>
  <si>
    <t>Material</t>
  </si>
  <si>
    <t>Software Maint</t>
  </si>
  <si>
    <t>Rent/Lease/Contrac</t>
  </si>
  <si>
    <t>Suppliesl &amp; Consum</t>
  </si>
  <si>
    <t>Utilities</t>
  </si>
  <si>
    <t>Sys Mngt Personl</t>
  </si>
  <si>
    <t>Security</t>
  </si>
  <si>
    <t>Sys Oper Personl</t>
  </si>
  <si>
    <t>Supplies&amp;Consum</t>
  </si>
  <si>
    <t>Sys Sup Personl</t>
  </si>
  <si>
    <t>(*) Note: In the Input Range here I need to use a CHOOSE() since it changes based on the type of project (ADP, Contruction,Equipment,Other)</t>
  </si>
  <si>
    <t>For Answer to: Residual Value elements (Combo Box Info)</t>
  </si>
  <si>
    <t>Building</t>
  </si>
  <si>
    <t>Equipment</t>
  </si>
  <si>
    <t>Hardware</t>
  </si>
  <si>
    <t>Land</t>
  </si>
  <si>
    <t>Machinery</t>
  </si>
  <si>
    <t>Mobl Home/Trailer</t>
  </si>
  <si>
    <t>Software</t>
  </si>
  <si>
    <t>For Answer to: Existing Assets Employed (Combo Box Info)</t>
  </si>
  <si>
    <t>Area to check initial input for have existing assets employed or replaced</t>
  </si>
  <si>
    <t>Existing Assets Employed</t>
  </si>
  <si>
    <t>For Answer to: Existing Assets Replaced (Combo Box Info)</t>
  </si>
  <si>
    <t>For Answer to: Action Officer</t>
  </si>
  <si>
    <t>Name, Office Symbol, Phone</t>
  </si>
  <si>
    <t>For Answer to: Clear Data for This Alternative( Information)</t>
  </si>
  <si>
    <t xml:space="preserve">Clear DATA </t>
  </si>
  <si>
    <t>For Answer to: Did they press OK on general Infor Screen (1=Yes, 2=No)</t>
  </si>
  <si>
    <t>Did they press OK</t>
  </si>
  <si>
    <t>DO NOT DELETE THE DATA IN THE NEXT FOUR ROWS (white text on white background)!!!!</t>
  </si>
  <si>
    <t>This is the password currently being used in this file</t>
  </si>
  <si>
    <t>rayjoan77700</t>
  </si>
  <si>
    <t>This password is for all sheets,modules,dialog boxes, and entire workbook</t>
  </si>
  <si>
    <t>DO NOT DELETE THE DATA IN THE NEXT 60?ROWS !!!!</t>
  </si>
  <si>
    <t>Note:  Below here is where the users "TOOLBARS" will be identified as "Visible" or "Not Visible"</t>
  </si>
  <si>
    <t xml:space="preserve">          when you first open this workbook</t>
  </si>
  <si>
    <t>TOOLBARS VISIBLE</t>
  </si>
  <si>
    <t>TOTAL # TOOLBARS (BUILTIN and CUSTOM)</t>
  </si>
  <si>
    <t>&lt;== Number of sheets in new worksheet (what the user had set)</t>
  </si>
  <si>
    <t>Below Here is where the filename to get the data from or save the data to is stored</t>
  </si>
  <si>
    <t>C:\Users\matt.peck\Documents\Data1.txt</t>
  </si>
  <si>
    <t>Below here is set to=  1 if user had "CellDragAndDrop" set to True, 2 = user had "CellDragAndDrop" set to False</t>
  </si>
  <si>
    <t>STATUS QUO</t>
  </si>
  <si>
    <t>(   COSTS IN  FY     :</t>
  </si>
  <si>
    <t>(    DOLLAR UNITS :</t>
  </si>
  <si>
    <t xml:space="preserve">                                 )</t>
  </si>
  <si>
    <t>DESCRIPTION   ====&gt;</t>
  </si>
  <si>
    <t>ECONOMIC LIFE ===&gt;</t>
  </si>
  <si>
    <t xml:space="preserve">  years</t>
  </si>
  <si>
    <t>OPERATING &amp; SUPPORT</t>
  </si>
  <si>
    <t xml:space="preserve">           COST ELEMENT===&gt;</t>
  </si>
  <si>
    <t xml:space="preserve">Use Element To Calculate </t>
  </si>
  <si>
    <t xml:space="preserve">        " HARD SAVINGS" ?=&gt;</t>
  </si>
  <si>
    <t>Project Year</t>
  </si>
  <si>
    <t>Fiscal Year</t>
  </si>
  <si>
    <t>Cost Label-&gt;</t>
  </si>
  <si>
    <t xml:space="preserve">TOTAL           O&amp;S Cost </t>
  </si>
  <si>
    <t>Amount To Use   When Calculating "Hard Savings"</t>
  </si>
  <si>
    <t xml:space="preserve">                          Total        $</t>
  </si>
  <si>
    <t xml:space="preserve">          % of Total 0&amp;S cost  </t>
  </si>
  <si>
    <t xml:space="preserve">    % of  Amount f/Savings  </t>
  </si>
  <si>
    <t xml:space="preserve">   RESIDUAL VALUE</t>
  </si>
  <si>
    <t xml:space="preserve">        ELEMENT==========&gt;</t>
  </si>
  <si>
    <t>VALUE $</t>
  </si>
  <si>
    <t>TOTAL $</t>
  </si>
  <si>
    <t>BELOW HERE IS USED TO CALCULATE "SAVINGS" BASED ON ANSWERS PROVIDED ABOVE (rows should be hidden)</t>
  </si>
  <si>
    <t>TOTAL:  $</t>
  </si>
  <si>
    <t>ABOVE HERE IS USED TO CALCULATE "SAVINGS" BASED ON ANSWERS PROVIDED ABOVE</t>
  </si>
  <si>
    <t xml:space="preserve">                    :   Leave Blank</t>
  </si>
  <si>
    <t>Environmental:  Investment for environmental or hazardous reduction including regulatory agency mandated requirement</t>
  </si>
  <si>
    <t>New Mission :   Required new capability or capacity that cannot be met with current equipment or facilities</t>
  </si>
  <si>
    <t>Productivity   :   Improved efficiency (savings) or effectiveness.</t>
  </si>
  <si>
    <t>Replacement :  Unsafe, beyond economical repair, or inoperative/unusable assets</t>
  </si>
  <si>
    <t xml:space="preserve">                                 Choices:</t>
  </si>
  <si>
    <t>JUSTIFYING INVESTMENT=&gt;</t>
  </si>
  <si>
    <t>PRIMARY REASON FOR</t>
  </si>
  <si>
    <t>TOTAL</t>
  </si>
  <si>
    <t xml:space="preserve">      ELEMENT=========&gt;</t>
  </si>
  <si>
    <t>RESIDUAL VALUE</t>
  </si>
  <si>
    <t xml:space="preserve">     % of Amount f/Savings  </t>
  </si>
  <si>
    <t xml:space="preserve">                          Total         $</t>
  </si>
  <si>
    <t>Amount To Use   When Calculating   "Hard Savings"</t>
  </si>
  <si>
    <t>TOTAL           O&amp;S Cost</t>
  </si>
  <si>
    <t xml:space="preserve">         "HARD SAVINGS" ?=&gt;</t>
  </si>
  <si>
    <t xml:space="preserve">     COST ELEMENT=====&gt;</t>
  </si>
  <si>
    <t>Total Assets Replaced $</t>
  </si>
  <si>
    <t xml:space="preserve">      to be replaced</t>
  </si>
  <si>
    <t>EXISTING ASSETS</t>
  </si>
  <si>
    <t>Total Assets Employed $</t>
  </si>
  <si>
    <t xml:space="preserve">      to be employed</t>
  </si>
  <si>
    <t xml:space="preserve">     % of Total Investment  </t>
  </si>
  <si>
    <t xml:space="preserve">                                Total   $</t>
  </si>
  <si>
    <t xml:space="preserve">       COST  ELEMENT====&gt;</t>
  </si>
  <si>
    <t xml:space="preserve">INVESTMENT </t>
  </si>
  <si>
    <t>ALTERNATIVE A</t>
  </si>
  <si>
    <t>ALTERNATIVE B</t>
  </si>
  <si>
    <t xml:space="preserve">                              Total     $</t>
  </si>
  <si>
    <t xml:space="preserve">          COST ELEMENT====&gt;</t>
  </si>
  <si>
    <t>Use Element To Calculate</t>
  </si>
  <si>
    <t xml:space="preserve">         "HARD SAVINGS" ? =&gt;</t>
  </si>
  <si>
    <t>Amount To Use When Calculating "Hard Savings"</t>
  </si>
  <si>
    <t>ALTERNATIVE C</t>
  </si>
  <si>
    <t>ALTERNATIVE D</t>
  </si>
  <si>
    <t>(*) NOTE:  This screen is for display only, There are no input areas within this worksheet</t>
  </si>
  <si>
    <t>SAVINGS DISPLAY</t>
  </si>
  <si>
    <t xml:space="preserve">A.     ALTERNATIVE    "A"    ADJUSTED INVESTMENT COST  =  </t>
  </si>
  <si>
    <t xml:space="preserve">                              "New Investment" +"Existing Assets Employed"  - "Existing Assets Replaced"</t>
  </si>
  <si>
    <t>6a.</t>
  </si>
  <si>
    <t>6b.</t>
  </si>
  <si>
    <t>A1.</t>
  </si>
  <si>
    <t>A2.</t>
  </si>
  <si>
    <t>Conversion</t>
  </si>
  <si>
    <t>Inflation</t>
  </si>
  <si>
    <t xml:space="preserve">Investment Cost </t>
  </si>
  <si>
    <t>Status  Quo</t>
  </si>
  <si>
    <t>Alternative"A"</t>
  </si>
  <si>
    <t>Factor To</t>
  </si>
  <si>
    <t xml:space="preserve"> Factors</t>
  </si>
  <si>
    <t>Hard Savings</t>
  </si>
  <si>
    <t>Monetary Benefits</t>
  </si>
  <si>
    <t>Base Year</t>
  </si>
  <si>
    <t>dated</t>
  </si>
  <si>
    <t xml:space="preserve">Operating Costs </t>
  </si>
  <si>
    <t>Cumulative</t>
  </si>
  <si>
    <t>Fiscal   Year</t>
  </si>
  <si>
    <t>(Current $'s)              (  Inflated   )</t>
  </si>
  <si>
    <t>(Only hard savings cost elements)</t>
  </si>
  <si>
    <t>Save this column</t>
  </si>
  <si>
    <t>In</t>
  </si>
  <si>
    <t>Constant $</t>
  </si>
  <si>
    <t>Project   Year</t>
  </si>
  <si>
    <t>WhenCostsOccur</t>
  </si>
  <si>
    <t>Savings Year</t>
  </si>
  <si>
    <t>&lt;== the year that cumulative "Monetary Benefits" is greater than or equal to "New Investment"</t>
  </si>
  <si>
    <t>&lt;== cumulative "Monetary Benefits" one year before the year shown above</t>
  </si>
  <si>
    <t xml:space="preserve">            Subtotal</t>
  </si>
  <si>
    <t>NEW INVESTMENT COST  :</t>
  </si>
  <si>
    <t>Residual Value</t>
  </si>
  <si>
    <t xml:space="preserve">VALUE OF EXISTING </t>
  </si>
  <si>
    <t xml:space="preserve">            TOTAL </t>
  </si>
  <si>
    <t xml:space="preserve">ASSETS TO BE </t>
  </si>
  <si>
    <t>EMPLOYED ON PROG.</t>
  </si>
  <si>
    <t>ASSETS REPLACED</t>
  </si>
  <si>
    <t>Adjusted Invest Cost</t>
  </si>
  <si>
    <t>o   Primary Reason for Justifying The Investment for  'Alternative A':</t>
  </si>
  <si>
    <t>o   Primary Reason for Justifying The Investment for  'Alternative B':</t>
  </si>
  <si>
    <t>&lt;==the percentage of the year when "Monetary Benefits" equals "new Investment"</t>
  </si>
  <si>
    <t>&lt;== cumulative during the year shown two rows above (when value in column 'V' = 99)</t>
  </si>
  <si>
    <t xml:space="preserve">In </t>
  </si>
  <si>
    <t>Alternative"B"</t>
  </si>
  <si>
    <t xml:space="preserve">A.     ALTERNATIVE    "B"    ADJUSTED INVESTMENT COST  =  </t>
  </si>
  <si>
    <t xml:space="preserve">A.     ALTERNATIVE    "C"    ADJUSTED INVESTMENT COST  =  </t>
  </si>
  <si>
    <t>Alternative"C"</t>
  </si>
  <si>
    <t>&lt;==the percentage of the year when "Monetary Benefits" equals New Investment</t>
  </si>
  <si>
    <t>o   Primary Reason for Justifying The Investment for  'Alternative C':</t>
  </si>
  <si>
    <t xml:space="preserve">A.     ALTERNATIVE    "D"    ADJUSTED INVESTMENT COST  =  </t>
  </si>
  <si>
    <t>Alternative"D"</t>
  </si>
  <si>
    <t>o   Primary Reason for Justifying The Investment for  'Alternative D':</t>
  </si>
  <si>
    <t>Alternative A</t>
  </si>
  <si>
    <t>Alternative B</t>
  </si>
  <si>
    <t>Alternative C</t>
  </si>
  <si>
    <t>Alternative D</t>
  </si>
  <si>
    <t xml:space="preserve">        o    NEW INVESTMENT COST</t>
  </si>
  <si>
    <t xml:space="preserve"> (Current Dollars)</t>
  </si>
  <si>
    <t>(Discounted  Dollars)</t>
  </si>
  <si>
    <t xml:space="preserve"> ( Summary Information )</t>
  </si>
  <si>
    <t xml:space="preserve">            (column ?)</t>
  </si>
  <si>
    <t xml:space="preserve">             ( column 6g.   )</t>
  </si>
  <si>
    <t xml:space="preserve">             ( column A5.   )</t>
  </si>
  <si>
    <t xml:space="preserve">             ( column 6q.   )</t>
  </si>
  <si>
    <t xml:space="preserve">        o    PRIMARY REASON FOR JUSTIFYING THE INVESTMENT ============&gt;</t>
  </si>
  <si>
    <t>These rates will be used for discounting real (constant dollar) flows</t>
  </si>
  <si>
    <t xml:space="preserve">    Source Document </t>
  </si>
  <si>
    <t>OMB Circular No. A-94 Appendix C</t>
  </si>
  <si>
    <t xml:space="preserve">    Subject</t>
  </si>
  <si>
    <t xml:space="preserve">    Date of Guidance</t>
  </si>
  <si>
    <t xml:space="preserve">   Minimum Project Life </t>
  </si>
  <si>
    <t>&lt;== minimum project life year that this discount rate applies to  (@HLOOKUP function chooses value that is &lt;= what your looking for)</t>
  </si>
  <si>
    <t>&lt;== offset to use when doing @VLOOKUP of range "DISC1"- this is set by doing a @HLOOKUP() (Do not change these)</t>
  </si>
  <si>
    <t xml:space="preserve">   Constant Dollar Rate (Real)   =&gt;</t>
  </si>
  <si>
    <t>&lt;== Discount Rates</t>
  </si>
  <si>
    <t xml:space="preserve">       (enter as a decimal, ex: 0 .027)    </t>
  </si>
  <si>
    <t xml:space="preserve">(DISC 1)     </t>
  </si>
  <si>
    <t>(*) NOTE:   THERE ARE NO INPUT AREAS BELOW HERE              !!!!</t>
  </si>
  <si>
    <t>Midyear</t>
  </si>
  <si>
    <t>Constant</t>
  </si>
  <si>
    <t xml:space="preserve">Project     </t>
  </si>
  <si>
    <t>Dollar</t>
  </si>
  <si>
    <t xml:space="preserve">Year     </t>
  </si>
  <si>
    <t>Single</t>
  </si>
  <si>
    <t>========</t>
  </si>
  <si>
    <t>=======</t>
  </si>
  <si>
    <t>(*) NOTE:   THERE IS NO INFORMATION BELOW HERE         !!!!</t>
  </si>
  <si>
    <t>The first Base Year that was read in from the inflation table files</t>
  </si>
  <si>
    <t>Input Range (Drive)</t>
  </si>
  <si>
    <t>Cell Reference</t>
  </si>
  <si>
    <t>The Base Year that has a double border all of the way around it on the inflation table (assumed this is placed on end of file name only input last two digits)</t>
  </si>
  <si>
    <t>D</t>
  </si>
  <si>
    <t>The Drive that contains the file "??infval.xls" which has inflation factors in them</t>
  </si>
  <si>
    <t>E</t>
  </si>
  <si>
    <t>Research, Development, Test &amp; Evaluation Army (RDTE) Appropriation</t>
  </si>
  <si>
    <t>DASA-CE</t>
  </si>
  <si>
    <t xml:space="preserve">         of inflation table, if before 1st BY adjust to 1st By, if after last BY adjust to last BY</t>
  </si>
  <si>
    <t>Input Range (for last two FY)</t>
  </si>
  <si>
    <t>Yearly</t>
  </si>
  <si>
    <t>Indices to be used</t>
  </si>
  <si>
    <t>00</t>
  </si>
  <si>
    <t>Fiscal</t>
  </si>
  <si>
    <t>Esc.</t>
  </si>
  <si>
    <t>01</t>
  </si>
  <si>
    <t>Year</t>
  </si>
  <si>
    <t>Factor</t>
  </si>
  <si>
    <t>02</t>
  </si>
  <si>
    <t>{1st 9 years</t>
  </si>
  <si>
    <t>03</t>
  </si>
  <si>
    <t>{ composites</t>
  </si>
  <si>
    <t>04</t>
  </si>
  <si>
    <t>{ are from</t>
  </si>
  <si>
    <t>05</t>
  </si>
  <si>
    <t>{AMC's file</t>
  </si>
  <si>
    <t>06</t>
  </si>
  <si>
    <t>{can't calculate</t>
  </si>
  <si>
    <t>07</t>
  </si>
  <si>
    <t>BASE YR&gt;</t>
  </si>
  <si>
    <t>08</t>
  </si>
  <si>
    <t>willalways&gt;</t>
  </si>
  <si>
    <t>09</t>
  </si>
  <si>
    <t>be one    &gt;</t>
  </si>
  <si>
    <t>10</t>
  </si>
  <si>
    <t>of these  &gt;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</si>
  <si>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</si>
  <si>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</si>
  <si>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</si>
  <si>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</si>
  <si>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</si>
  <si>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</si>
  <si>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</si>
  <si>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</si>
  <si>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</si>
  <si>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not applicable - not enough compound indicies</t>
  </si>
  <si>
    <t>Weapons/Track Combat Vehicles (WTCV) Appropriation</t>
  </si>
  <si>
    <t xml:space="preserve">  Military Construction Army (MCA) Appropriation</t>
  </si>
  <si>
    <t xml:space="preserve">          APPROPRIATION OUTLAY RATES</t>
  </si>
  <si>
    <t>RESEARCH, DEVELOPMENT, TEST AND EVALUATION ARMY</t>
  </si>
  <si>
    <t xml:space="preserve">             Outlay Year</t>
  </si>
  <si>
    <t xml:space="preserve">                    AIRCRAFT PROCUREMENT ARMY</t>
  </si>
  <si>
    <t xml:space="preserve">                     MISSILE PROCUREMENT ARMY</t>
  </si>
  <si>
    <t xml:space="preserve">                  WEAPONS TRACK COMBAT VEHICLES ARMY</t>
  </si>
  <si>
    <t xml:space="preserve">                   AMMUNITION PROCUREMENT ARMY</t>
  </si>
  <si>
    <t xml:space="preserve">                     OTHER PROCUREMENT ARMY</t>
  </si>
  <si>
    <t xml:space="preserve">                      OPERATIONS AND MAINTENANCE ARMY</t>
  </si>
  <si>
    <t xml:space="preserve">                      MILITARY CONSTRUCTION ARMY</t>
  </si>
  <si>
    <t>'Column1</t>
  </si>
  <si>
    <t>'Column2</t>
  </si>
  <si>
    <t>'Column3</t>
  </si>
  <si>
    <t>'Column4</t>
  </si>
  <si>
    <t>'Column5</t>
  </si>
  <si>
    <t>'Column6</t>
  </si>
  <si>
    <t>'Column7</t>
  </si>
  <si>
    <t>'Column8</t>
  </si>
  <si>
    <t>'Column9</t>
  </si>
  <si>
    <t>'Column10</t>
  </si>
  <si>
    <t>'Column11</t>
  </si>
  <si>
    <t>'Column12</t>
  </si>
  <si>
    <t>This was created using EATOOL Version ???</t>
  </si>
  <si>
    <t>Data Element</t>
  </si>
  <si>
    <t>THIS IS THE BEGINNING OF THE DATA</t>
  </si>
  <si>
    <t>Which Format</t>
  </si>
  <si>
    <t>Which Program</t>
  </si>
  <si>
    <t>Type of Project</t>
  </si>
  <si>
    <t>Constant or Current</t>
  </si>
  <si>
    <t>Dollar Units</t>
  </si>
  <si>
    <t>Project Starts</t>
  </si>
  <si>
    <t>Project Life</t>
  </si>
  <si>
    <t>Economic life - Status Quo</t>
  </si>
  <si>
    <t>Economic life - Alternative A</t>
  </si>
  <si>
    <t>Economic life - Alternative B</t>
  </si>
  <si>
    <t>Economic life - Alternative C</t>
  </si>
  <si>
    <t>Economic life - Alternative D</t>
  </si>
  <si>
    <t>Hard Savings Begins - Alternative A</t>
  </si>
  <si>
    <t>Hard Savings Begins - Alternative B</t>
  </si>
  <si>
    <t>Hard Savings Begins - Alternative C</t>
  </si>
  <si>
    <t>Hard Savings Begins -  Alternative D</t>
  </si>
  <si>
    <t>Feasible - Status Quo</t>
  </si>
  <si>
    <t>Feasible - Alternative A</t>
  </si>
  <si>
    <t>Feasible - Alternative B</t>
  </si>
  <si>
    <t>Feasible - Alternative C</t>
  </si>
  <si>
    <t>Feasible - Alternative D</t>
  </si>
  <si>
    <t>Investment Inflation Table - Alternative A</t>
  </si>
  <si>
    <t>Investment Inflation Table - Alternative B</t>
  </si>
  <si>
    <t>Investment Inflation Table - Alternative C</t>
  </si>
  <si>
    <t>Investment Inflation Table -  Alternative D</t>
  </si>
  <si>
    <t>Operating Cost Inflation Table - Alternative A</t>
  </si>
  <si>
    <t>Operating Cost Inflation Table - Alternative B</t>
  </si>
  <si>
    <t>Operating Cost Inflation Table - Alternative C</t>
  </si>
  <si>
    <t>Operating Cost Inflation Table - Alternative D</t>
  </si>
  <si>
    <t>Primary reason for Investment - Alternative A</t>
  </si>
  <si>
    <t>Primary reason for Investment - Alternative B</t>
  </si>
  <si>
    <t>Primary reason for Investment - Alternative C</t>
  </si>
  <si>
    <t>Primary reason for Investment - Alternative D</t>
  </si>
  <si>
    <t>Use to Calculate Hard Savings - Status Quo</t>
  </si>
  <si>
    <t>Use to Calculate Hard Savings - Alternative A</t>
  </si>
  <si>
    <t>Use to Calculate Hard Savings - Alternative B</t>
  </si>
  <si>
    <t>Use to Calculate Hard Savings - Alternative C</t>
  </si>
  <si>
    <t>Investment Cost Elements - Status Quo</t>
  </si>
  <si>
    <t>Investment Cost Elements - Alternative A</t>
  </si>
  <si>
    <t>Investment Cost Elements - Alternative B</t>
  </si>
  <si>
    <t>Investment Cost Elements - Alternative C</t>
  </si>
  <si>
    <t>Operating Cost Elements - Status Quo</t>
  </si>
  <si>
    <t>Operating Cost Elements - Alternative A</t>
  </si>
  <si>
    <t>Operating Cost Elements - Alternative B</t>
  </si>
  <si>
    <t>Operating Cost Elements - Alternative C</t>
  </si>
  <si>
    <t>Residual Value Elements - Status Quo</t>
  </si>
  <si>
    <t>Residual Value Elements - Alternative A</t>
  </si>
  <si>
    <t>Residual Value Elements - Alternative B</t>
  </si>
  <si>
    <t>Residual Value Elements - Alternative C</t>
  </si>
  <si>
    <t>Existing Assets Employed Elements - Status Quo</t>
  </si>
  <si>
    <t>Existing Assets Employed Elements - Alternative A</t>
  </si>
  <si>
    <t>Existing Assets Employed Elements - Alternative B</t>
  </si>
  <si>
    <t>Existing Assets Employed Elements - Alternative C</t>
  </si>
  <si>
    <t>Existing Assets Replaced Elements  - Status Quo</t>
  </si>
  <si>
    <t>Existing Assets Replaced Elements - Alternative A</t>
  </si>
  <si>
    <t>Existing Assets Replaced Elements - Alternative B</t>
  </si>
  <si>
    <t>Existing Assets Replaced Elements - Alternative C</t>
  </si>
  <si>
    <t>Action Officer</t>
  </si>
  <si>
    <t>Clear Data</t>
  </si>
  <si>
    <t>Pressed OK</t>
  </si>
  <si>
    <t>Description - Status Quo</t>
  </si>
  <si>
    <t>'</t>
  </si>
  <si>
    <t>Proj Yr 1- Operat&amp;Supp Cost-Status Quo</t>
  </si>
  <si>
    <t>Proj Yr 2- Operat&amp;Supp Cost-Status Quo</t>
  </si>
  <si>
    <t>Proj Yr 3- Operat&amp;Supp Cost-Status Quo</t>
  </si>
  <si>
    <t>Proj Yr 4- Operat&amp;Supp Cost-Status Quo</t>
  </si>
  <si>
    <t>Proj Yr 5- Operat&amp;Supp Cost-Status Quo</t>
  </si>
  <si>
    <t>Proj Yr 6- Operat&amp;Supp Cost-Status Quo</t>
  </si>
  <si>
    <t>Proj Yr 7- Operat&amp;Supp Cost-Status Quo</t>
  </si>
  <si>
    <t>Proj Yr 8- Operat&amp;Supp Cost-Status Quo</t>
  </si>
  <si>
    <t>Proj Yr 9- Operat&amp;Supp Cost-Status Quo</t>
  </si>
  <si>
    <t>Proj Yr 10- Operat&amp;Supp Cost-Status Quo</t>
  </si>
  <si>
    <t>Proj Yr 11- Operat&amp;Supp Cost-Status Quo</t>
  </si>
  <si>
    <t>Proj Yr 12- Operat&amp;Supp Cost-Status Quo</t>
  </si>
  <si>
    <t>Proj Yr 13 Operat&amp;Supp Cost-Status Quo</t>
  </si>
  <si>
    <t>Proj Yr 14- Operat&amp;Supp Cost-Status Quo</t>
  </si>
  <si>
    <t>Proj Yr 15 Operat&amp;Supp Cost-Status Quo</t>
  </si>
  <si>
    <t>Proj Yr 16- Operat&amp;Supp Cost-Status Quo</t>
  </si>
  <si>
    <t>Proj Yr 17- Operat&amp;Supp Cost-Status Quo</t>
  </si>
  <si>
    <t>Proj Yr 18- Operat&amp;Supp Cost-Status Quo</t>
  </si>
  <si>
    <t>Proj Yr 19- Operat&amp;Supp Cost-Status Quo</t>
  </si>
  <si>
    <t>Proj Yr 20- Operat&amp;Supp Cost-Status Quo</t>
  </si>
  <si>
    <t>Proj Yr 21- Operat&amp;Supp Cost-Status Quo</t>
  </si>
  <si>
    <t>Proj Yr 22- Operat&amp;Supp Cost-Status Quo</t>
  </si>
  <si>
    <t>Proj Yr 23- Operat&amp;Supp Cost-Status Quo</t>
  </si>
  <si>
    <t>Proj Yr 24- Operat&amp;Supp Cost-Status Quo</t>
  </si>
  <si>
    <t>Proj Yr 25- Operat&amp;Supp Cost-Status Quo</t>
  </si>
  <si>
    <t>Proj Yr 26- Operat&amp;Supp Cost-Status Quo</t>
  </si>
  <si>
    <t>Proj Yr 27- Operat&amp;Supp Cost-Status Quo</t>
  </si>
  <si>
    <t>Proj Yr 28- Operat&amp;Supp Cost-Status Quo</t>
  </si>
  <si>
    <t>Proj Yr 29- Operat&amp;Supp Cost-Status Quo</t>
  </si>
  <si>
    <t>Proj Yr 30- Operat&amp;Supp Cost-Status Quo</t>
  </si>
  <si>
    <t>Proj Yr 31- Operat&amp;Supp Cost-Status Quo</t>
  </si>
  <si>
    <t>Proj Yr 32- Operat&amp;Supp Cost-Status Quo</t>
  </si>
  <si>
    <t>Residual Value Cost- Status Quo</t>
  </si>
  <si>
    <t>Description - AlternativeA</t>
  </si>
  <si>
    <t>Proj Yr 1- Investment Cost-AlternativeA</t>
  </si>
  <si>
    <t>Proj Yr 2- Investment Cost-AlternativeA</t>
  </si>
  <si>
    <t>Proj Yr 3- Investment Cost-AlternativeA</t>
  </si>
  <si>
    <t>Proj Yr 4- Investment Cost-AlternativeA</t>
  </si>
  <si>
    <t>Proj Yr 5- Investment Cost-AlternativeA</t>
  </si>
  <si>
    <t>Proj Yr 6- Investment Cost-AlternativeA</t>
  </si>
  <si>
    <t>Proj Yr 7- Investment Cost-AlternativeA</t>
  </si>
  <si>
    <t>Proj Yr 8- Investment Cost-AlternativeA</t>
  </si>
  <si>
    <t>Proj Yr 9- Investment Cost-AlternativeA</t>
  </si>
  <si>
    <t>Proj Yr 10- Investment Cost-AlternativeA</t>
  </si>
  <si>
    <t>Proj Yr 11- Investment Cost-AlternativeA</t>
  </si>
  <si>
    <t>Proj Yr 12- Investment Cost-AlternativeA</t>
  </si>
  <si>
    <t>Proj Yr 13- Investment Cost-AlternativeA</t>
  </si>
  <si>
    <t>Proj Yr 14- Investment Cost-AlternativeA</t>
  </si>
  <si>
    <t>Proj Yr 15- Investment Cost-AlternativeA</t>
  </si>
  <si>
    <t>Proj Yr 16- Investment Cost-AlternativeA</t>
  </si>
  <si>
    <t>Proj Yr 17- Investment Cost-AlternativeA</t>
  </si>
  <si>
    <t>Proj Yr 18- Investment Cost-AlternativeA</t>
  </si>
  <si>
    <t>Proj Yr 19- Investment Cost-AlternativeA</t>
  </si>
  <si>
    <t>Proj Yr 20- Investment Cost-AlternativeA</t>
  </si>
  <si>
    <t>Proj Yr 21- Investment Cost-AlternativeA</t>
  </si>
  <si>
    <t>Proj Yr 22- Investment Cost-AlternativeA</t>
  </si>
  <si>
    <t>Proj Yr 23- Investment Cost-AlternativeA</t>
  </si>
  <si>
    <t>Proj Yr 24- Investment Cost-AlternativeA</t>
  </si>
  <si>
    <t>Proj Yr 25- Investment Cost-AlternativeA</t>
  </si>
  <si>
    <t>Proj Yr 26- Investment Cost-AlternativeA</t>
  </si>
  <si>
    <t>Proj Yr 27- Investment Cost-AlternativeA</t>
  </si>
  <si>
    <t>Proj Yr 28- Investment Cost-AlternativeA</t>
  </si>
  <si>
    <t>Proj Yr 29- Investment Cost-AlternativeA</t>
  </si>
  <si>
    <t>Proj Yr 30- Investment Cost-AlternativeA</t>
  </si>
  <si>
    <t>Proj Yr 31- Investment Cost-AlternativeA</t>
  </si>
  <si>
    <t>Proj Yr 32- Investment Cost-AlternativeA</t>
  </si>
  <si>
    <t>Proj Yr 1- Exist Ass Empl Cost-AlternativeA</t>
  </si>
  <si>
    <t>Proj Yr 2- Exist Ass Empl Cost-AlternativeA</t>
  </si>
  <si>
    <t>Proj Yr 3- Exist Ass Empl Cost-AlternativeA</t>
  </si>
  <si>
    <t>Proj Yr 4- Exist Ass Empl Cost-AlternativeA</t>
  </si>
  <si>
    <t>Proj Yr 5- Exist Ass Empl Cost-AlternativeA</t>
  </si>
  <si>
    <t>Proj Yr 6- Exist Ass Empl Cost-AlternativeA</t>
  </si>
  <si>
    <t>Proj Yr 7- Exist Ass Empl Cost-AlternativeA</t>
  </si>
  <si>
    <t>Proj Yr 1- Exist Ass Replcd Cost-AlternativeA</t>
  </si>
  <si>
    <t>Proj Yr 2- Exist Ass Replcd Cost-AlternativeA</t>
  </si>
  <si>
    <t>Proj Yr 3- Exist Ass Replcd Cost-AlternativeA</t>
  </si>
  <si>
    <t>Proj Yr 4- Exist Ass Replcd Cost-AlternativeA</t>
  </si>
  <si>
    <t>Proj Yr 5- Exist Ass Replcd Cost-AlternativeA</t>
  </si>
  <si>
    <t>Proj Yr 6- Exist Ass Replcd Cost-AlternativeA</t>
  </si>
  <si>
    <t>Proj Yr 7- Exist Ass Replcd Cost-AlternativeA</t>
  </si>
  <si>
    <t>Proj Yr 1- Operat&amp;Supp Cost-AlternativeA</t>
  </si>
  <si>
    <t>Proj Yr 2- Operat&amp;Supp Cost-AlternativeA</t>
  </si>
  <si>
    <t>Proj Yr 3- Operat&amp;Supp Cost-AlternativeA</t>
  </si>
  <si>
    <t>Proj Yr 4- Operat&amp;Supp Cost-AlternativeA</t>
  </si>
  <si>
    <t>Proj Yr 5- Operat&amp;Supp Cost-AlternativeA</t>
  </si>
  <si>
    <t>Proj Yr 6- Operat&amp;Supp Cost-AlternativeA</t>
  </si>
  <si>
    <t>Proj Yr 7- Operat&amp;Supp Cost-AlternativeA</t>
  </si>
  <si>
    <t>Proj Yr 8- Operat&amp;Supp Cost-AlternativeA</t>
  </si>
  <si>
    <t>Proj Yr 9- Operat&amp;Supp Cost-AlternativeA</t>
  </si>
  <si>
    <t>Proj Yr 10- Operat&amp;Supp Cost-AlternativeA</t>
  </si>
  <si>
    <t>Proj Yr 11- Operat&amp;Supp Cost-AlternativeA</t>
  </si>
  <si>
    <t>Proj Yr 12- Operat&amp;Supp Cost-AlternativeA</t>
  </si>
  <si>
    <t>Proj Yr 13 Operat&amp;Supp Cost-AlternativeA</t>
  </si>
  <si>
    <t>Proj Yr 14- Operat&amp;Supp Cost-AlternativeA</t>
  </si>
  <si>
    <t>Proj Yr 15 Operat&amp;Supp Cost-AlternativeA</t>
  </si>
  <si>
    <t>Proj Yr 16- Operat&amp;Supp Cost-AlternativeA</t>
  </si>
  <si>
    <t>Proj Yr 17- Operat&amp;Supp Cost-AlternativeA</t>
  </si>
  <si>
    <t>Proj Yr 18- Operat&amp;Supp Cost-AlternativeA</t>
  </si>
  <si>
    <t>Proj Yr 19- Operat&amp;Supp Cost-AlternativeA</t>
  </si>
  <si>
    <t>Proj Yr 20- Operat&amp;Supp Cost-AlternativeA</t>
  </si>
  <si>
    <t>Proj Yr 21- Operat&amp;Supp Cost-AlternativeA</t>
  </si>
  <si>
    <t>Proj Yr 22- Operat&amp;Supp Cost-AlternativeA</t>
  </si>
  <si>
    <t>Proj Yr 23- Operat&amp;Supp Cost-AlternativeA</t>
  </si>
  <si>
    <t>Proj Yr 24- Operat&amp;Supp Cost-AlternativeA</t>
  </si>
  <si>
    <t>Proj Yr 25- Operat&amp;Supp Cost-AlternativeA</t>
  </si>
  <si>
    <t>Proj Yr 26- Operat&amp;Supp Cost-AlternativeA</t>
  </si>
  <si>
    <t>Proj Yr 27- Operat&amp;Supp Cost-AlternativeA</t>
  </si>
  <si>
    <t>Proj Yr 28- Operat&amp;Supp Cost-AlternativeA</t>
  </si>
  <si>
    <t>Proj Yr 29- Operat&amp;Supp Cost-AlternativeA</t>
  </si>
  <si>
    <t>Proj Yr 30- Operat&amp;Supp Cost-AlternativeA</t>
  </si>
  <si>
    <t>Proj Yr 31- Operat&amp;Supp Cost-AlternativeA</t>
  </si>
  <si>
    <t>Proj Yr 32- Operat&amp;Supp Cost-AlternativeA</t>
  </si>
  <si>
    <t>Residual Value Cost- AlternativeA</t>
  </si>
  <si>
    <t>Description - AlternativeB</t>
  </si>
  <si>
    <t>Proj Yr 1- Investment Cost-AlternativeB</t>
  </si>
  <si>
    <t>Proj Yr 2- Investment Cost-AlternativeB</t>
  </si>
  <si>
    <t>Proj Yr 3- Investment Cost-AlternativeB</t>
  </si>
  <si>
    <t>Proj Yr 4- Investment Cost-AlternativeB</t>
  </si>
  <si>
    <t>Proj Yr 5- Investment Cost-AlternativeB</t>
  </si>
  <si>
    <t>Proj Yr 6- Investment Cost-AlternativeB</t>
  </si>
  <si>
    <t>Proj Yr 7- Investment Cost-AlternativeB</t>
  </si>
  <si>
    <t>Proj Yr 8- Investment Cost-AlternativeB</t>
  </si>
  <si>
    <t>Proj Yr 9- Investment Cost-AlternativeB</t>
  </si>
  <si>
    <t>Proj Yr 10- Investment Cost-AlternativeB</t>
  </si>
  <si>
    <t>Proj Yr 11- Investment Cost-AlternativeB</t>
  </si>
  <si>
    <t>Proj Yr 12- Investment Cost-AlternativeB</t>
  </si>
  <si>
    <t>Proj Yr 13- Investment Cost-AlternativeB</t>
  </si>
  <si>
    <t>Proj Yr 14- Investment Cost-AlternativeB</t>
  </si>
  <si>
    <t>Proj Yr 15- Investment Cost-AlternativeB</t>
  </si>
  <si>
    <t>Proj Yr 16- Investment Cost-AlternativeB</t>
  </si>
  <si>
    <t>Proj Yr 17- Investment Cost-AlternativeB</t>
  </si>
  <si>
    <t>Proj Yr 18- Investment Cost-AlternativeB</t>
  </si>
  <si>
    <t>Proj Yr 19- Investment Cost-AlternativeB</t>
  </si>
  <si>
    <t>Proj Yr 20- Investment Cost-AlternativeB</t>
  </si>
  <si>
    <t>Proj Yr 21- Investment Cost-AlternativeB</t>
  </si>
  <si>
    <t>Proj Yr 22- Investment Cost-AlternativeB</t>
  </si>
  <si>
    <t>Proj Yr 23- Investment Cost-AlternativeB</t>
  </si>
  <si>
    <t>Proj Yr 24- Investment Cost-AlternativeB</t>
  </si>
  <si>
    <t>Proj Yr 25- Investment Cost-AlternativeB</t>
  </si>
  <si>
    <t>Proj Yr 26- Investment Cost-AlternativeB</t>
  </si>
  <si>
    <t>Proj Yr 27- Investment Cost-AlternativeB</t>
  </si>
  <si>
    <t>Proj Yr 28- Investment Cost-AlternativeB</t>
  </si>
  <si>
    <t>Proj Yr 29- Investment Cost-AlternativeB</t>
  </si>
  <si>
    <t>Proj Yr 30- Investment Cost-AlternativeB</t>
  </si>
  <si>
    <t>Proj Yr 31- Investment Cost-AlternativeB</t>
  </si>
  <si>
    <t>Proj Yr 32- Investment Cost-AlternativeB</t>
  </si>
  <si>
    <t>Proj Yr 1- Exist Ass Empl Cost-AlternativeB</t>
  </si>
  <si>
    <t>Proj Yr 2- Exist Ass Empl Cost-AlternativeB</t>
  </si>
  <si>
    <t>Proj Yr 3- Exist Ass Empl Cost-AlternativeB</t>
  </si>
  <si>
    <t>Proj Yr 4- Exist Ass Empl Cost-AlternativeB</t>
  </si>
  <si>
    <t>Proj Yr 5- Exist Ass Empl Cost-AlternativeB</t>
  </si>
  <si>
    <t>Proj Yr 6- Exist Ass Empl Cost-AlternativeB</t>
  </si>
  <si>
    <t>Proj Yr 7- Exist Ass Empl Cost-AlternativeB</t>
  </si>
  <si>
    <t>Proj Yr 1- Exist Ass Replcd Cost-AlternativeB</t>
  </si>
  <si>
    <t>Proj Yr 2- Exist Ass Replcd Cost-AlternativeB</t>
  </si>
  <si>
    <t>Proj Yr 3- Exist Ass Replcd Cost-AlternativeB</t>
  </si>
  <si>
    <t>Proj Yr 4- Exist Ass Replcd Cost-AlternativeB</t>
  </si>
  <si>
    <t>Proj Yr 5- Exist Ass Replcd Cost-AlternativeB</t>
  </si>
  <si>
    <t>Proj Yr 6- Exist Ass Replcd Cost-AlternativeB</t>
  </si>
  <si>
    <t>Proj Yr 7- Exist Ass Replcd Cost-AlternativeB</t>
  </si>
  <si>
    <t>Proj Yr 1- Operat&amp;Supp Cost-AlternativeB</t>
  </si>
  <si>
    <t>Proj Yr 2- Operat&amp;Supp Cost-AlternativeB</t>
  </si>
  <si>
    <t>Proj Yr 3- Operat&amp;Supp Cost-AlternativeB</t>
  </si>
  <si>
    <t>Proj Yr 4- Operat&amp;Supp Cost-AlternativeB</t>
  </si>
  <si>
    <t>Proj Yr 5- Operat&amp;Supp Cost-AlternativeB</t>
  </si>
  <si>
    <t>Proj Yr 6- Operat&amp;Supp Cost-AlternativeB</t>
  </si>
  <si>
    <t>Proj Yr 7- Operat&amp;Supp Cost-AlternativeB</t>
  </si>
  <si>
    <t>Proj Yr 8- Operat&amp;Supp Cost-AlternativeB</t>
  </si>
  <si>
    <t>Proj Yr 9- Operat&amp;Supp Cost-AlternativeB</t>
  </si>
  <si>
    <t>Proj Yr 10- Operat&amp;Supp Cost-AlternativeB</t>
  </si>
  <si>
    <t>Proj Yr 11- Operat&amp;Supp Cost-AlternativeB</t>
  </si>
  <si>
    <t>Proj Yr 12- Operat&amp;Supp Cost-AlternativeB</t>
  </si>
  <si>
    <t>Proj Yr 13 Operat&amp;Supp Cost-AlternativeB</t>
  </si>
  <si>
    <t>Proj Yr 14- Operat&amp;Supp Cost-AlternativeB</t>
  </si>
  <si>
    <t>Proj Yr 15 Operat&amp;Supp Cost-AlternativeB</t>
  </si>
  <si>
    <t>Proj Yr 16- Operat&amp;Supp Cost-AlternativeB</t>
  </si>
  <si>
    <t>Proj Yr 17- Operat&amp;Supp Cost-AlternativeB</t>
  </si>
  <si>
    <t>Proj Yr 18- Operat&amp;Supp Cost-AlternativeB</t>
  </si>
  <si>
    <t>Proj Yr 19- Operat&amp;Supp Cost-AlternativeB</t>
  </si>
  <si>
    <t>Proj Yr 20- Operat&amp;Supp Cost-AlternativeB</t>
  </si>
  <si>
    <t>Proj Yr 21- Operat&amp;Supp Cost-AlternativeB</t>
  </si>
  <si>
    <t>Proj Yr 22- Operat&amp;Supp Cost-AlternativeB</t>
  </si>
  <si>
    <t>Proj Yr 23- Operat&amp;Supp Cost-AlternativeB</t>
  </si>
  <si>
    <t>Proj Yr 24- Operat&amp;Supp Cost-AlternativeB</t>
  </si>
  <si>
    <t>Proj Yr 25- Operat&amp;Supp Cost-AlternativeB</t>
  </si>
  <si>
    <t>Proj Yr 26- Operat&amp;Supp Cost-AlternativeB</t>
  </si>
  <si>
    <t>Proj Yr 27- Operat&amp;Supp Cost-AlternativeB</t>
  </si>
  <si>
    <t>Proj Yr 28- Operat&amp;Supp Cost-AlternativeB</t>
  </si>
  <si>
    <t>Proj Yr 29- Operat&amp;Supp Cost-AlternativeB</t>
  </si>
  <si>
    <t>Proj Yr 30- Operat&amp;Supp Cost-AlternativeB</t>
  </si>
  <si>
    <t>Proj Yr 31- Operat&amp;Supp Cost-AlternativeB</t>
  </si>
  <si>
    <t>Proj Yr 32- Operat&amp;Supp Cost-AlternativeB</t>
  </si>
  <si>
    <t>Residual Value Cost- AlternativeB</t>
  </si>
  <si>
    <t>Cost Label - Operat&amp;Supp Cost-Status Quo</t>
  </si>
  <si>
    <t>Cost Label - Investment-Alternative A</t>
  </si>
  <si>
    <t>Cost Label - Exist Ass Employ -AlternativeA</t>
  </si>
  <si>
    <t>Cost Label - Exist Ass Replaced -AlternativeA</t>
  </si>
  <si>
    <t>Cost Label - Operat&amp;Supp Cost-AlternativeA</t>
  </si>
  <si>
    <t>Cost Label - Investment-Alternative B</t>
  </si>
  <si>
    <t>Cost Label - Exist Ass Employ -AlternativeB</t>
  </si>
  <si>
    <t>Cost Label - Exist Ass Replaced -AlternativeB</t>
  </si>
  <si>
    <t>Cost Label - Operat&amp;Supp Cost-AlternativeB</t>
  </si>
  <si>
    <t>Point Of Contact (POC)</t>
  </si>
  <si>
    <t>Decimal Places</t>
  </si>
  <si>
    <t>Have Existing Assets Employed/Replaced</t>
  </si>
  <si>
    <t>Adjust Year (for Base Yr &amp;  Project Start Yr)</t>
  </si>
  <si>
    <t>'Yes</t>
  </si>
  <si>
    <t>Last FY on Inflation Table in model when saved</t>
  </si>
  <si>
    <t>Use to Calculate Hard Savings - Alternative D</t>
  </si>
  <si>
    <t>Investment Cost Elements - Alternative D</t>
  </si>
  <si>
    <t>Operating Cost Elements - Alternative D</t>
  </si>
  <si>
    <t>Residual Value Elements - Alternative D</t>
  </si>
  <si>
    <t>Existing Assets Employed Elements - Alternative D</t>
  </si>
  <si>
    <t>Existing Assets Replaced Elements - Alternative D</t>
  </si>
  <si>
    <t>Description - AlternativeC</t>
  </si>
  <si>
    <t>Proj Yr 1- Investment Cost-AlternativeC</t>
  </si>
  <si>
    <t>Proj Yr 2- Investment Cost-AlternativeC</t>
  </si>
  <si>
    <t>Proj Yr 3- Investment Cost-AlternativeC</t>
  </si>
  <si>
    <t>Proj Yr 4- Investment Cost-AlternativeC</t>
  </si>
  <si>
    <t>Proj Yr 5- Investment Cost-AlternativeC</t>
  </si>
  <si>
    <t>Proj Yr 6- Investment Cost-AlternativeC</t>
  </si>
  <si>
    <t>Proj Yr 7- Investment Cost-AlternativeC</t>
  </si>
  <si>
    <t>Proj Yr 8- Investment Cost-AlternativeC</t>
  </si>
  <si>
    <t>Proj Yr 9- Investment Cost-AlternativeC</t>
  </si>
  <si>
    <t>Proj Yr 10- Investment Cost-AlternativeC</t>
  </si>
  <si>
    <t>Proj Yr 11- Investment Cost-AlternativeC</t>
  </si>
  <si>
    <t>Proj Yr 12- Investment Cost-AlternativeC</t>
  </si>
  <si>
    <t>Proj Yr 13- Investment Cost-AlternativeC</t>
  </si>
  <si>
    <t>Proj Yr 14- Investment Cost-AlternativeC</t>
  </si>
  <si>
    <t>Proj Yr 15- Investment Cost-AlternativeC</t>
  </si>
  <si>
    <t>Proj Yr 16- Investment Cost-AlternativeC</t>
  </si>
  <si>
    <t>Proj Yr 17- Investment Cost-AlternativeC</t>
  </si>
  <si>
    <t>Proj Yr 18- Investment Cost-AlternativeC</t>
  </si>
  <si>
    <t>Proj Yr 19- Investment Cost-AlternativeC</t>
  </si>
  <si>
    <t>Proj Yr 20- Investment Cost-AlternativeC</t>
  </si>
  <si>
    <t>Proj Yr 21- Investment Cost-AlternativeC</t>
  </si>
  <si>
    <t>Proj Yr 22- Investment Cost-AlternativeC</t>
  </si>
  <si>
    <t>Proj Yr 23- Investment Cost-AlternativeC</t>
  </si>
  <si>
    <t>Proj Yr 24- Investment Cost-AlternativeC</t>
  </si>
  <si>
    <t>Proj Yr 25- Investment Cost-AlternativeC</t>
  </si>
  <si>
    <t>Proj Yr 26- Investment Cost-AlternativeC</t>
  </si>
  <si>
    <t>Proj Yr 27- Investment Cost-AlternativeC</t>
  </si>
  <si>
    <t>Proj Yr 28- Investment Cost-AlternativeC</t>
  </si>
  <si>
    <t>Proj Yr 29- Investment Cost-AlternativeC</t>
  </si>
  <si>
    <t>Proj Yr 30- Investment Cost-AlternativeC</t>
  </si>
  <si>
    <t>Proj Yr 31- Investment Cost-AlternativeC</t>
  </si>
  <si>
    <t>Proj Yr 32- Investment Cost-AlternativeC</t>
  </si>
  <si>
    <t>Proj Yr 1- Exist Ass Empl Cost-AlternativeC</t>
  </si>
  <si>
    <t>Proj Yr 2- Exist Ass Empl Cost-AlternativeC</t>
  </si>
  <si>
    <t>Proj Yr 3- Exist Ass Empl Cost-AlternativeC</t>
  </si>
  <si>
    <t>Proj Yr 4- Exist Ass Empl Cost-AlternativeC</t>
  </si>
  <si>
    <t>Proj Yr 5- Exist Ass Empl Cost-AlternativeC</t>
  </si>
  <si>
    <t>Proj Yr 6- Exist Ass Empl Cost-AlternativeC</t>
  </si>
  <si>
    <t>Proj Yr 7- Exist Ass Empl Cost-AlternativeC</t>
  </si>
  <si>
    <t>Proj Yr 1- Exist Ass Replcd Cost-AlternativeC</t>
  </si>
  <si>
    <t>Proj Yr 2- Exist Ass Replcd Cost-AlternativeC</t>
  </si>
  <si>
    <t>Proj Yr 3- Exist Ass Replcd Cost-AlternativeC</t>
  </si>
  <si>
    <t>Proj Yr 4- Exist Ass Replcd Cost-AlternativeC</t>
  </si>
  <si>
    <t>Proj Yr 5- Exist Ass Replcd Cost-AlternativeC</t>
  </si>
  <si>
    <t>Proj Yr 6- Exist Ass Replcd Cost-AlternativeC</t>
  </si>
  <si>
    <t>Proj Yr 7- Exist Ass Replcd Cost-AlternativeC</t>
  </si>
  <si>
    <t>Proj Yr 1- Operat&amp;Supp Cost-AlternativeC</t>
  </si>
  <si>
    <t>Proj Yr 2- Operat&amp;Supp Cost-AlternativeC</t>
  </si>
  <si>
    <t>Proj Yr 3- Operat&amp;Supp Cost-AlternativeC</t>
  </si>
  <si>
    <t>Proj Yr 4- Operat&amp;Supp Cost-AlternativeC</t>
  </si>
  <si>
    <t>Proj Yr 5- Operat&amp;Supp Cost-AlternativeC</t>
  </si>
  <si>
    <t>Proj Yr 6- Operat&amp;Supp Cost-AlternativeC</t>
  </si>
  <si>
    <t>Proj Yr 7- Operat&amp;Supp Cost-AlternativeC</t>
  </si>
  <si>
    <t>Proj Yr 8- Operat&amp;Supp Cost-AlternativeC</t>
  </si>
  <si>
    <t>Proj Yr 9- Operat&amp;Supp Cost-AlternativeC</t>
  </si>
  <si>
    <t>Proj Yr 10- Operat&amp;Supp Cost-AlternativeC</t>
  </si>
  <si>
    <t>Proj Yr 11- Operat&amp;Supp Cost-AlternativeC</t>
  </si>
  <si>
    <t>Proj Yr 12- Operat&amp;Supp Cost-AlternativeC</t>
  </si>
  <si>
    <t>Proj Yr 13 Operat&amp;Supp Cost-AlternativeC</t>
  </si>
  <si>
    <t>Proj Yr 14- Operat&amp;Supp Cost-AlternativeC</t>
  </si>
  <si>
    <t>Proj Yr 15 Operat&amp;Supp Cost-AlternativeC</t>
  </si>
  <si>
    <t>Proj Yr 16- Operat&amp;Supp Cost-AlternativeC</t>
  </si>
  <si>
    <t>Proj Yr 17- Operat&amp;Supp Cost-AlternativeC</t>
  </si>
  <si>
    <t>Proj Yr 18- Operat&amp;Supp Cost-AlternativeC</t>
  </si>
  <si>
    <t>Proj Yr 19- Operat&amp;Supp Cost-AlternativeC</t>
  </si>
  <si>
    <t>Proj Yr 20- Operat&amp;Supp Cost-AlternativeC</t>
  </si>
  <si>
    <t>Proj Yr 21- Operat&amp;Supp Cost-AlternativeC</t>
  </si>
  <si>
    <t>Proj Yr 22- Operat&amp;Supp Cost-AlternativeC</t>
  </si>
  <si>
    <t>Proj Yr 23- Operat&amp;Supp Cost-AlternativeC</t>
  </si>
  <si>
    <t>Proj Yr 24- Operat&amp;Supp Cost-AlternativeC</t>
  </si>
  <si>
    <t>Proj Yr 25- Operat&amp;Supp Cost-AlternativeC</t>
  </si>
  <si>
    <t>Proj Yr 26- Operat&amp;Supp Cost-AlternativeC</t>
  </si>
  <si>
    <t>Proj Yr 27- Operat&amp;Supp Cost-AlternativeC</t>
  </si>
  <si>
    <t>Proj Yr 28- Operat&amp;Supp Cost-AlternativeC</t>
  </si>
  <si>
    <t>Proj Yr 29- Operat&amp;Supp Cost-AlternativeC</t>
  </si>
  <si>
    <t>Proj Yr 30- Operat&amp;Supp Cost-AlternativeC</t>
  </si>
  <si>
    <t>Proj Yr 31- Operat&amp;Supp Cost-AlternativeC</t>
  </si>
  <si>
    <t>Proj Yr 32- Operat&amp;Supp Cost-AlternativeC</t>
  </si>
  <si>
    <t>Residual Value Cost- AlternativeC</t>
  </si>
  <si>
    <t>Description - AlternativeD</t>
  </si>
  <si>
    <t>Proj Yr 1- Investment Cost-AlternativeD</t>
  </si>
  <si>
    <t>Proj Yr 2- Investment Cost-AlternativeD</t>
  </si>
  <si>
    <t>Proj Yr 3- Investment Cost-AlternativeD</t>
  </si>
  <si>
    <t>Proj Yr 4- Investment Cost-AlternativeD</t>
  </si>
  <si>
    <t>Proj Yr 5- Investment Cost-AlternativeD</t>
  </si>
  <si>
    <t>Proj Yr 6- Investment Cost-AlternativeD</t>
  </si>
  <si>
    <t>Proj Yr 7- Investment Cost-AlternativeD</t>
  </si>
  <si>
    <t>Proj Yr 8- Investment Cost-AlternativeD</t>
  </si>
  <si>
    <t>Proj Yr 9- Investment Cost-AlternativeD</t>
  </si>
  <si>
    <t>Proj Yr 10- Investment Cost-AlternativeD</t>
  </si>
  <si>
    <t>Proj Yr 11- Investment Cost-AlternativeD</t>
  </si>
  <si>
    <t>Proj Yr 12- Investment Cost-AlternativeD</t>
  </si>
  <si>
    <t>Proj Yr 13- Investment Cost-AlternativeD</t>
  </si>
  <si>
    <t>Proj Yr 14- Investment Cost-AlternativeD</t>
  </si>
  <si>
    <t>Proj Yr 15- Investment Cost-AlternativeD</t>
  </si>
  <si>
    <t>Proj Yr 16- Investment Cost-AlternativeD</t>
  </si>
  <si>
    <t>Proj Yr 17- Investment Cost-AlternativeD</t>
  </si>
  <si>
    <t>Proj Yr 18- Investment Cost-AlternativeD</t>
  </si>
  <si>
    <t>Proj Yr 19- Investment Cost-AlternativeD</t>
  </si>
  <si>
    <t>Proj Yr 20- Investment Cost-AlternativeD</t>
  </si>
  <si>
    <t>Proj Yr 21- Investment Cost-AlternativeD</t>
  </si>
  <si>
    <t>Proj Yr 22- Investment Cost-AlternativeD</t>
  </si>
  <si>
    <t>Proj Yr 23- Investment Cost-AlternativeD</t>
  </si>
  <si>
    <t>Proj Yr 24- Investment Cost-AlternativeD</t>
  </si>
  <si>
    <t>Proj Yr 25- Investment Cost-AlternativeD</t>
  </si>
  <si>
    <t>Proj Yr 26- Investment Cost-AlternativeD</t>
  </si>
  <si>
    <t>Proj Yr 27- Investment Cost-AlternativeD</t>
  </si>
  <si>
    <t>Proj Yr 28- Investment Cost-AlternativeD</t>
  </si>
  <si>
    <t>Proj Yr 29- Investment Cost-AlternativeD</t>
  </si>
  <si>
    <t>Proj Yr 30- Investment Cost-AlternativeD</t>
  </si>
  <si>
    <t>Proj Yr 31- Investment Cost-AlternativeD</t>
  </si>
  <si>
    <t>Proj Yr 32- Investment Cost-AlternativeD</t>
  </si>
  <si>
    <t>Proj Yr 1- Exist Ass Empl Cost-AlternativeD</t>
  </si>
  <si>
    <t>Proj Yr 2- Exist Ass Empl Cost-AlternativeD</t>
  </si>
  <si>
    <t>Proj Yr 3- Exist Ass Empl Cost-AlternativeD</t>
  </si>
  <si>
    <t>Proj Yr 4- Exist Ass Empl Cost-AlternativeD</t>
  </si>
  <si>
    <t>Proj Yr 5- Exist Ass Empl Cost-AlternativeD</t>
  </si>
  <si>
    <t>Proj Yr 6- Exist Ass Empl Cost-AlternativeD</t>
  </si>
  <si>
    <t>Proj Yr 7- Exist Ass Empl Cost-AlternativeD</t>
  </si>
  <si>
    <t>Proj Yr 1- Exist Ass Replcd Cost-AlternativeD</t>
  </si>
  <si>
    <t>Proj Yr 2- Exist Ass Replcd Cost-AlternativeD</t>
  </si>
  <si>
    <t>Proj Yr 3- Exist Ass Replcd Cost-AlternativeD</t>
  </si>
  <si>
    <t>Proj Yr 4- Exist Ass Replcd Cost-AlternativeD</t>
  </si>
  <si>
    <t>Proj Yr 5- Exist Ass Replcd Cost-AlternativeD</t>
  </si>
  <si>
    <t>Proj Yr 6- Exist Ass Replcd Cost-AlternativeD</t>
  </si>
  <si>
    <t>Proj Yr 7- Exist Ass Replcd Cost-AlternativeD</t>
  </si>
  <si>
    <t>Proj Yr 1- Operat&amp;Supp Cost-AlternativeD</t>
  </si>
  <si>
    <t>Proj Yr 2- Operat&amp;Supp Cost-AlternativeD</t>
  </si>
  <si>
    <t>Proj Yr 3- Operat&amp;Supp Cost-AlternativeD</t>
  </si>
  <si>
    <t>Proj Yr 4- Operat&amp;Supp Cost-AlternativeD</t>
  </si>
  <si>
    <t>Proj Yr 5- Operat&amp;Supp Cost-AlternativeD</t>
  </si>
  <si>
    <t>Proj Yr 6- Operat&amp;Supp Cost-AlternativeD</t>
  </si>
  <si>
    <t>Proj Yr 7- Operat&amp;Supp Cost-AlternativeD</t>
  </si>
  <si>
    <t>Proj Yr 8- Operat&amp;Supp Cost-AlternativeD</t>
  </si>
  <si>
    <t>Proj Yr 9- Operat&amp;Supp Cost-AlternativeD</t>
  </si>
  <si>
    <t>Proj Yr 10- Operat&amp;Supp Cost-AlternativeD</t>
  </si>
  <si>
    <t>Proj Yr 11- Operat&amp;Supp Cost-AlternativeD</t>
  </si>
  <si>
    <t>Proj Yr 12- Operat&amp;Supp Cost-AlternativeD</t>
  </si>
  <si>
    <t>Proj Yr 13 Operat&amp;Supp Cost-AlternativeD</t>
  </si>
  <si>
    <t>Proj Yr 14- Operat&amp;Supp Cost-AlternativeD</t>
  </si>
  <si>
    <t>Proj Yr 15 Operat&amp;Supp Cost-AlternativeD</t>
  </si>
  <si>
    <t>Proj Yr 16- Operat&amp;Supp Cost-AlternativeD</t>
  </si>
  <si>
    <t>Proj Yr 17- Operat&amp;Supp Cost-AlternativeD</t>
  </si>
  <si>
    <t>Proj Yr 18- Operat&amp;Supp Cost-AlternativeD</t>
  </si>
  <si>
    <t>Proj Yr 19- Operat&amp;Supp Cost-AlternativeD</t>
  </si>
  <si>
    <t>Proj Yr 20- Operat&amp;Supp Cost-AlternativeD</t>
  </si>
  <si>
    <t>Proj Yr 21- Operat&amp;Supp Cost-AlternativeD</t>
  </si>
  <si>
    <t>Proj Yr 22- Operat&amp;Supp Cost-AlternativeD</t>
  </si>
  <si>
    <t>Proj Yr 23- Operat&amp;Supp Cost-AlternativeD</t>
  </si>
  <si>
    <t>Proj Yr 24- Operat&amp;Supp Cost-AlternativeD</t>
  </si>
  <si>
    <t>Proj Yr 25- Operat&amp;Supp Cost-AlternativeD</t>
  </si>
  <si>
    <t>Proj Yr 26- Operat&amp;Supp Cost-AlternativeD</t>
  </si>
  <si>
    <t>Proj Yr 27- Operat&amp;Supp Cost-AlternativeD</t>
  </si>
  <si>
    <t>Proj Yr 28- Operat&amp;Supp Cost-AlternativeD</t>
  </si>
  <si>
    <t>Proj Yr 29- Operat&amp;Supp Cost-AlternativeD</t>
  </si>
  <si>
    <t>Proj Yr 30- Operat&amp;Supp Cost-AlternativeD</t>
  </si>
  <si>
    <t>Proj Yr 31- Operat&amp;Supp Cost-AlternativeD</t>
  </si>
  <si>
    <t>Proj Yr 32- Operat&amp;Supp Cost-AlternativeD</t>
  </si>
  <si>
    <t>Residual Value Cost- AlternativeD</t>
  </si>
  <si>
    <t>Cost Label - Investment-Alternative C</t>
  </si>
  <si>
    <t>Cost Label - Exist Ass Employ -AlternativeC</t>
  </si>
  <si>
    <t>Cost Label - Exist Ass Replaced -AlternativeC</t>
  </si>
  <si>
    <t>Cost Label - Operat&amp;Supp Cost-AlternativeC</t>
  </si>
  <si>
    <t>Cost Label - Investment-Alternative D</t>
  </si>
  <si>
    <t>Cost Label - Exist Ass Employ -AlternativeD</t>
  </si>
  <si>
    <t>Cost Label - Exist Ass Replaced -AlternativeD</t>
  </si>
  <si>
    <t>Cost Label - Operat&amp;Supp Cost-AlternativeD</t>
  </si>
  <si>
    <t>Proj Yr 33- Operat&amp;Supp Cost-Status Quo</t>
  </si>
  <si>
    <t>Proj Yr 34- Operat&amp;Supp Cost-Status Quo</t>
  </si>
  <si>
    <t>Proj Yr 35- Operat&amp;Supp Cost-Status Quo</t>
  </si>
  <si>
    <t>Proj Yr 36- Operat&amp;Supp Cost-Status Quo</t>
  </si>
  <si>
    <t>Proj Yr 37- Operat&amp;Supp Cost-Status Quo</t>
  </si>
  <si>
    <t>Proj Yr 38- Operat&amp;Supp Cost-Status Quo</t>
  </si>
  <si>
    <t>Proj Yr 39- Operat&amp;Supp Cost-Status Quo</t>
  </si>
  <si>
    <t>Proj Yr 40- Operat&amp;Supp Cost-Status Quo</t>
  </si>
  <si>
    <t>Proj Yr 41- Operat&amp;Supp Cost-Status Quo</t>
  </si>
  <si>
    <t>Proj Yr 42- Operat&amp;Supp Cost-Status Quo</t>
  </si>
  <si>
    <t>Proj Yr 43- Operat&amp;Supp Cost-Status Quo</t>
  </si>
  <si>
    <t>Proj Yr 44- Operat&amp;Supp Cost-Status Quo</t>
  </si>
  <si>
    <t>Proj Yr 45- Operat&amp;Supp Cost-Status Quo</t>
  </si>
  <si>
    <t>Proj Yr 46- Operat&amp;Supp Cost-Status Quo</t>
  </si>
  <si>
    <t>Proj Yr 47- Operat&amp;Supp Cost-Status Quo</t>
  </si>
  <si>
    <t>Proj Yr 48- Operat&amp;Supp Cost-Status Quo</t>
  </si>
  <si>
    <t>Proj Yr 49- Operat&amp;Supp Cost-Status Quo</t>
  </si>
  <si>
    <t>Proj Yr 50- Operat&amp;Supp Cost-Status Quo</t>
  </si>
  <si>
    <t>Proj Yr 33- Investment Cost-AlternativeA</t>
  </si>
  <si>
    <t>Proj Yr 34- Investment Cost-AlternativeA</t>
  </si>
  <si>
    <t>Proj Yr 35- Investment Cost-AlternativeA</t>
  </si>
  <si>
    <t>Proj Yr 36- Investment Cost-AlternativeA</t>
  </si>
  <si>
    <t>Proj Yr 37- Investment Cost-AlternativeA</t>
  </si>
  <si>
    <t>Proj Yr 38- Investment Cost-AlternativeA</t>
  </si>
  <si>
    <t>Proj Yr 39- Investment Cost-AlternativeA</t>
  </si>
  <si>
    <t>Proj Yr 40- Investment Cost-AlternativeA</t>
  </si>
  <si>
    <t>Proj Yr 41- Investment Cost-AlternativeA</t>
  </si>
  <si>
    <t>Proj Yr 42- Investment Cost-AlternativeA</t>
  </si>
  <si>
    <t>Proj Yr 43- Investment Cost-AlternativeA</t>
  </si>
  <si>
    <t>Proj Yr 44- Investment Cost-AlternativeA</t>
  </si>
  <si>
    <t>Proj Yr 45- Investment Cost-AlternativeA</t>
  </si>
  <si>
    <t>Proj Yr 46- Investment Cost-AlternativeA</t>
  </si>
  <si>
    <t>Proj Yr 47- Investment Cost-AlternativeA</t>
  </si>
  <si>
    <t>Proj Yr 48- Investment Cost-AlternativeA</t>
  </si>
  <si>
    <t>Proj Yr 49- Investment Cost-AlternativeA</t>
  </si>
  <si>
    <t>Proj Yr 50- Investment Cost-AlternativeA</t>
  </si>
  <si>
    <t>Proj Yr 33- Operat&amp;Supp Cost-AlternativeA</t>
  </si>
  <si>
    <t>Proj Yr 34- Operat&amp;Supp Cost-AlternativeA</t>
  </si>
  <si>
    <t>Proj Yr 35- Operat&amp;Supp Cost-AlternativeA</t>
  </si>
  <si>
    <t>Proj Yr 36- Operat&amp;Supp Cost-AlternativeA</t>
  </si>
  <si>
    <t>Proj Yr 37- Operat&amp;Supp Cost-AlternativeA</t>
  </si>
  <si>
    <t>Proj Yr 38- Operat&amp;Supp Cost-AlternativeA</t>
  </si>
  <si>
    <t>Proj Yr 39- Operat&amp;Supp Cost-AlternativeA</t>
  </si>
  <si>
    <t>Proj Yr 40- Operat&amp;Supp Cost-AlternativeA</t>
  </si>
  <si>
    <t>Proj Yr 41- Operat&amp;Supp Cost-AlternativeA</t>
  </si>
  <si>
    <t>Proj Yr 42- Operat&amp;Supp Cost-AlternativeA</t>
  </si>
  <si>
    <t>Proj Yr 43- Operat&amp;Supp Cost-AlternativeA</t>
  </si>
  <si>
    <t>Proj Yr 44- Operat&amp;Supp Cost-AlternativeA</t>
  </si>
  <si>
    <t>Proj Yr 45- Operat&amp;Supp Cost-AlternativeA</t>
  </si>
  <si>
    <t>Proj Yr 46- Operat&amp;Supp Cost-AlternativeA</t>
  </si>
  <si>
    <t>Proj Yr 47- Operat&amp;Supp Cost-AlternativeA</t>
  </si>
  <si>
    <t>Proj Yr 48- Operat&amp;Supp Cost-AlternativeA</t>
  </si>
  <si>
    <t>Proj Yr 49- Operat&amp;Supp Cost-AlternativeA</t>
  </si>
  <si>
    <t>Proj Yr 50- Operat&amp;Supp Cost-AlternativeA</t>
  </si>
  <si>
    <t>Proj Yr 33- Investment Cost-AlternativeB</t>
  </si>
  <si>
    <t>Proj Yr 34- Investment Cost-AlternativeB</t>
  </si>
  <si>
    <t>Proj Yr 35- Investment Cost-AlternativeB</t>
  </si>
  <si>
    <t>Proj Yr 36- Investment Cost-AlternativeB</t>
  </si>
  <si>
    <t>Proj Yr 37- Investment Cost-AlternativeB</t>
  </si>
  <si>
    <t>Proj Yr 38- Investment Cost-AlternativeB</t>
  </si>
  <si>
    <t>Proj Yr 39- Investment Cost-AlternativeB</t>
  </si>
  <si>
    <t>Proj Yr 40- Investment Cost-AlternativeB</t>
  </si>
  <si>
    <t>Proj Yr 41- Investment Cost-AlternativeB</t>
  </si>
  <si>
    <t>Proj Yr 42- Investment Cost-AlternativeB</t>
  </si>
  <si>
    <t>Proj Yr 43- Investment Cost-AlternativeB</t>
  </si>
  <si>
    <t>Proj Yr 44- Investment Cost-AlternativeB</t>
  </si>
  <si>
    <t>Proj Yr 45- Investment Cost-AlternativeB</t>
  </si>
  <si>
    <t>Proj Yr 46- Investment Cost-AlternativeB</t>
  </si>
  <si>
    <t>Proj Yr 47- Investment Cost-AlternativeB</t>
  </si>
  <si>
    <t>Proj Yr 48- Investment Cost-AlternativeB</t>
  </si>
  <si>
    <t>Proj Yr 49- Investment Cost-AlternativeB</t>
  </si>
  <si>
    <t>Proj Yr 50- Investment Cost-AlternativeB</t>
  </si>
  <si>
    <t>Proj Yr 33- Operat&amp;Supp Cost-AlternativeB</t>
  </si>
  <si>
    <t>Proj Yr 34- Operat&amp;Supp Cost-AlternativeB</t>
  </si>
  <si>
    <t>Proj Yr 35- Operat&amp;Supp Cost-AlternativeB</t>
  </si>
  <si>
    <t>Proj Yr 36- Operat&amp;Supp Cost-AlternativeB</t>
  </si>
  <si>
    <t>Proj Yr 37- Operat&amp;Supp Cost-AlternativeB</t>
  </si>
  <si>
    <t>Proj Yr 38- Operat&amp;Supp Cost-AlternativeB</t>
  </si>
  <si>
    <t>Proj Yr 39- Operat&amp;Supp Cost-AlternativeB</t>
  </si>
  <si>
    <t>Proj Yr 40- Operat&amp;Supp Cost-AlternativeB</t>
  </si>
  <si>
    <t>Proj Yr 41- Operat&amp;Supp Cost-AlternativeB</t>
  </si>
  <si>
    <t>Proj Yr 42- Operat&amp;Supp Cost-AlternativeB</t>
  </si>
  <si>
    <t>Proj Yr 43- Operat&amp;Supp Cost-AlternativeB</t>
  </si>
  <si>
    <t>Proj Yr 44- Operat&amp;Supp Cost-AlternativeB</t>
  </si>
  <si>
    <t>Proj Yr 45- Operat&amp;Supp Cost-AlternativeB</t>
  </si>
  <si>
    <t>Proj Yr 46- Operat&amp;Supp Cost-AlternativeB</t>
  </si>
  <si>
    <t>Proj Yr 47- Operat&amp;Supp Cost-AlternativeB</t>
  </si>
  <si>
    <t>Proj Yr 48- Operat&amp;Supp Cost-AlternativeB</t>
  </si>
  <si>
    <t>Proj Yr 49- Operat&amp;Supp Cost-AlternativeB</t>
  </si>
  <si>
    <t>Proj Yr 50- Operat&amp;Supp Cost-AlternativeB</t>
  </si>
  <si>
    <t>Proj Yr 33- Investment Cost-AlternativeC</t>
  </si>
  <si>
    <t>Proj Yr 34- Investment Cost-AlternativeC</t>
  </si>
  <si>
    <t>Proj Yr 35- Investment Cost-AlternativeC</t>
  </si>
  <si>
    <t>Proj Yr 36- Investment Cost-AlternativeC</t>
  </si>
  <si>
    <t>Proj Yr 37- Investment Cost-AlternativeC</t>
  </si>
  <si>
    <t>Proj Yr 38- Investment Cost-AlternativeC</t>
  </si>
  <si>
    <t>Proj Yr 39- Investment Cost-AlternativeC</t>
  </si>
  <si>
    <t>Proj Yr 40- Investment Cost-AlternativeC</t>
  </si>
  <si>
    <t>Proj Yr 41- Investment Cost-AlternativeC</t>
  </si>
  <si>
    <t>Proj Yr 42- Investment Cost-AlternativeC</t>
  </si>
  <si>
    <t>Proj Yr 43- Investment Cost-AlternativeC</t>
  </si>
  <si>
    <t>Proj Yr 44- Investment Cost-AlternativeC</t>
  </si>
  <si>
    <t>Proj Yr 45- Investment Cost-AlternativeC</t>
  </si>
  <si>
    <t>Proj Yr 46- Investment Cost-AlternativeC</t>
  </si>
  <si>
    <t>Proj Yr 47- Investment Cost-AlternativeC</t>
  </si>
  <si>
    <t>Proj Yr 48- Investment Cost-AlternativeC</t>
  </si>
  <si>
    <t>Proj Yr 49- Investment Cost-AlternativeC</t>
  </si>
  <si>
    <t>Proj Yr 50- Investment Cost-AlternativeC</t>
  </si>
  <si>
    <t>Proj Yr 33- Operat&amp;Supp Cost-AlternativeC</t>
  </si>
  <si>
    <t>Proj Yr 34- Operat&amp;Supp Cost-AlternativeC</t>
  </si>
  <si>
    <t>Proj Yr 35- Operat&amp;Supp Cost-AlternativeC</t>
  </si>
  <si>
    <t>Proj Yr 36- Operat&amp;Supp Cost-AlternativeC</t>
  </si>
  <si>
    <t>Proj Yr 37- Operat&amp;Supp Cost-AlternativeC</t>
  </si>
  <si>
    <t>Proj Yr 38- Operat&amp;Supp Cost-AlternativeC</t>
  </si>
  <si>
    <t>Proj Yr 39- Operat&amp;Supp Cost-AlternativeC</t>
  </si>
  <si>
    <t>Proj Yr 40- Operat&amp;Supp Cost-AlternativeC</t>
  </si>
  <si>
    <t>Proj Yr 41- Operat&amp;Supp Cost-AlternativeC</t>
  </si>
  <si>
    <t>Proj Yr 42- Operat&amp;Supp Cost-AlternativeC</t>
  </si>
  <si>
    <t>Proj Yr 43- Operat&amp;Supp Cost-AlternativeC</t>
  </si>
  <si>
    <t>Proj Yr 44- Operat&amp;Supp Cost-AlternativeC</t>
  </si>
  <si>
    <t>Proj Yr 45- Operat&amp;Supp Cost-AlternativeC</t>
  </si>
  <si>
    <t>Proj Yr 46- Operat&amp;Supp Cost-AlternativeC</t>
  </si>
  <si>
    <t>Proj Yr 47- Operat&amp;Supp Cost-AlternativeC</t>
  </si>
  <si>
    <t>Proj Yr 48- Operat&amp;Supp Cost-AlternativeC</t>
  </si>
  <si>
    <t>Proj Yr 49- Operat&amp;Supp Cost-AlternativeC</t>
  </si>
  <si>
    <t>Proj Yr 50- Operat&amp;Supp Cost-AlternativeC</t>
  </si>
  <si>
    <t>Proj Yr 33- Investment Cost-AlternativeD</t>
  </si>
  <si>
    <t>Proj Yr 34- Investment Cost-AlternativeD</t>
  </si>
  <si>
    <t>Proj Yr 35- Investment Cost-AlternativeD</t>
  </si>
  <si>
    <t>Proj Yr 36- Investment Cost-AlternativeD</t>
  </si>
  <si>
    <t>Proj Yr 37- Investment Cost-AlternativeD</t>
  </si>
  <si>
    <t>Proj Yr 38- Investment Cost-AlternativeD</t>
  </si>
  <si>
    <t>Proj Yr 39- Investment Cost-AlternativeD</t>
  </si>
  <si>
    <t>Proj Yr 40- Investment Cost-AlternativeD</t>
  </si>
  <si>
    <t>Proj Yr 41- Investment Cost-AlternativeD</t>
  </si>
  <si>
    <t>Proj Yr 42- Investment Cost-AlternativeD</t>
  </si>
  <si>
    <t>Proj Yr 43- Investment Cost-AlternativeD</t>
  </si>
  <si>
    <t>Proj Yr 44- Investment Cost-AlternativeD</t>
  </si>
  <si>
    <t>Proj Yr 45- Investment Cost-AlternativeD</t>
  </si>
  <si>
    <t>Proj Yr 46- Investment Cost-AlternativeD</t>
  </si>
  <si>
    <t>Proj Yr 47- Investment Cost-AlternativeD</t>
  </si>
  <si>
    <t>Proj Yr 48- Investment Cost-AlternativeD</t>
  </si>
  <si>
    <t>Proj Yr 49- Investment Cost-AlternativeD</t>
  </si>
  <si>
    <t>Proj Yr 50- Investment Cost-AlternativeD</t>
  </si>
  <si>
    <t>Proj Yr 33- Operat&amp;Supp Cost-AlternativeD</t>
  </si>
  <si>
    <t>Proj Yr 34- Operat&amp;Supp Cost-AlternativeD</t>
  </si>
  <si>
    <t>Proj Yr 35- Operat&amp;Supp Cost-AlternativeD</t>
  </si>
  <si>
    <t>Proj Yr 36- Operat&amp;Supp Cost-AlternativeD</t>
  </si>
  <si>
    <t>Proj Yr 37- Operat&amp;Supp Cost-AlternativeD</t>
  </si>
  <si>
    <t>Proj Yr 38- Operat&amp;Supp Cost-AlternativeD</t>
  </si>
  <si>
    <t>Proj Yr 39- Operat&amp;Supp Cost-AlternativeD</t>
  </si>
  <si>
    <t>Proj Yr 40- Operat&amp;Supp Cost-AlternativeD</t>
  </si>
  <si>
    <t>Proj Yr 41- Operat&amp;Supp Cost-AlternativeD</t>
  </si>
  <si>
    <t>Proj Yr 42- Operat&amp;Supp Cost-AlternativeD</t>
  </si>
  <si>
    <t>Proj Yr 43- Operat&amp;Supp Cost-AlternativeD</t>
  </si>
  <si>
    <t>Proj Yr 44- Operat&amp;Supp Cost-AlternativeD</t>
  </si>
  <si>
    <t>Proj Yr 45- Operat&amp;Supp Cost-AlternativeD</t>
  </si>
  <si>
    <t>Proj Yr 46- Operat&amp;Supp Cost-AlternativeD</t>
  </si>
  <si>
    <t>Proj Yr 47- Operat&amp;Supp Cost-AlternativeD</t>
  </si>
  <si>
    <t>Proj Yr 48- Operat&amp;Supp Cost-AlternativeD</t>
  </si>
  <si>
    <t>Proj Yr 49- Operat&amp;Supp Cost-AlternativeD</t>
  </si>
  <si>
    <t>Proj Yr 50- Operat&amp;Supp Cost-AlternativeD</t>
  </si>
  <si>
    <t>Was data file saved with version 1.04r6 or later?</t>
  </si>
  <si>
    <t>Select program</t>
  </si>
  <si>
    <t>Select type of project</t>
  </si>
  <si>
    <t>Project Start Year</t>
  </si>
  <si>
    <t>Project Justification</t>
  </si>
  <si>
    <t>Select Alt A investment cost funding type</t>
  </si>
  <si>
    <t>Select Alt B investment cost funding type</t>
  </si>
  <si>
    <t>Select Alt C investment cost funding type</t>
  </si>
  <si>
    <t>Select Alt D investment cost funding type</t>
  </si>
  <si>
    <t>Select Alt A operating cost funding type</t>
  </si>
  <si>
    <t>Select Alt B operating cost funding type</t>
  </si>
  <si>
    <t>Select Alt C operating cost funding type</t>
  </si>
  <si>
    <t>Select Alt D operating cost funding type</t>
  </si>
  <si>
    <t>Engineering</t>
  </si>
  <si>
    <t>Is the Status Quo feasible?</t>
  </si>
  <si>
    <t>If yes, complete the following:</t>
  </si>
  <si>
    <t>Is Alternate A feasible?</t>
  </si>
  <si>
    <t>Is Alternate B feasible?</t>
  </si>
  <si>
    <t>Is Alternate C feasible?</t>
  </si>
  <si>
    <t>Is Alternate D feasible?</t>
  </si>
  <si>
    <t>"Input Range" / Combined</t>
  </si>
  <si>
    <t/>
  </si>
  <si>
    <t>Weighted</t>
  </si>
  <si>
    <t>Raw</t>
  </si>
  <si>
    <t xml:space="preserve">   Slope</t>
  </si>
  <si>
    <t xml:space="preserve">   y-intercept</t>
  </si>
  <si>
    <t xml:space="preserve">   Project Life </t>
  </si>
  <si>
    <t>Cash   Flow</t>
  </si>
  <si>
    <t>ROI</t>
  </si>
  <si>
    <t>ROI Calculations</t>
  </si>
  <si>
    <t>2024 Discount Rates for OMB Circular No. A-94</t>
  </si>
  <si>
    <t>EATOOLver109R19APR24</t>
  </si>
  <si>
    <t>https://comptroller.defense.gov/Budget-Materials/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</si>
</sst>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d\-mmm\-yyyy"/>
    <numFmt numFmtId="165" formatCode="dd\-mmm\-yy"/>
    <numFmt numFmtId="166" formatCode="0.0000_)"/>
    <numFmt numFmtId="167" formatCode="#,##0.000"/>
    <numFmt numFmtId="168" formatCode="0.000"/>
    <numFmt numFmtId="169" formatCode="0.0000"/>
    <numFmt numFmtId="170" formatCode="0.000000"/>
    <numFmt numFmtId="171" formatCode="[$-409]d\-mmm\-yy;@"/>
    <numFmt numFmtId="172" formatCode="0.0%"/>
  </numFmts>
  <fonts count="6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color indexed="48"/>
      <name val="Arial"/>
      <family val="2"/>
    </font>
    <font>
      <b/>
      <u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b/>
      <u/>
      <sz val="8"/>
      <color indexed="48"/>
      <name val="Arial"/>
      <family val="2"/>
    </font>
    <font>
      <b/>
      <sz val="8"/>
      <color indexed="33"/>
      <name val="Arial"/>
      <family val="2"/>
    </font>
    <font>
      <sz val="8"/>
      <name val="Courier New"/>
      <family val="3"/>
    </font>
    <font>
      <sz val="8"/>
      <name val="Arial Narrow"/>
      <family val="2"/>
    </font>
    <font>
      <b/>
      <sz val="8"/>
      <color indexed="14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b/>
      <i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26"/>
      <name val="Arial"/>
      <family val="2"/>
    </font>
    <font>
      <sz val="10"/>
      <color indexed="26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9"/>
      <name val="Arial"/>
      <family val="2"/>
    </font>
    <font>
      <sz val="9"/>
      <color indexed="13"/>
      <name val="Arial"/>
      <family val="2"/>
    </font>
    <font>
      <b/>
      <u/>
      <sz val="10"/>
      <color indexed="10"/>
      <name val="Arial"/>
      <family val="2"/>
    </font>
    <font>
      <b/>
      <u/>
      <sz val="8"/>
      <color indexed="10"/>
      <name val="Arial"/>
      <family val="2"/>
    </font>
    <font>
      <b/>
      <sz val="9"/>
      <color indexed="10"/>
      <name val="Arial"/>
      <family val="2"/>
    </font>
    <font>
      <b/>
      <sz val="8"/>
      <color indexed="8"/>
      <name val="Arial Narrow"/>
      <family val="2"/>
    </font>
    <font>
      <b/>
      <sz val="9"/>
      <color indexed="8"/>
      <name val="Arial Narrow"/>
      <family val="2"/>
    </font>
    <font>
      <b/>
      <sz val="11"/>
      <color indexed="8"/>
      <name val="Arial"/>
      <family val="2"/>
    </font>
    <font>
      <b/>
      <i/>
      <sz val="12"/>
      <color indexed="8"/>
      <name val="Arial"/>
      <family val="2"/>
    </font>
    <font>
      <sz val="8"/>
      <name val="Cambria"/>
      <family val="1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b/>
      <i/>
      <sz val="12"/>
      <name val="Arial"/>
      <family val="2"/>
    </font>
    <font>
      <b/>
      <sz val="10"/>
      <name val="Arial Narrow"/>
      <family val="2"/>
    </font>
    <font>
      <b/>
      <sz val="12"/>
      <name val="Arial"/>
      <family val="2"/>
    </font>
    <font>
      <sz val="12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u/>
      <sz val="10"/>
      <name val="Arial"/>
      <family val="2"/>
    </font>
    <font>
      <u/>
      <sz val="8"/>
      <name val="Cambria"/>
      <family val="1"/>
    </font>
    <font>
      <b/>
      <sz val="9"/>
      <color indexed="12"/>
      <name val="Arial"/>
      <family val="2"/>
    </font>
    <font>
      <b/>
      <i/>
      <sz val="9"/>
      <color indexed="10"/>
      <name val="Arial"/>
      <family val="2"/>
    </font>
    <font>
      <b/>
      <sz val="12"/>
      <color indexed="9"/>
      <name val="Arial"/>
      <family val="2"/>
    </font>
    <font>
      <sz val="8"/>
      <name val="Helv"/>
    </font>
    <font>
      <sz val="9"/>
      <name val="Helv"/>
    </font>
    <font>
      <sz val="10"/>
      <name val="Helv"/>
    </font>
    <font>
      <b/>
      <sz val="9"/>
      <name val="Helv"/>
    </font>
    <font>
      <b/>
      <sz val="8"/>
      <color indexed="34"/>
      <name val="Arial"/>
      <family val="2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darkTrellis">
        <fgColor indexed="8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BFFCD"/>
        <bgColor indexed="64"/>
      </patternFill>
    </fill>
    <fill>
      <patternFill patternType="solid">
        <fgColor rgb="FFFEFFCD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darkDown">
        <fgColor indexed="9"/>
        <bgColor indexed="55"/>
      </patternFill>
    </fill>
    <fill>
      <patternFill patternType="darkDown">
        <fgColor theme="0" tint="-0.499984740745262"/>
        <bgColor theme="0"/>
      </patternFill>
    </fill>
    <fill>
      <patternFill patternType="solid">
        <fgColor indexed="8"/>
        <bgColor indexed="8"/>
      </patternFill>
    </fill>
    <fill>
      <patternFill patternType="solid">
        <fgColor indexed="6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0.249977111117893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" fillId="0" borderId="0"/>
    <xf numFmtId="0" fontId="64" fillId="0" borderId="0" applyNumberFormat="0" applyFill="0" applyBorder="0" applyAlignment="0" applyProtection="0"/>
  </cellStyleXfs>
  <cellXfs count="621">
    <xf numFmtId="0" fontId="0" fillId="0" borderId="0" xfId="0"/>
    <xf numFmtId="0" fontId="2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3" fillId="0" borderId="0" xfId="1" applyFont="1"/>
    <xf numFmtId="0" fontId="4" fillId="0" borderId="0" xfId="1" applyFont="1"/>
    <xf numFmtId="0" fontId="5" fillId="0" borderId="4" xfId="1" applyFont="1" applyBorder="1" applyProtection="1">
      <protection locked="0"/>
    </xf>
    <xf numFmtId="0" fontId="3" fillId="0" borderId="5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0" xfId="1" applyFont="1" applyProtection="1">
      <protection locked="0"/>
    </xf>
    <xf numFmtId="0" fontId="6" fillId="0" borderId="0" xfId="1" applyFont="1"/>
    <xf numFmtId="0" fontId="5" fillId="0" borderId="0" xfId="1" applyFont="1" applyProtection="1">
      <protection locked="0"/>
    </xf>
    <xf numFmtId="0" fontId="7" fillId="0" borderId="0" xfId="1" applyFont="1"/>
    <xf numFmtId="0" fontId="8" fillId="0" borderId="4" xfId="1" applyFont="1" applyBorder="1"/>
    <xf numFmtId="0" fontId="9" fillId="0" borderId="0" xfId="1" quotePrefix="1" applyFont="1"/>
    <xf numFmtId="0" fontId="10" fillId="0" borderId="0" xfId="1" applyFont="1"/>
    <xf numFmtId="0" fontId="9" fillId="0" borderId="0" xfId="1" applyFont="1"/>
    <xf numFmtId="0" fontId="8" fillId="0" borderId="0" xfId="1" applyFont="1"/>
    <xf numFmtId="0" fontId="2" fillId="0" borderId="0" xfId="1" applyFont="1"/>
    <xf numFmtId="0" fontId="3" fillId="0" borderId="0" xfId="1" quotePrefix="1" applyFont="1"/>
    <xf numFmtId="0" fontId="3" fillId="2" borderId="0" xfId="1" applyFont="1" applyFill="1" applyAlignment="1">
      <alignment horizontal="right"/>
    </xf>
    <xf numFmtId="0" fontId="5" fillId="0" borderId="4" xfId="1" quotePrefix="1" applyFont="1" applyBorder="1" applyProtection="1">
      <protection locked="0"/>
    </xf>
    <xf numFmtId="0" fontId="8" fillId="3" borderId="4" xfId="1" applyFont="1" applyFill="1" applyBorder="1"/>
    <xf numFmtId="164" fontId="3" fillId="0" borderId="0" xfId="1" applyNumberFormat="1" applyFont="1"/>
    <xf numFmtId="15" fontId="3" fillId="0" borderId="0" xfId="1" applyNumberFormat="1" applyFont="1"/>
    <xf numFmtId="1" fontId="3" fillId="0" borderId="0" xfId="1" applyNumberFormat="1" applyFont="1"/>
    <xf numFmtId="165" fontId="3" fillId="0" borderId="0" xfId="1" applyNumberFormat="1" applyFont="1"/>
    <xf numFmtId="0" fontId="11" fillId="0" borderId="0" xfId="1" quotePrefix="1" applyFont="1"/>
    <xf numFmtId="0" fontId="4" fillId="0" borderId="0" xfId="1" quotePrefix="1" applyFont="1"/>
    <xf numFmtId="0" fontId="12" fillId="0" borderId="0" xfId="1" applyFont="1"/>
    <xf numFmtId="0" fontId="13" fillId="0" borderId="0" xfId="1" applyFont="1"/>
    <xf numFmtId="0" fontId="14" fillId="4" borderId="4" xfId="1" applyFont="1" applyFill="1" applyBorder="1"/>
    <xf numFmtId="0" fontId="13" fillId="0" borderId="0" xfId="1" quotePrefix="1" applyFont="1"/>
    <xf numFmtId="0" fontId="15" fillId="0" borderId="0" xfId="1" applyFont="1" applyProtection="1">
      <protection locked="0"/>
    </xf>
    <xf numFmtId="0" fontId="16" fillId="0" borderId="4" xfId="1" applyFont="1" applyBorder="1" applyProtection="1">
      <protection locked="0"/>
    </xf>
    <xf numFmtId="0" fontId="17" fillId="0" borderId="1" xfId="1" applyFont="1" applyBorder="1" applyProtection="1">
      <protection hidden="1"/>
    </xf>
    <xf numFmtId="0" fontId="17" fillId="0" borderId="2" xfId="1" applyFont="1" applyBorder="1" applyProtection="1">
      <protection hidden="1"/>
    </xf>
    <xf numFmtId="0" fontId="17" fillId="0" borderId="3" xfId="1" applyFont="1" applyBorder="1" applyProtection="1">
      <protection hidden="1"/>
    </xf>
    <xf numFmtId="0" fontId="17" fillId="0" borderId="8" xfId="1" applyFont="1" applyBorder="1" applyProtection="1">
      <protection hidden="1"/>
    </xf>
    <xf numFmtId="0" fontId="17" fillId="0" borderId="0" xfId="1" applyFont="1" applyProtection="1">
      <protection hidden="1"/>
    </xf>
    <xf numFmtId="0" fontId="17" fillId="0" borderId="9" xfId="1" applyFont="1" applyBorder="1" applyProtection="1">
      <protection hidden="1"/>
    </xf>
    <xf numFmtId="0" fontId="17" fillId="0" borderId="5" xfId="1" applyFont="1" applyBorder="1" applyProtection="1">
      <protection hidden="1"/>
    </xf>
    <xf numFmtId="0" fontId="17" fillId="0" borderId="6" xfId="1" applyFont="1" applyBorder="1" applyProtection="1">
      <protection hidden="1"/>
    </xf>
    <xf numFmtId="0" fontId="17" fillId="0" borderId="7" xfId="1" applyFont="1" applyBorder="1" applyProtection="1">
      <protection hidden="1"/>
    </xf>
    <xf numFmtId="0" fontId="5" fillId="0" borderId="10" xfId="1" applyFont="1" applyBorder="1" applyProtection="1">
      <protection locked="0"/>
    </xf>
    <xf numFmtId="0" fontId="5" fillId="0" borderId="11" xfId="1" applyFont="1" applyBorder="1" applyProtection="1">
      <protection locked="0"/>
    </xf>
    <xf numFmtId="0" fontId="5" fillId="0" borderId="12" xfId="1" applyFont="1" applyBorder="1" applyProtection="1">
      <protection locked="0"/>
    </xf>
    <xf numFmtId="0" fontId="5" fillId="0" borderId="13" xfId="1" applyFont="1" applyBorder="1" applyProtection="1">
      <protection locked="0"/>
    </xf>
    <xf numFmtId="0" fontId="3" fillId="0" borderId="14" xfId="1" applyFont="1" applyBorder="1"/>
    <xf numFmtId="0" fontId="16" fillId="0" borderId="15" xfId="1" applyFont="1" applyBorder="1" applyProtection="1">
      <protection locked="0"/>
    </xf>
    <xf numFmtId="0" fontId="3" fillId="0" borderId="16" xfId="1" applyFont="1" applyBorder="1"/>
    <xf numFmtId="0" fontId="16" fillId="0" borderId="17" xfId="1" applyFont="1" applyBorder="1" applyProtection="1">
      <protection locked="0"/>
    </xf>
    <xf numFmtId="0" fontId="3" fillId="0" borderId="18" xfId="1" applyFont="1" applyBorder="1"/>
    <xf numFmtId="0" fontId="3" fillId="0" borderId="19" xfId="1" applyFont="1" applyBorder="1"/>
    <xf numFmtId="0" fontId="16" fillId="0" borderId="20" xfId="1" applyFont="1" applyBorder="1" applyProtection="1">
      <protection locked="0"/>
    </xf>
    <xf numFmtId="0" fontId="18" fillId="5" borderId="0" xfId="1" applyFont="1" applyFill="1"/>
    <xf numFmtId="0" fontId="18" fillId="6" borderId="0" xfId="1" applyFont="1" applyFill="1"/>
    <xf numFmtId="0" fontId="1" fillId="0" borderId="0" xfId="1"/>
    <xf numFmtId="0" fontId="19" fillId="6" borderId="0" xfId="1" applyFont="1" applyFill="1" applyProtection="1">
      <protection hidden="1"/>
    </xf>
    <xf numFmtId="0" fontId="18" fillId="6" borderId="0" xfId="1" applyFont="1" applyFill="1" applyProtection="1">
      <protection hidden="1"/>
    </xf>
    <xf numFmtId="0" fontId="20" fillId="6" borderId="0" xfId="1" quotePrefix="1" applyFont="1" applyFill="1" applyProtection="1">
      <protection hidden="1"/>
    </xf>
    <xf numFmtId="0" fontId="21" fillId="6" borderId="0" xfId="1" quotePrefix="1" applyFont="1" applyFill="1" applyProtection="1">
      <protection hidden="1"/>
    </xf>
    <xf numFmtId="0" fontId="1" fillId="7" borderId="0" xfId="1" applyFill="1"/>
    <xf numFmtId="0" fontId="22" fillId="6" borderId="0" xfId="1" quotePrefix="1" applyFont="1" applyFill="1" applyProtection="1">
      <protection hidden="1"/>
    </xf>
    <xf numFmtId="0" fontId="23" fillId="8" borderId="0" xfId="1" quotePrefix="1" applyFont="1" applyFill="1"/>
    <xf numFmtId="0" fontId="24" fillId="8" borderId="0" xfId="1" applyFont="1" applyFill="1"/>
    <xf numFmtId="0" fontId="25" fillId="8" borderId="0" xfId="1" applyFont="1" applyFill="1"/>
    <xf numFmtId="0" fontId="25" fillId="8" borderId="0" xfId="1" quotePrefix="1" applyFont="1" applyFill="1"/>
    <xf numFmtId="0" fontId="26" fillId="7" borderId="0" xfId="1" applyFont="1" applyFill="1" applyProtection="1">
      <protection hidden="1"/>
    </xf>
    <xf numFmtId="0" fontId="24" fillId="7" borderId="0" xfId="1" applyFont="1" applyFill="1" applyProtection="1">
      <protection hidden="1"/>
    </xf>
    <xf numFmtId="0" fontId="25" fillId="9" borderId="21" xfId="1" applyFont="1" applyFill="1" applyBorder="1" applyProtection="1">
      <protection locked="0"/>
    </xf>
    <xf numFmtId="0" fontId="25" fillId="9" borderId="22" xfId="1" applyFont="1" applyFill="1" applyBorder="1" applyProtection="1">
      <protection locked="0"/>
    </xf>
    <xf numFmtId="0" fontId="25" fillId="9" borderId="23" xfId="1" applyFont="1" applyFill="1" applyBorder="1" applyProtection="1">
      <protection locked="0"/>
    </xf>
    <xf numFmtId="0" fontId="1" fillId="8" borderId="0" xfId="1" applyFill="1"/>
    <xf numFmtId="0" fontId="1" fillId="8" borderId="0" xfId="1" quotePrefix="1" applyFill="1" applyProtection="1">
      <protection hidden="1"/>
    </xf>
    <xf numFmtId="0" fontId="26" fillId="8" borderId="0" xfId="1" applyFont="1" applyFill="1" applyProtection="1">
      <protection hidden="1"/>
    </xf>
    <xf numFmtId="0" fontId="24" fillId="8" borderId="0" xfId="1" applyFont="1" applyFill="1" applyProtection="1">
      <protection hidden="1"/>
    </xf>
    <xf numFmtId="0" fontId="1" fillId="8" borderId="0" xfId="1" quotePrefix="1" applyFill="1"/>
    <xf numFmtId="0" fontId="27" fillId="7" borderId="0" xfId="1" applyFont="1" applyFill="1" applyProtection="1">
      <protection hidden="1"/>
    </xf>
    <xf numFmtId="0" fontId="13" fillId="8" borderId="0" xfId="1" applyFont="1" applyFill="1"/>
    <xf numFmtId="0" fontId="8" fillId="7" borderId="0" xfId="1" applyFont="1" applyFill="1" applyProtection="1">
      <protection hidden="1"/>
    </xf>
    <xf numFmtId="0" fontId="28" fillId="6" borderId="0" xfId="1" applyFont="1" applyFill="1" applyProtection="1">
      <protection hidden="1"/>
    </xf>
    <xf numFmtId="0" fontId="29" fillId="6" borderId="0" xfId="1" applyFont="1" applyFill="1" applyProtection="1">
      <protection hidden="1"/>
    </xf>
    <xf numFmtId="0" fontId="8" fillId="8" borderId="0" xfId="1" applyFont="1" applyFill="1" applyProtection="1">
      <protection hidden="1"/>
    </xf>
    <xf numFmtId="0" fontId="27" fillId="8" borderId="0" xfId="1" applyFont="1" applyFill="1" applyAlignment="1" applyProtection="1">
      <alignment horizontal="center" wrapText="1"/>
      <protection hidden="1"/>
    </xf>
    <xf numFmtId="0" fontId="27" fillId="7" borderId="0" xfId="1" applyFont="1" applyFill="1" applyAlignment="1" applyProtection="1">
      <alignment vertical="center" wrapText="1"/>
      <protection hidden="1"/>
    </xf>
    <xf numFmtId="49" fontId="3" fillId="9" borderId="24" xfId="1" applyNumberFormat="1" applyFont="1" applyFill="1" applyBorder="1" applyAlignment="1" applyProtection="1">
      <alignment horizontal="center" vertical="center" wrapText="1"/>
      <protection locked="0"/>
    </xf>
    <xf numFmtId="0" fontId="30" fillId="8" borderId="0" xfId="1" applyFont="1" applyFill="1" applyAlignment="1" applyProtection="1">
      <alignment horizontal="center" wrapText="1"/>
      <protection hidden="1"/>
    </xf>
    <xf numFmtId="0" fontId="2" fillId="8" borderId="0" xfId="1" applyFont="1" applyFill="1" applyAlignment="1" applyProtection="1">
      <alignment horizontal="center" wrapText="1"/>
      <protection hidden="1"/>
    </xf>
    <xf numFmtId="0" fontId="25" fillId="8" borderId="0" xfId="1" quotePrefix="1" applyFont="1" applyFill="1" applyAlignment="1" applyProtection="1">
      <alignment horizontal="center"/>
      <protection hidden="1"/>
    </xf>
    <xf numFmtId="0" fontId="27" fillId="8" borderId="0" xfId="1" applyFont="1" applyFill="1" applyProtection="1">
      <protection hidden="1"/>
    </xf>
    <xf numFmtId="3" fontId="31" fillId="9" borderId="25" xfId="1" applyNumberFormat="1" applyFont="1" applyFill="1" applyBorder="1" applyProtection="1">
      <protection locked="0"/>
    </xf>
    <xf numFmtId="3" fontId="31" fillId="8" borderId="26" xfId="1" quotePrefix="1" applyNumberFormat="1" applyFont="1" applyFill="1" applyBorder="1" applyAlignment="1" applyProtection="1">
      <alignment horizontal="right"/>
      <protection hidden="1"/>
    </xf>
    <xf numFmtId="3" fontId="25" fillId="8" borderId="0" xfId="1" quotePrefix="1" applyNumberFormat="1" applyFont="1" applyFill="1" applyAlignment="1" applyProtection="1">
      <alignment horizontal="right"/>
      <protection hidden="1"/>
    </xf>
    <xf numFmtId="3" fontId="31" fillId="8" borderId="0" xfId="1" quotePrefix="1" applyNumberFormat="1" applyFont="1" applyFill="1" applyAlignment="1" applyProtection="1">
      <alignment horizontal="right"/>
      <protection hidden="1"/>
    </xf>
    <xf numFmtId="0" fontId="25" fillId="8" borderId="0" xfId="1" applyFont="1" applyFill="1" applyProtection="1">
      <protection hidden="1"/>
    </xf>
    <xf numFmtId="3" fontId="31" fillId="8" borderId="27" xfId="1" quotePrefix="1" applyNumberFormat="1" applyFont="1" applyFill="1" applyBorder="1" applyAlignment="1" applyProtection="1">
      <alignment horizontal="right"/>
      <protection hidden="1"/>
    </xf>
    <xf numFmtId="10" fontId="31" fillId="8" borderId="0" xfId="1" quotePrefix="1" applyNumberFormat="1" applyFont="1" applyFill="1" applyProtection="1">
      <protection hidden="1"/>
    </xf>
    <xf numFmtId="10" fontId="31" fillId="8" borderId="0" xfId="1" applyNumberFormat="1" applyFont="1" applyFill="1" applyProtection="1">
      <protection hidden="1"/>
    </xf>
    <xf numFmtId="3" fontId="31" fillId="8" borderId="0" xfId="1" applyNumberFormat="1" applyFont="1" applyFill="1" applyProtection="1">
      <protection hidden="1"/>
    </xf>
    <xf numFmtId="3" fontId="1" fillId="8" borderId="0" xfId="1" applyNumberFormat="1" applyFill="1"/>
    <xf numFmtId="10" fontId="1" fillId="8" borderId="0" xfId="1" applyNumberFormat="1" applyFill="1"/>
    <xf numFmtId="3" fontId="3" fillId="8" borderId="28" xfId="1" applyNumberFormat="1" applyFont="1" applyFill="1" applyBorder="1" applyAlignment="1" applyProtection="1">
      <alignment horizontal="center" wrapText="1"/>
      <protection hidden="1"/>
    </xf>
    <xf numFmtId="0" fontId="30" fillId="8" borderId="0" xfId="1" applyFont="1" applyFill="1" applyAlignment="1" applyProtection="1">
      <alignment horizontal="center"/>
      <protection hidden="1"/>
    </xf>
    <xf numFmtId="3" fontId="25" fillId="9" borderId="25" xfId="1" applyNumberFormat="1" applyFont="1" applyFill="1" applyBorder="1" applyProtection="1">
      <protection locked="0"/>
    </xf>
    <xf numFmtId="0" fontId="24" fillId="8" borderId="0" xfId="1" quotePrefix="1" applyFont="1" applyFill="1" applyAlignment="1">
      <alignment horizontal="center"/>
    </xf>
    <xf numFmtId="3" fontId="1" fillId="8" borderId="27" xfId="1" applyNumberFormat="1" applyFill="1" applyBorder="1"/>
    <xf numFmtId="0" fontId="7" fillId="8" borderId="0" xfId="1" applyFont="1" applyFill="1"/>
    <xf numFmtId="0" fontId="18" fillId="10" borderId="21" xfId="1" applyFont="1" applyFill="1" applyBorder="1"/>
    <xf numFmtId="0" fontId="18" fillId="10" borderId="22" xfId="1" applyFont="1" applyFill="1" applyBorder="1"/>
    <xf numFmtId="0" fontId="18" fillId="10" borderId="23" xfId="1" applyFont="1" applyFill="1" applyBorder="1"/>
    <xf numFmtId="0" fontId="31" fillId="0" borderId="0" xfId="1" applyFont="1"/>
    <xf numFmtId="3" fontId="31" fillId="4" borderId="1" xfId="1" quotePrefix="1" applyNumberFormat="1" applyFont="1" applyFill="1" applyBorder="1"/>
    <xf numFmtId="3" fontId="31" fillId="4" borderId="2" xfId="1" quotePrefix="1" applyNumberFormat="1" applyFont="1" applyFill="1" applyBorder="1"/>
    <xf numFmtId="3" fontId="31" fillId="4" borderId="3" xfId="1" quotePrefix="1" applyNumberFormat="1" applyFont="1" applyFill="1" applyBorder="1"/>
    <xf numFmtId="3" fontId="31" fillId="4" borderId="8" xfId="1" quotePrefix="1" applyNumberFormat="1" applyFont="1" applyFill="1" applyBorder="1"/>
    <xf numFmtId="3" fontId="31" fillId="4" borderId="0" xfId="1" quotePrefix="1" applyNumberFormat="1" applyFont="1" applyFill="1"/>
    <xf numFmtId="3" fontId="31" fillId="4" borderId="9" xfId="1" quotePrefix="1" applyNumberFormat="1" applyFont="1" applyFill="1" applyBorder="1"/>
    <xf numFmtId="3" fontId="31" fillId="4" borderId="5" xfId="1" quotePrefix="1" applyNumberFormat="1" applyFont="1" applyFill="1" applyBorder="1"/>
    <xf numFmtId="3" fontId="31" fillId="4" borderId="6" xfId="1" quotePrefix="1" applyNumberFormat="1" applyFont="1" applyFill="1" applyBorder="1"/>
    <xf numFmtId="3" fontId="31" fillId="4" borderId="7" xfId="1" quotePrefix="1" applyNumberFormat="1" applyFont="1" applyFill="1" applyBorder="1"/>
    <xf numFmtId="0" fontId="31" fillId="4" borderId="0" xfId="1" applyFont="1" applyFill="1"/>
    <xf numFmtId="3" fontId="31" fillId="4" borderId="0" xfId="1" quotePrefix="1" applyNumberFormat="1" applyFont="1" applyFill="1" applyAlignment="1">
      <alignment horizontal="right"/>
    </xf>
    <xf numFmtId="0" fontId="18" fillId="8" borderId="23" xfId="1" applyFont="1" applyFill="1" applyBorder="1"/>
    <xf numFmtId="0" fontId="18" fillId="8" borderId="22" xfId="1" applyFont="1" applyFill="1" applyBorder="1"/>
    <xf numFmtId="0" fontId="18" fillId="8" borderId="21" xfId="1" applyFont="1" applyFill="1" applyBorder="1"/>
    <xf numFmtId="3" fontId="31" fillId="8" borderId="0" xfId="1" quotePrefix="1" applyNumberFormat="1" applyFont="1" applyFill="1" applyAlignment="1">
      <alignment horizontal="right"/>
    </xf>
    <xf numFmtId="0" fontId="31" fillId="8" borderId="0" xfId="1" applyFont="1" applyFill="1"/>
    <xf numFmtId="3" fontId="31" fillId="8" borderId="9" xfId="1" quotePrefix="1" applyNumberFormat="1" applyFont="1" applyFill="1" applyBorder="1"/>
    <xf numFmtId="3" fontId="31" fillId="8" borderId="0" xfId="1" quotePrefix="1" applyNumberFormat="1" applyFont="1" applyFill="1"/>
    <xf numFmtId="3" fontId="31" fillId="8" borderId="8" xfId="1" quotePrefix="1" applyNumberFormat="1" applyFont="1" applyFill="1" applyBorder="1"/>
    <xf numFmtId="3" fontId="31" fillId="8" borderId="7" xfId="1" quotePrefix="1" applyNumberFormat="1" applyFont="1" applyFill="1" applyBorder="1"/>
    <xf numFmtId="3" fontId="31" fillId="8" borderId="6" xfId="1" quotePrefix="1" applyNumberFormat="1" applyFont="1" applyFill="1" applyBorder="1"/>
    <xf numFmtId="3" fontId="31" fillId="8" borderId="5" xfId="1" quotePrefix="1" applyNumberFormat="1" applyFont="1" applyFill="1" applyBorder="1"/>
    <xf numFmtId="3" fontId="31" fillId="8" borderId="3" xfId="1" quotePrefix="1" applyNumberFormat="1" applyFont="1" applyFill="1" applyBorder="1"/>
    <xf numFmtId="3" fontId="31" fillId="8" borderId="2" xfId="1" quotePrefix="1" applyNumberFormat="1" applyFont="1" applyFill="1" applyBorder="1"/>
    <xf numFmtId="3" fontId="31" fillId="8" borderId="1" xfId="1" quotePrefix="1" applyNumberFormat="1" applyFont="1" applyFill="1" applyBorder="1"/>
    <xf numFmtId="3" fontId="1" fillId="8" borderId="0" xfId="1" quotePrefix="1" applyNumberFormat="1" applyFill="1" applyAlignment="1">
      <alignment horizontal="right"/>
    </xf>
    <xf numFmtId="0" fontId="1" fillId="8" borderId="0" xfId="1" applyFill="1" applyProtection="1">
      <protection hidden="1"/>
    </xf>
    <xf numFmtId="0" fontId="3" fillId="8" borderId="0" xfId="1" applyFont="1" applyFill="1"/>
    <xf numFmtId="0" fontId="3" fillId="8" borderId="0" xfId="1" applyFont="1" applyFill="1" applyProtection="1">
      <protection hidden="1"/>
    </xf>
    <xf numFmtId="0" fontId="1" fillId="7" borderId="0" xfId="1" applyFill="1" applyProtection="1">
      <protection hidden="1"/>
    </xf>
    <xf numFmtId="0" fontId="2" fillId="7" borderId="0" xfId="1" applyFont="1" applyFill="1" applyProtection="1">
      <protection hidden="1"/>
    </xf>
    <xf numFmtId="0" fontId="32" fillId="7" borderId="0" xfId="1" applyFont="1" applyFill="1" applyProtection="1">
      <protection hidden="1"/>
    </xf>
    <xf numFmtId="0" fontId="1" fillId="8" borderId="0" xfId="1" quotePrefix="1" applyFill="1" applyAlignment="1" applyProtection="1">
      <alignment horizontal="center"/>
      <protection hidden="1"/>
    </xf>
    <xf numFmtId="0" fontId="32" fillId="8" borderId="0" xfId="1" applyFont="1" applyFill="1" applyProtection="1">
      <protection hidden="1"/>
    </xf>
    <xf numFmtId="0" fontId="31" fillId="8" borderId="0" xfId="1" quotePrefix="1" applyFont="1" applyFill="1" applyAlignment="1" applyProtection="1">
      <alignment horizontal="center"/>
      <protection hidden="1"/>
    </xf>
    <xf numFmtId="0" fontId="32" fillId="8" borderId="0" xfId="1" applyFont="1" applyFill="1" applyAlignment="1" applyProtection="1">
      <alignment horizontal="center" wrapText="1"/>
      <protection hidden="1"/>
    </xf>
    <xf numFmtId="3" fontId="31" fillId="8" borderId="0" xfId="1" applyNumberFormat="1" applyFont="1" applyFill="1"/>
    <xf numFmtId="0" fontId="31" fillId="8" borderId="0" xfId="1" applyFont="1" applyFill="1" applyProtection="1">
      <protection hidden="1"/>
    </xf>
    <xf numFmtId="0" fontId="2" fillId="8" borderId="0" xfId="1" applyFont="1" applyFill="1" applyProtection="1">
      <protection hidden="1"/>
    </xf>
    <xf numFmtId="0" fontId="30" fillId="8" borderId="0" xfId="1" applyFont="1" applyFill="1" applyProtection="1">
      <protection hidden="1"/>
    </xf>
    <xf numFmtId="0" fontId="31" fillId="8" borderId="0" xfId="1" applyFont="1" applyFill="1" applyAlignment="1" applyProtection="1">
      <alignment horizontal="center"/>
      <protection hidden="1"/>
    </xf>
    <xf numFmtId="49" fontId="3" fillId="0" borderId="24" xfId="1" applyNumberFormat="1" applyFont="1" applyBorder="1" applyAlignment="1" applyProtection="1">
      <alignment horizontal="center" vertical="center" wrapText="1"/>
      <protection locked="0"/>
    </xf>
    <xf numFmtId="0" fontId="30" fillId="7" borderId="0" xfId="1" applyFont="1" applyFill="1" applyProtection="1">
      <protection hidden="1"/>
    </xf>
    <xf numFmtId="0" fontId="25" fillId="8" borderId="0" xfId="1" applyFont="1" applyFill="1" applyAlignment="1" applyProtection="1">
      <alignment horizontal="center"/>
      <protection hidden="1"/>
    </xf>
    <xf numFmtId="0" fontId="28" fillId="11" borderId="0" xfId="1" applyFont="1" applyFill="1" applyProtection="1">
      <protection hidden="1"/>
    </xf>
    <xf numFmtId="0" fontId="29" fillId="11" borderId="0" xfId="1" applyFont="1" applyFill="1" applyProtection="1">
      <protection hidden="1"/>
    </xf>
    <xf numFmtId="3" fontId="1" fillId="12" borderId="0" xfId="1" applyNumberFormat="1" applyFill="1"/>
    <xf numFmtId="0" fontId="24" fillId="8" borderId="0" xfId="1" quotePrefix="1" applyFont="1" applyFill="1" applyAlignment="1" applyProtection="1">
      <alignment horizontal="center"/>
      <protection hidden="1"/>
    </xf>
    <xf numFmtId="0" fontId="7" fillId="8" borderId="0" xfId="1" applyFont="1" applyFill="1" applyProtection="1">
      <protection hidden="1"/>
    </xf>
    <xf numFmtId="4" fontId="31" fillId="9" borderId="24" xfId="1" applyNumberFormat="1" applyFont="1" applyFill="1" applyBorder="1" applyProtection="1">
      <protection locked="0"/>
    </xf>
    <xf numFmtId="4" fontId="31" fillId="9" borderId="29" xfId="1" applyNumberFormat="1" applyFont="1" applyFill="1" applyBorder="1" applyProtection="1">
      <protection locked="0"/>
    </xf>
    <xf numFmtId="4" fontId="31" fillId="9" borderId="30" xfId="1" applyNumberFormat="1" applyFont="1" applyFill="1" applyBorder="1" applyProtection="1">
      <protection locked="0"/>
    </xf>
    <xf numFmtId="0" fontId="32" fillId="13" borderId="0" xfId="1" applyFont="1" applyFill="1" applyProtection="1">
      <protection hidden="1"/>
    </xf>
    <xf numFmtId="0" fontId="1" fillId="13" borderId="0" xfId="1" applyFill="1" applyProtection="1">
      <protection hidden="1"/>
    </xf>
    <xf numFmtId="0" fontId="1" fillId="14" borderId="0" xfId="1" applyFill="1" applyProtection="1">
      <protection hidden="1"/>
    </xf>
    <xf numFmtId="3" fontId="32" fillId="8" borderId="27" xfId="1" quotePrefix="1" applyNumberFormat="1" applyFont="1" applyFill="1" applyBorder="1" applyAlignment="1" applyProtection="1">
      <alignment horizontal="right"/>
      <protection hidden="1"/>
    </xf>
    <xf numFmtId="0" fontId="20" fillId="6" borderId="0" xfId="1" applyFont="1" applyFill="1" applyProtection="1">
      <protection hidden="1"/>
    </xf>
    <xf numFmtId="0" fontId="33" fillId="6" borderId="0" xfId="1" applyFont="1" applyFill="1" applyProtection="1">
      <protection hidden="1"/>
    </xf>
    <xf numFmtId="0" fontId="31" fillId="0" borderId="0" xfId="1" applyFont="1" applyProtection="1">
      <protection hidden="1"/>
    </xf>
    <xf numFmtId="0" fontId="32" fillId="0" borderId="1" xfId="1" quotePrefix="1" applyFont="1" applyBorder="1" applyProtection="1">
      <protection hidden="1"/>
    </xf>
    <xf numFmtId="0" fontId="31" fillId="0" borderId="2" xfId="1" applyFont="1" applyBorder="1" applyProtection="1">
      <protection hidden="1"/>
    </xf>
    <xf numFmtId="0" fontId="1" fillId="0" borderId="2" xfId="1" applyBorder="1" applyProtection="1">
      <protection hidden="1"/>
    </xf>
    <xf numFmtId="0" fontId="8" fillId="0" borderId="2" xfId="1" applyFont="1" applyBorder="1" applyProtection="1">
      <protection hidden="1"/>
    </xf>
    <xf numFmtId="0" fontId="31" fillId="0" borderId="3" xfId="1" applyFont="1" applyBorder="1" applyProtection="1">
      <protection hidden="1"/>
    </xf>
    <xf numFmtId="0" fontId="31" fillId="4" borderId="0" xfId="1" applyFont="1" applyFill="1" applyProtection="1">
      <protection hidden="1"/>
    </xf>
    <xf numFmtId="0" fontId="32" fillId="0" borderId="1" xfId="1" applyFont="1" applyBorder="1" applyProtection="1">
      <protection hidden="1"/>
    </xf>
    <xf numFmtId="0" fontId="32" fillId="0" borderId="2" xfId="1" applyFont="1" applyBorder="1" applyProtection="1">
      <protection hidden="1"/>
    </xf>
    <xf numFmtId="0" fontId="34" fillId="0" borderId="2" xfId="1" applyFont="1" applyBorder="1" applyProtection="1">
      <protection hidden="1"/>
    </xf>
    <xf numFmtId="0" fontId="34" fillId="0" borderId="3" xfId="1" applyFont="1" applyBorder="1" applyProtection="1">
      <protection hidden="1"/>
    </xf>
    <xf numFmtId="0" fontId="34" fillId="4" borderId="0" xfId="1" applyFont="1" applyFill="1" applyProtection="1">
      <protection hidden="1"/>
    </xf>
    <xf numFmtId="0" fontId="34" fillId="0" borderId="0" xfId="1" applyFont="1" applyProtection="1">
      <protection hidden="1"/>
    </xf>
    <xf numFmtId="0" fontId="31" fillId="0" borderId="2" xfId="1" quotePrefix="1" applyFont="1" applyBorder="1" applyProtection="1">
      <protection hidden="1"/>
    </xf>
    <xf numFmtId="0" fontId="32" fillId="0" borderId="2" xfId="1" quotePrefix="1" applyFont="1" applyBorder="1" applyProtection="1">
      <protection hidden="1"/>
    </xf>
    <xf numFmtId="3" fontId="31" fillId="0" borderId="2" xfId="1" quotePrefix="1" applyNumberFormat="1" applyFont="1" applyBorder="1" applyProtection="1">
      <protection hidden="1"/>
    </xf>
    <xf numFmtId="166" fontId="31" fillId="0" borderId="2" xfId="1" applyNumberFormat="1" applyFont="1" applyBorder="1" applyProtection="1">
      <protection hidden="1"/>
    </xf>
    <xf numFmtId="166" fontId="31" fillId="0" borderId="2" xfId="1" quotePrefix="1" applyNumberFormat="1" applyFont="1" applyBorder="1" applyProtection="1">
      <protection hidden="1"/>
    </xf>
    <xf numFmtId="3" fontId="31" fillId="0" borderId="3" xfId="1" applyNumberFormat="1" applyFont="1" applyBorder="1" applyProtection="1">
      <protection hidden="1"/>
    </xf>
    <xf numFmtId="0" fontId="35" fillId="0" borderId="5" xfId="1" quotePrefix="1" applyFont="1" applyBorder="1" applyProtection="1">
      <protection hidden="1"/>
    </xf>
    <xf numFmtId="0" fontId="35" fillId="0" borderId="6" xfId="1" quotePrefix="1" applyFont="1" applyBorder="1" applyProtection="1">
      <protection hidden="1"/>
    </xf>
    <xf numFmtId="0" fontId="31" fillId="0" borderId="6" xfId="1" applyFont="1" applyBorder="1" applyProtection="1">
      <protection hidden="1"/>
    </xf>
    <xf numFmtId="0" fontId="36" fillId="0" borderId="6" xfId="1" quotePrefix="1" applyFont="1" applyBorder="1" applyProtection="1">
      <protection hidden="1"/>
    </xf>
    <xf numFmtId="0" fontId="8" fillId="0" borderId="6" xfId="1" applyFont="1" applyBorder="1" applyProtection="1">
      <protection hidden="1"/>
    </xf>
    <xf numFmtId="0" fontId="32" fillId="0" borderId="6" xfId="1" applyFont="1" applyBorder="1" applyAlignment="1" applyProtection="1">
      <alignment horizontal="center" wrapText="1"/>
      <protection hidden="1"/>
    </xf>
    <xf numFmtId="0" fontId="31" fillId="0" borderId="7" xfId="1" applyFont="1" applyBorder="1" applyProtection="1">
      <protection hidden="1"/>
    </xf>
    <xf numFmtId="0" fontId="32" fillId="0" borderId="5" xfId="1" applyFont="1" applyBorder="1" applyProtection="1">
      <protection hidden="1"/>
    </xf>
    <xf numFmtId="0" fontId="32" fillId="0" borderId="6" xfId="1" applyFont="1" applyBorder="1" applyProtection="1">
      <protection hidden="1"/>
    </xf>
    <xf numFmtId="0" fontId="34" fillId="0" borderId="6" xfId="1" applyFont="1" applyBorder="1" applyProtection="1">
      <protection hidden="1"/>
    </xf>
    <xf numFmtId="0" fontId="34" fillId="0" borderId="7" xfId="1" applyFont="1" applyBorder="1" applyProtection="1">
      <protection hidden="1"/>
    </xf>
    <xf numFmtId="0" fontId="32" fillId="0" borderId="8" xfId="1" applyFont="1" applyBorder="1" applyProtection="1">
      <protection hidden="1"/>
    </xf>
    <xf numFmtId="0" fontId="31" fillId="0" borderId="6" xfId="1" quotePrefix="1" applyFont="1" applyBorder="1" applyProtection="1">
      <protection hidden="1"/>
    </xf>
    <xf numFmtId="0" fontId="32" fillId="0" borderId="6" xfId="1" quotePrefix="1" applyFont="1" applyBorder="1" applyProtection="1">
      <protection hidden="1"/>
    </xf>
    <xf numFmtId="3" fontId="31" fillId="0" borderId="6" xfId="1" quotePrefix="1" applyNumberFormat="1" applyFont="1" applyBorder="1" applyProtection="1">
      <protection hidden="1"/>
    </xf>
    <xf numFmtId="166" fontId="31" fillId="0" borderId="6" xfId="1" applyNumberFormat="1" applyFont="1" applyBorder="1" applyProtection="1">
      <protection hidden="1"/>
    </xf>
    <xf numFmtId="166" fontId="31" fillId="0" borderId="6" xfId="1" quotePrefix="1" applyNumberFormat="1" applyFont="1" applyBorder="1" applyProtection="1">
      <protection hidden="1"/>
    </xf>
    <xf numFmtId="3" fontId="31" fillId="0" borderId="7" xfId="1" applyNumberFormat="1" applyFont="1" applyBorder="1" applyProtection="1">
      <protection hidden="1"/>
    </xf>
    <xf numFmtId="0" fontId="31" fillId="0" borderId="4" xfId="1" applyFont="1" applyBorder="1" applyAlignment="1" applyProtection="1">
      <alignment horizontal="center"/>
      <protection hidden="1"/>
    </xf>
    <xf numFmtId="0" fontId="31" fillId="7" borderId="4" xfId="1" applyFont="1" applyFill="1" applyBorder="1" applyProtection="1">
      <protection hidden="1"/>
    </xf>
    <xf numFmtId="0" fontId="31" fillId="0" borderId="4" xfId="1" quotePrefix="1" applyFont="1" applyBorder="1" applyAlignment="1" applyProtection="1">
      <alignment horizontal="center"/>
      <protection hidden="1"/>
    </xf>
    <xf numFmtId="0" fontId="25" fillId="4" borderId="0" xfId="1" applyFont="1" applyFill="1" applyProtection="1">
      <protection hidden="1"/>
    </xf>
    <xf numFmtId="0" fontId="25" fillId="0" borderId="0" xfId="1" applyFont="1" applyProtection="1">
      <protection hidden="1"/>
    </xf>
    <xf numFmtId="0" fontId="31" fillId="0" borderId="31" xfId="1" applyFont="1" applyBorder="1" applyAlignment="1" applyProtection="1">
      <alignment horizontal="center"/>
      <protection hidden="1"/>
    </xf>
    <xf numFmtId="0" fontId="31" fillId="7" borderId="31" xfId="1" applyFont="1" applyFill="1" applyBorder="1" applyAlignment="1" applyProtection="1">
      <alignment horizontal="center"/>
      <protection hidden="1"/>
    </xf>
    <xf numFmtId="0" fontId="31" fillId="0" borderId="25" xfId="1" applyFont="1" applyBorder="1" applyAlignment="1" applyProtection="1">
      <alignment horizontal="center"/>
      <protection hidden="1"/>
    </xf>
    <xf numFmtId="0" fontId="32" fillId="0" borderId="25" xfId="1" quotePrefix="1" applyFont="1" applyBorder="1" applyAlignment="1" applyProtection="1">
      <alignment horizontal="center"/>
      <protection hidden="1"/>
    </xf>
    <xf numFmtId="0" fontId="27" fillId="7" borderId="31" xfId="1" applyFont="1" applyFill="1" applyBorder="1" applyAlignment="1" applyProtection="1">
      <alignment horizontal="center" wrapText="1"/>
      <protection hidden="1"/>
    </xf>
    <xf numFmtId="0" fontId="27" fillId="7" borderId="31" xfId="1" applyFont="1" applyFill="1" applyBorder="1" applyAlignment="1" applyProtection="1">
      <alignment horizontal="center"/>
      <protection hidden="1"/>
    </xf>
    <xf numFmtId="0" fontId="31" fillId="4" borderId="0" xfId="1" applyFont="1" applyFill="1" applyAlignment="1" applyProtection="1">
      <alignment horizontal="center"/>
      <protection hidden="1"/>
    </xf>
    <xf numFmtId="0" fontId="37" fillId="0" borderId="25" xfId="1" quotePrefix="1" applyFont="1" applyBorder="1" applyAlignment="1" applyProtection="1">
      <alignment horizontal="center"/>
      <protection hidden="1"/>
    </xf>
    <xf numFmtId="0" fontId="32" fillId="0" borderId="25" xfId="1" applyFont="1" applyBorder="1" applyAlignment="1" applyProtection="1">
      <alignment horizontal="center" wrapText="1"/>
      <protection hidden="1"/>
    </xf>
    <xf numFmtId="0" fontId="32" fillId="7" borderId="25" xfId="1" quotePrefix="1" applyFont="1" applyFill="1" applyBorder="1" applyAlignment="1" applyProtection="1">
      <alignment horizontal="center"/>
      <protection hidden="1"/>
    </xf>
    <xf numFmtId="0" fontId="27" fillId="7" borderId="25" xfId="1" applyFont="1" applyFill="1" applyBorder="1" applyAlignment="1" applyProtection="1">
      <alignment horizontal="center" wrapText="1"/>
      <protection hidden="1"/>
    </xf>
    <xf numFmtId="0" fontId="27" fillId="7" borderId="25" xfId="1" applyFont="1" applyFill="1" applyBorder="1" applyAlignment="1" applyProtection="1">
      <alignment horizontal="center"/>
      <protection hidden="1"/>
    </xf>
    <xf numFmtId="0" fontId="27" fillId="0" borderId="25" xfId="1" applyFont="1" applyBorder="1" applyAlignment="1" applyProtection="1">
      <alignment horizontal="center" wrapText="1"/>
      <protection hidden="1"/>
    </xf>
    <xf numFmtId="0" fontId="27" fillId="0" borderId="32" xfId="1" applyFont="1" applyBorder="1" applyAlignment="1" applyProtection="1">
      <alignment horizontal="center"/>
      <protection hidden="1"/>
    </xf>
    <xf numFmtId="0" fontId="25" fillId="0" borderId="32" xfId="1" applyFont="1" applyBorder="1" applyAlignment="1" applyProtection="1">
      <alignment horizontal="center"/>
      <protection hidden="1"/>
    </xf>
    <xf numFmtId="0" fontId="32" fillId="7" borderId="25" xfId="1" applyFont="1" applyFill="1" applyBorder="1" applyAlignment="1" applyProtection="1">
      <alignment horizontal="center"/>
      <protection hidden="1"/>
    </xf>
    <xf numFmtId="0" fontId="32" fillId="0" borderId="25" xfId="1" applyFont="1" applyBorder="1" applyAlignment="1" applyProtection="1">
      <alignment horizontal="center"/>
      <protection hidden="1"/>
    </xf>
    <xf numFmtId="0" fontId="27" fillId="0" borderId="25" xfId="1" applyFont="1" applyBorder="1" applyAlignment="1" applyProtection="1">
      <alignment horizontal="center"/>
      <protection hidden="1"/>
    </xf>
    <xf numFmtId="0" fontId="9" fillId="0" borderId="25" xfId="1" quotePrefix="1" applyFont="1" applyBorder="1" applyAlignment="1" applyProtection="1">
      <alignment horizontal="center"/>
      <protection hidden="1"/>
    </xf>
    <xf numFmtId="0" fontId="31" fillId="7" borderId="25" xfId="1" applyFont="1" applyFill="1" applyBorder="1" applyAlignment="1" applyProtection="1">
      <alignment horizontal="center" wrapText="1"/>
      <protection hidden="1"/>
    </xf>
    <xf numFmtId="0" fontId="32" fillId="0" borderId="25" xfId="1" quotePrefix="1" applyFont="1" applyBorder="1" applyAlignment="1" applyProtection="1">
      <alignment horizontal="center" wrapText="1"/>
      <protection hidden="1"/>
    </xf>
    <xf numFmtId="164" fontId="38" fillId="7" borderId="25" xfId="1" applyNumberFormat="1" applyFont="1" applyFill="1" applyBorder="1" applyAlignment="1" applyProtection="1">
      <alignment horizontal="center"/>
      <protection hidden="1"/>
    </xf>
    <xf numFmtId="1" fontId="27" fillId="7" borderId="25" xfId="1" quotePrefix="1" applyNumberFormat="1" applyFont="1" applyFill="1" applyBorder="1" applyAlignment="1" applyProtection="1">
      <alignment horizontal="center"/>
      <protection hidden="1"/>
    </xf>
    <xf numFmtId="0" fontId="31" fillId="4" borderId="33" xfId="1" applyFont="1" applyFill="1" applyBorder="1" applyAlignment="1" applyProtection="1">
      <alignment horizontal="center" wrapText="1"/>
      <protection hidden="1"/>
    </xf>
    <xf numFmtId="0" fontId="31" fillId="0" borderId="25" xfId="1" applyFont="1" applyBorder="1" applyAlignment="1" applyProtection="1">
      <alignment horizontal="center" wrapText="1"/>
      <protection hidden="1"/>
    </xf>
    <xf numFmtId="0" fontId="8" fillId="0" borderId="25" xfId="1" applyFont="1" applyBorder="1" applyAlignment="1" applyProtection="1">
      <alignment horizontal="center" wrapText="1"/>
      <protection hidden="1"/>
    </xf>
    <xf numFmtId="0" fontId="27" fillId="0" borderId="32" xfId="1" applyFont="1" applyBorder="1" applyAlignment="1" applyProtection="1">
      <alignment horizontal="center" wrapText="1"/>
      <protection hidden="1"/>
    </xf>
    <xf numFmtId="0" fontId="25" fillId="4" borderId="33" xfId="1" applyFont="1" applyFill="1" applyBorder="1" applyAlignment="1" applyProtection="1">
      <alignment horizontal="center" wrapText="1"/>
      <protection hidden="1"/>
    </xf>
    <xf numFmtId="0" fontId="25" fillId="0" borderId="33" xfId="1" applyFont="1" applyBorder="1" applyAlignment="1" applyProtection="1">
      <alignment horizontal="center" wrapText="1"/>
      <protection hidden="1"/>
    </xf>
    <xf numFmtId="0" fontId="25" fillId="9" borderId="33" xfId="1" applyFont="1" applyFill="1" applyBorder="1" applyAlignment="1" applyProtection="1">
      <alignment horizontal="center" wrapText="1"/>
      <protection hidden="1"/>
    </xf>
    <xf numFmtId="0" fontId="31" fillId="7" borderId="25" xfId="1" applyFont="1" applyFill="1" applyBorder="1" applyAlignment="1" applyProtection="1">
      <alignment horizontal="center"/>
      <protection hidden="1"/>
    </xf>
    <xf numFmtId="0" fontId="32" fillId="7" borderId="25" xfId="1" applyFont="1" applyFill="1" applyBorder="1" applyAlignment="1" applyProtection="1">
      <alignment horizontal="center" wrapText="1"/>
      <protection hidden="1"/>
    </xf>
    <xf numFmtId="166" fontId="27" fillId="7" borderId="25" xfId="1" quotePrefix="1" applyNumberFormat="1" applyFont="1" applyFill="1" applyBorder="1" applyAlignment="1" applyProtection="1">
      <alignment horizontal="center"/>
      <protection hidden="1"/>
    </xf>
    <xf numFmtId="0" fontId="27" fillId="7" borderId="32" xfId="1" applyFont="1" applyFill="1" applyBorder="1" applyAlignment="1" applyProtection="1">
      <alignment horizontal="center" wrapText="1"/>
      <protection hidden="1"/>
    </xf>
    <xf numFmtId="0" fontId="27" fillId="7" borderId="25" xfId="1" quotePrefix="1" applyFont="1" applyFill="1" applyBorder="1" applyAlignment="1" applyProtection="1">
      <alignment horizontal="center"/>
      <protection hidden="1"/>
    </xf>
    <xf numFmtId="0" fontId="32" fillId="0" borderId="34" xfId="1" applyFont="1" applyBorder="1" applyAlignment="1" applyProtection="1">
      <alignment horizontal="center" wrapText="1"/>
      <protection hidden="1"/>
    </xf>
    <xf numFmtId="0" fontId="27" fillId="7" borderId="34" xfId="1" quotePrefix="1" applyFont="1" applyFill="1" applyBorder="1" applyAlignment="1" applyProtection="1">
      <alignment horizontal="center" wrapText="1"/>
      <protection hidden="1"/>
    </xf>
    <xf numFmtId="0" fontId="27" fillId="7" borderId="28" xfId="1" quotePrefix="1" applyFont="1" applyFill="1" applyBorder="1" applyAlignment="1" applyProtection="1">
      <alignment horizontal="center" wrapText="1"/>
      <protection hidden="1"/>
    </xf>
    <xf numFmtId="0" fontId="32" fillId="0" borderId="34" xfId="1" quotePrefix="1" applyFont="1" applyBorder="1" applyAlignment="1" applyProtection="1">
      <alignment horizontal="center"/>
      <protection hidden="1"/>
    </xf>
    <xf numFmtId="10" fontId="27" fillId="7" borderId="34" xfId="1" quotePrefix="1" applyNumberFormat="1" applyFont="1" applyFill="1" applyBorder="1" applyAlignment="1" applyProtection="1">
      <alignment horizontal="center"/>
      <protection hidden="1"/>
    </xf>
    <xf numFmtId="166" fontId="27" fillId="7" borderId="34" xfId="1" quotePrefix="1" applyNumberFormat="1" applyFont="1" applyFill="1" applyBorder="1" applyAlignment="1" applyProtection="1">
      <alignment horizontal="center" wrapText="1"/>
      <protection hidden="1"/>
    </xf>
    <xf numFmtId="3" fontId="3" fillId="4" borderId="0" xfId="1" quotePrefix="1" applyNumberFormat="1" applyFont="1" applyFill="1" applyProtection="1">
      <protection hidden="1"/>
    </xf>
    <xf numFmtId="0" fontId="2" fillId="0" borderId="34" xfId="1" applyFont="1" applyBorder="1" applyAlignment="1" applyProtection="1">
      <alignment horizontal="center" wrapText="1"/>
      <protection hidden="1"/>
    </xf>
    <xf numFmtId="0" fontId="2" fillId="7" borderId="34" xfId="1" applyFont="1" applyFill="1" applyBorder="1" applyAlignment="1" applyProtection="1">
      <alignment horizontal="center" wrapText="1"/>
      <protection hidden="1"/>
    </xf>
    <xf numFmtId="0" fontId="27" fillId="0" borderId="35" xfId="1" quotePrefix="1" applyFont="1" applyBorder="1" applyAlignment="1" applyProtection="1">
      <alignment horizontal="center"/>
      <protection hidden="1"/>
    </xf>
    <xf numFmtId="0" fontId="7" fillId="0" borderId="34" xfId="1" applyFont="1" applyBorder="1" applyAlignment="1" applyProtection="1">
      <alignment wrapText="1"/>
      <protection hidden="1"/>
    </xf>
    <xf numFmtId="3" fontId="3" fillId="0" borderId="0" xfId="1" quotePrefix="1" applyNumberFormat="1" applyFont="1" applyProtection="1">
      <protection hidden="1"/>
    </xf>
    <xf numFmtId="3" fontId="31" fillId="0" borderId="0" xfId="1" applyNumberFormat="1" applyFont="1" applyProtection="1">
      <protection hidden="1"/>
    </xf>
    <xf numFmtId="0" fontId="31" fillId="0" borderId="31" xfId="1" quotePrefix="1" applyFont="1" applyBorder="1" applyProtection="1">
      <protection hidden="1"/>
    </xf>
    <xf numFmtId="0" fontId="31" fillId="7" borderId="25" xfId="1" applyFont="1" applyFill="1" applyBorder="1" applyProtection="1">
      <protection hidden="1"/>
    </xf>
    <xf numFmtId="3" fontId="31" fillId="0" borderId="25" xfId="1" quotePrefix="1" applyNumberFormat="1" applyFont="1" applyBorder="1" applyProtection="1">
      <protection hidden="1"/>
    </xf>
    <xf numFmtId="166" fontId="31" fillId="0" borderId="25" xfId="1" quotePrefix="1" applyNumberFormat="1" applyFont="1" applyBorder="1" applyProtection="1">
      <protection hidden="1"/>
    </xf>
    <xf numFmtId="3" fontId="31" fillId="0" borderId="25" xfId="1" applyNumberFormat="1" applyFont="1" applyBorder="1" applyProtection="1">
      <protection hidden="1"/>
    </xf>
    <xf numFmtId="0" fontId="31" fillId="7" borderId="25" xfId="1" quotePrefix="1" applyFont="1" applyFill="1" applyBorder="1" applyProtection="1">
      <protection hidden="1"/>
    </xf>
    <xf numFmtId="3" fontId="31" fillId="0" borderId="31" xfId="1" applyNumberFormat="1" applyFont="1" applyBorder="1" applyProtection="1">
      <protection hidden="1"/>
    </xf>
    <xf numFmtId="3" fontId="3" fillId="0" borderId="0" xfId="1" applyNumberFormat="1" applyFont="1" applyProtection="1">
      <protection hidden="1"/>
    </xf>
    <xf numFmtId="3" fontId="31" fillId="12" borderId="0" xfId="1" quotePrefix="1" applyNumberFormat="1" applyFont="1" applyFill="1" applyProtection="1">
      <protection hidden="1"/>
    </xf>
    <xf numFmtId="0" fontId="31" fillId="0" borderId="0" xfId="1" quotePrefix="1" applyFont="1" applyProtection="1">
      <protection hidden="1"/>
    </xf>
    <xf numFmtId="0" fontId="31" fillId="0" borderId="25" xfId="1" quotePrefix="1" applyFont="1" applyBorder="1" applyProtection="1">
      <protection hidden="1"/>
    </xf>
    <xf numFmtId="0" fontId="31" fillId="7" borderId="0" xfId="1" applyFont="1" applyFill="1" applyProtection="1">
      <protection hidden="1"/>
    </xf>
    <xf numFmtId="0" fontId="31" fillId="7" borderId="33" xfId="1" applyFont="1" applyFill="1" applyBorder="1" applyProtection="1">
      <protection hidden="1"/>
    </xf>
    <xf numFmtId="0" fontId="2" fillId="0" borderId="21" xfId="1" applyFont="1" applyBorder="1" applyProtection="1">
      <protection hidden="1"/>
    </xf>
    <xf numFmtId="0" fontId="31" fillId="0" borderId="22" xfId="1" applyFont="1" applyBorder="1" applyProtection="1">
      <protection hidden="1"/>
    </xf>
    <xf numFmtId="0" fontId="31" fillId="9" borderId="23" xfId="1" applyFont="1" applyFill="1" applyBorder="1" applyProtection="1">
      <protection hidden="1"/>
    </xf>
    <xf numFmtId="3" fontId="31" fillId="0" borderId="36" xfId="1" quotePrefix="1" applyNumberFormat="1" applyFont="1" applyBorder="1" applyProtection="1">
      <protection hidden="1"/>
    </xf>
    <xf numFmtId="166" fontId="31" fillId="7" borderId="4" xfId="1" applyNumberFormat="1" applyFont="1" applyFill="1" applyBorder="1" applyProtection="1">
      <protection hidden="1"/>
    </xf>
    <xf numFmtId="166" fontId="31" fillId="7" borderId="4" xfId="1" quotePrefix="1" applyNumberFormat="1" applyFont="1" applyFill="1" applyBorder="1" applyProtection="1">
      <protection hidden="1"/>
    </xf>
    <xf numFmtId="166" fontId="8" fillId="7" borderId="20" xfId="1" quotePrefix="1" applyNumberFormat="1" applyFont="1" applyFill="1" applyBorder="1" applyAlignment="1" applyProtection="1">
      <alignment horizontal="center" wrapText="1"/>
      <protection hidden="1"/>
    </xf>
    <xf numFmtId="3" fontId="31" fillId="4" borderId="0" xfId="1" applyNumberFormat="1" applyFont="1" applyFill="1" applyProtection="1">
      <protection hidden="1"/>
    </xf>
    <xf numFmtId="0" fontId="31" fillId="0" borderId="21" xfId="1" applyFont="1" applyBorder="1" applyProtection="1">
      <protection hidden="1"/>
    </xf>
    <xf numFmtId="3" fontId="31" fillId="0" borderId="37" xfId="1" quotePrefix="1" applyNumberFormat="1" applyFont="1" applyBorder="1" applyProtection="1">
      <protection hidden="1"/>
    </xf>
    <xf numFmtId="3" fontId="31" fillId="0" borderId="38" xfId="1" applyNumberFormat="1" applyFont="1" applyBorder="1" applyProtection="1">
      <protection hidden="1"/>
    </xf>
    <xf numFmtId="0" fontId="2" fillId="7" borderId="39" xfId="1" applyFont="1" applyFill="1" applyBorder="1" applyProtection="1">
      <protection hidden="1"/>
    </xf>
    <xf numFmtId="0" fontId="31" fillId="7" borderId="40" xfId="1" applyFont="1" applyFill="1" applyBorder="1" applyProtection="1">
      <protection hidden="1"/>
    </xf>
    <xf numFmtId="0" fontId="31" fillId="7" borderId="41" xfId="1" applyFont="1" applyFill="1" applyBorder="1" applyProtection="1">
      <protection hidden="1"/>
    </xf>
    <xf numFmtId="3" fontId="31" fillId="0" borderId="31" xfId="1" quotePrefix="1" applyNumberFormat="1" applyFont="1" applyBorder="1" applyProtection="1">
      <protection hidden="1"/>
    </xf>
    <xf numFmtId="166" fontId="31" fillId="7" borderId="31" xfId="1" applyNumberFormat="1" applyFont="1" applyFill="1" applyBorder="1" applyProtection="1">
      <protection hidden="1"/>
    </xf>
    <xf numFmtId="0" fontId="3" fillId="0" borderId="4" xfId="1" applyFont="1" applyBorder="1" applyAlignment="1" applyProtection="1">
      <alignment wrapText="1"/>
      <protection hidden="1"/>
    </xf>
    <xf numFmtId="0" fontId="31" fillId="0" borderId="4" xfId="1" quotePrefix="1" applyFont="1" applyBorder="1" applyProtection="1">
      <protection hidden="1"/>
    </xf>
    <xf numFmtId="3" fontId="32" fillId="7" borderId="0" xfId="1" quotePrefix="1" applyNumberFormat="1" applyFont="1" applyFill="1" applyAlignment="1" applyProtection="1">
      <alignment horizontal="right" vertical="center"/>
      <protection hidden="1"/>
    </xf>
    <xf numFmtId="3" fontId="31" fillId="0" borderId="34" xfId="1" quotePrefix="1" applyNumberFormat="1" applyFont="1" applyBorder="1" applyProtection="1">
      <protection hidden="1"/>
    </xf>
    <xf numFmtId="166" fontId="31" fillId="0" borderId="4" xfId="1" quotePrefix="1" applyNumberFormat="1" applyFont="1" applyBorder="1" applyProtection="1">
      <protection hidden="1"/>
    </xf>
    <xf numFmtId="3" fontId="31" fillId="0" borderId="34" xfId="1" applyNumberFormat="1" applyFont="1" applyBorder="1" applyProtection="1">
      <protection hidden="1"/>
    </xf>
    <xf numFmtId="3" fontId="31" fillId="0" borderId="0" xfId="1" quotePrefix="1" applyNumberFormat="1" applyFont="1" applyProtection="1">
      <protection hidden="1"/>
    </xf>
    <xf numFmtId="0" fontId="31" fillId="0" borderId="42" xfId="1" quotePrefix="1" applyFont="1" applyBorder="1" applyProtection="1">
      <protection hidden="1"/>
    </xf>
    <xf numFmtId="0" fontId="31" fillId="0" borderId="38" xfId="1" applyFont="1" applyBorder="1" applyProtection="1">
      <protection hidden="1"/>
    </xf>
    <xf numFmtId="0" fontId="31" fillId="0" borderId="43" xfId="1" applyFont="1" applyBorder="1" applyProtection="1">
      <protection hidden="1"/>
    </xf>
    <xf numFmtId="166" fontId="31" fillId="7" borderId="25" xfId="1" applyNumberFormat="1" applyFont="1" applyFill="1" applyBorder="1" applyProtection="1">
      <protection hidden="1"/>
    </xf>
    <xf numFmtId="0" fontId="2" fillId="0" borderId="42" xfId="1" applyFont="1" applyBorder="1" applyProtection="1">
      <protection hidden="1"/>
    </xf>
    <xf numFmtId="3" fontId="31" fillId="0" borderId="4" xfId="1" quotePrefix="1" applyNumberFormat="1" applyFont="1" applyBorder="1" applyProtection="1">
      <protection hidden="1"/>
    </xf>
    <xf numFmtId="0" fontId="2" fillId="0" borderId="0" xfId="1" applyFont="1" applyProtection="1">
      <protection hidden="1"/>
    </xf>
    <xf numFmtId="166" fontId="31" fillId="0" borderId="0" xfId="1" applyNumberFormat="1" applyFont="1" applyProtection="1">
      <protection hidden="1"/>
    </xf>
    <xf numFmtId="0" fontId="31" fillId="0" borderId="26" xfId="1" applyFont="1" applyBorder="1" applyProtection="1">
      <protection hidden="1"/>
    </xf>
    <xf numFmtId="0" fontId="31" fillId="0" borderId="33" xfId="1" applyFont="1" applyBorder="1" applyProtection="1">
      <protection hidden="1"/>
    </xf>
    <xf numFmtId="0" fontId="31" fillId="0" borderId="22" xfId="1" quotePrefix="1" applyFont="1" applyBorder="1" applyProtection="1">
      <protection hidden="1"/>
    </xf>
    <xf numFmtId="0" fontId="31" fillId="0" borderId="23" xfId="1" applyFont="1" applyBorder="1" applyProtection="1">
      <protection hidden="1"/>
    </xf>
    <xf numFmtId="3" fontId="32" fillId="0" borderId="0" xfId="1" quotePrefix="1" applyNumberFormat="1" applyFont="1" applyAlignment="1" applyProtection="1">
      <alignment horizontal="right" vertical="center"/>
      <protection hidden="1"/>
    </xf>
    <xf numFmtId="166" fontId="31" fillId="0" borderId="0" xfId="1" quotePrefix="1" applyNumberFormat="1" applyFont="1" applyProtection="1">
      <protection hidden="1"/>
    </xf>
    <xf numFmtId="0" fontId="31" fillId="0" borderId="44" xfId="1" quotePrefix="1" applyFont="1" applyBorder="1" applyProtection="1">
      <protection hidden="1"/>
    </xf>
    <xf numFmtId="0" fontId="31" fillId="0" borderId="28" xfId="1" applyFont="1" applyBorder="1" applyProtection="1">
      <protection hidden="1"/>
    </xf>
    <xf numFmtId="0" fontId="31" fillId="0" borderId="45" xfId="1" applyFont="1" applyBorder="1" applyProtection="1">
      <protection hidden="1"/>
    </xf>
    <xf numFmtId="166" fontId="31" fillId="7" borderId="34" xfId="1" applyNumberFormat="1" applyFont="1" applyFill="1" applyBorder="1" applyProtection="1">
      <protection hidden="1"/>
    </xf>
    <xf numFmtId="3" fontId="31" fillId="0" borderId="46" xfId="1" quotePrefix="1" applyNumberFormat="1" applyFont="1" applyBorder="1" applyProtection="1">
      <protection hidden="1"/>
    </xf>
    <xf numFmtId="0" fontId="1" fillId="0" borderId="0" xfId="1" applyProtection="1">
      <protection hidden="1"/>
    </xf>
    <xf numFmtId="0" fontId="31" fillId="7" borderId="31" xfId="1" applyFont="1" applyFill="1" applyBorder="1" applyProtection="1">
      <protection hidden="1"/>
    </xf>
    <xf numFmtId="0" fontId="32" fillId="0" borderId="47" xfId="1" applyFont="1" applyBorder="1" applyProtection="1">
      <protection hidden="1"/>
    </xf>
    <xf numFmtId="0" fontId="31" fillId="0" borderId="48" xfId="1" quotePrefix="1" applyFont="1" applyBorder="1" applyProtection="1">
      <protection hidden="1"/>
    </xf>
    <xf numFmtId="0" fontId="31" fillId="0" borderId="48" xfId="1" applyFont="1" applyBorder="1" applyProtection="1">
      <protection hidden="1"/>
    </xf>
    <xf numFmtId="3" fontId="31" fillId="0" borderId="48" xfId="1" quotePrefix="1" applyNumberFormat="1" applyFont="1" applyBorder="1" applyProtection="1">
      <protection hidden="1"/>
    </xf>
    <xf numFmtId="166" fontId="31" fillId="0" borderId="48" xfId="1" applyNumberFormat="1" applyFont="1" applyBorder="1" applyProtection="1">
      <protection hidden="1"/>
    </xf>
    <xf numFmtId="166" fontId="31" fillId="0" borderId="48" xfId="1" quotePrefix="1" applyNumberFormat="1" applyFont="1" applyBorder="1" applyProtection="1">
      <protection hidden="1"/>
    </xf>
    <xf numFmtId="3" fontId="31" fillId="0" borderId="49" xfId="1" applyNumberFormat="1" applyFont="1" applyBorder="1" applyProtection="1">
      <protection hidden="1"/>
    </xf>
    <xf numFmtId="0" fontId="1" fillId="4" borderId="0" xfId="1" applyFill="1" applyProtection="1">
      <protection hidden="1"/>
    </xf>
    <xf numFmtId="0" fontId="2" fillId="0" borderId="50" xfId="1" applyFont="1" applyBorder="1" applyProtection="1">
      <protection hidden="1"/>
    </xf>
    <xf numFmtId="3" fontId="31" fillId="0" borderId="51" xfId="1" applyNumberFormat="1" applyFont="1" applyBorder="1" applyProtection="1">
      <protection hidden="1"/>
    </xf>
    <xf numFmtId="0" fontId="31" fillId="7" borderId="34" xfId="1" applyFont="1" applyFill="1" applyBorder="1" applyProtection="1">
      <protection hidden="1"/>
    </xf>
    <xf numFmtId="0" fontId="1" fillId="0" borderId="50" xfId="1" applyBorder="1" applyProtection="1">
      <protection hidden="1"/>
    </xf>
    <xf numFmtId="0" fontId="2" fillId="0" borderId="0" xfId="1" quotePrefix="1" applyFont="1" applyProtection="1">
      <protection hidden="1"/>
    </xf>
    <xf numFmtId="0" fontId="31" fillId="0" borderId="51" xfId="1" applyFont="1" applyBorder="1" applyProtection="1">
      <protection hidden="1"/>
    </xf>
    <xf numFmtId="167" fontId="31" fillId="0" borderId="0" xfId="1" applyNumberFormat="1" applyFont="1" applyProtection="1">
      <protection hidden="1"/>
    </xf>
    <xf numFmtId="0" fontId="1" fillId="0" borderId="51" xfId="1" applyBorder="1" applyProtection="1">
      <protection hidden="1"/>
    </xf>
    <xf numFmtId="0" fontId="4" fillId="0" borderId="0" xfId="1" quotePrefix="1" applyFont="1" applyProtection="1">
      <protection hidden="1"/>
    </xf>
    <xf numFmtId="166" fontId="31" fillId="0" borderId="51" xfId="1" quotePrefix="1" applyNumberFormat="1" applyFont="1" applyBorder="1" applyProtection="1">
      <protection hidden="1"/>
    </xf>
    <xf numFmtId="167" fontId="31" fillId="0" borderId="0" xfId="1" quotePrefix="1" applyNumberFormat="1" applyFont="1" applyProtection="1">
      <protection hidden="1"/>
    </xf>
    <xf numFmtId="166" fontId="32" fillId="0" borderId="0" xfId="1" applyNumberFormat="1" applyFont="1" applyProtection="1">
      <protection hidden="1"/>
    </xf>
    <xf numFmtId="166" fontId="37" fillId="0" borderId="0" xfId="1" applyNumberFormat="1" applyFont="1" applyProtection="1">
      <protection hidden="1"/>
    </xf>
    <xf numFmtId="167" fontId="31" fillId="0" borderId="51" xfId="1" applyNumberFormat="1" applyFont="1" applyBorder="1" applyProtection="1">
      <protection hidden="1"/>
    </xf>
    <xf numFmtId="0" fontId="32" fillId="7" borderId="42" xfId="1" applyFont="1" applyFill="1" applyBorder="1" applyProtection="1">
      <protection hidden="1"/>
    </xf>
    <xf numFmtId="0" fontId="31" fillId="7" borderId="38" xfId="1" applyFont="1" applyFill="1" applyBorder="1" applyProtection="1">
      <protection hidden="1"/>
    </xf>
    <xf numFmtId="3" fontId="31" fillId="0" borderId="52" xfId="1" applyNumberFormat="1" applyFont="1" applyBorder="1" applyProtection="1">
      <protection hidden="1"/>
    </xf>
    <xf numFmtId="3" fontId="31" fillId="0" borderId="53" xfId="1" applyNumberFormat="1" applyFont="1" applyBorder="1" applyProtection="1">
      <protection hidden="1"/>
    </xf>
    <xf numFmtId="0" fontId="31" fillId="7" borderId="44" xfId="1" applyFont="1" applyFill="1" applyBorder="1" applyProtection="1">
      <protection hidden="1"/>
    </xf>
    <xf numFmtId="0" fontId="31" fillId="7" borderId="28" xfId="1" applyFont="1" applyFill="1" applyBorder="1" applyProtection="1">
      <protection hidden="1"/>
    </xf>
    <xf numFmtId="0" fontId="31" fillId="7" borderId="45" xfId="1" applyFont="1" applyFill="1" applyBorder="1" applyProtection="1">
      <protection hidden="1"/>
    </xf>
    <xf numFmtId="0" fontId="32" fillId="0" borderId="50" xfId="1" applyFont="1" applyBorder="1" applyProtection="1">
      <protection hidden="1"/>
    </xf>
    <xf numFmtId="167" fontId="31" fillId="0" borderId="0" xfId="1" applyNumberFormat="1" applyFont="1" applyAlignment="1" applyProtection="1">
      <alignment horizontal="right"/>
      <protection hidden="1"/>
    </xf>
    <xf numFmtId="0" fontId="32" fillId="0" borderId="0" xfId="1" applyFont="1" applyProtection="1">
      <protection hidden="1"/>
    </xf>
    <xf numFmtId="0" fontId="32" fillId="0" borderId="54" xfId="1" applyFont="1" applyBorder="1" applyProtection="1">
      <protection hidden="1"/>
    </xf>
    <xf numFmtId="0" fontId="31" fillId="0" borderId="55" xfId="1" quotePrefix="1" applyFont="1" applyBorder="1" applyProtection="1">
      <protection hidden="1"/>
    </xf>
    <xf numFmtId="0" fontId="32" fillId="0" borderId="55" xfId="1" quotePrefix="1" applyFont="1" applyBorder="1" applyProtection="1">
      <protection hidden="1"/>
    </xf>
    <xf numFmtId="3" fontId="31" fillId="0" borderId="55" xfId="1" quotePrefix="1" applyNumberFormat="1" applyFont="1" applyBorder="1" applyProtection="1">
      <protection hidden="1"/>
    </xf>
    <xf numFmtId="166" fontId="31" fillId="0" borderId="55" xfId="1" applyNumberFormat="1" applyFont="1" applyBorder="1" applyProtection="1">
      <protection hidden="1"/>
    </xf>
    <xf numFmtId="166" fontId="31" fillId="0" borderId="55" xfId="1" quotePrefix="1" applyNumberFormat="1" applyFont="1" applyBorder="1" applyProtection="1">
      <protection hidden="1"/>
    </xf>
    <xf numFmtId="3" fontId="31" fillId="0" borderId="56" xfId="1" applyNumberFormat="1" applyFont="1" applyBorder="1" applyProtection="1">
      <protection hidden="1"/>
    </xf>
    <xf numFmtId="0" fontId="32" fillId="0" borderId="39" xfId="1" applyFont="1" applyBorder="1" applyProtection="1">
      <protection hidden="1"/>
    </xf>
    <xf numFmtId="3" fontId="31" fillId="0" borderId="40" xfId="1" applyNumberFormat="1" applyFont="1" applyBorder="1" applyProtection="1">
      <protection hidden="1"/>
    </xf>
    <xf numFmtId="49" fontId="32" fillId="0" borderId="40" xfId="1" applyNumberFormat="1" applyFont="1" applyBorder="1" applyProtection="1">
      <protection hidden="1"/>
    </xf>
    <xf numFmtId="3" fontId="31" fillId="0" borderId="40" xfId="1" quotePrefix="1" applyNumberFormat="1" applyFont="1" applyBorder="1" applyProtection="1">
      <protection hidden="1"/>
    </xf>
    <xf numFmtId="0" fontId="31" fillId="0" borderId="40" xfId="1" quotePrefix="1" applyFont="1" applyBorder="1" applyProtection="1">
      <protection hidden="1"/>
    </xf>
    <xf numFmtId="166" fontId="31" fillId="0" borderId="40" xfId="1" applyNumberFormat="1" applyFont="1" applyBorder="1" applyProtection="1">
      <protection hidden="1"/>
    </xf>
    <xf numFmtId="166" fontId="31" fillId="0" borderId="40" xfId="1" quotePrefix="1" applyNumberFormat="1" applyFont="1" applyBorder="1" applyProtection="1">
      <protection hidden="1"/>
    </xf>
    <xf numFmtId="3" fontId="31" fillId="0" borderId="41" xfId="1" applyNumberFormat="1" applyFont="1" applyBorder="1" applyProtection="1">
      <protection hidden="1"/>
    </xf>
    <xf numFmtId="0" fontId="3" fillId="0" borderId="0" xfId="1" applyFont="1" applyProtection="1">
      <protection hidden="1"/>
    </xf>
    <xf numFmtId="0" fontId="32" fillId="0" borderId="40" xfId="1" quotePrefix="1" applyFont="1" applyBorder="1" applyProtection="1">
      <protection hidden="1"/>
    </xf>
    <xf numFmtId="49" fontId="31" fillId="0" borderId="40" xfId="1" quotePrefix="1" applyNumberFormat="1" applyFont="1" applyBorder="1" applyProtection="1">
      <protection hidden="1"/>
    </xf>
    <xf numFmtId="0" fontId="3" fillId="0" borderId="0" xfId="1" applyFont="1" applyAlignment="1" applyProtection="1">
      <alignment horizontal="center"/>
      <protection hidden="1"/>
    </xf>
    <xf numFmtId="0" fontId="1" fillId="0" borderId="0" xfId="1" quotePrefix="1" applyAlignment="1">
      <alignment horizontal="center"/>
    </xf>
    <xf numFmtId="1" fontId="31" fillId="0" borderId="0" xfId="1" quotePrefix="1" applyNumberFormat="1" applyFont="1" applyProtection="1">
      <protection hidden="1"/>
    </xf>
    <xf numFmtId="166" fontId="3" fillId="0" borderId="0" xfId="1" applyNumberFormat="1" applyFont="1" applyProtection="1">
      <protection hidden="1"/>
    </xf>
    <xf numFmtId="0" fontId="37" fillId="0" borderId="0" xfId="1" applyFont="1" applyProtection="1">
      <protection hidden="1"/>
    </xf>
    <xf numFmtId="166" fontId="31" fillId="12" borderId="0" xfId="1" applyNumberFormat="1" applyFont="1" applyFill="1" applyProtection="1">
      <protection hidden="1"/>
    </xf>
    <xf numFmtId="164" fontId="39" fillId="7" borderId="25" xfId="1" applyNumberFormat="1" applyFont="1" applyFill="1" applyBorder="1" applyAlignment="1" applyProtection="1">
      <alignment horizontal="center"/>
      <protection hidden="1"/>
    </xf>
    <xf numFmtId="0" fontId="21" fillId="6" borderId="0" xfId="1" applyFont="1" applyFill="1" applyProtection="1">
      <protection hidden="1"/>
    </xf>
    <xf numFmtId="0" fontId="1" fillId="0" borderId="33" xfId="1" applyBorder="1"/>
    <xf numFmtId="0" fontId="23" fillId="8" borderId="57" xfId="1" applyFont="1" applyFill="1" applyBorder="1" applyProtection="1">
      <protection hidden="1"/>
    </xf>
    <xf numFmtId="0" fontId="24" fillId="8" borderId="58" xfId="1" applyFont="1" applyFill="1" applyBorder="1" applyProtection="1">
      <protection hidden="1"/>
    </xf>
    <xf numFmtId="0" fontId="26" fillId="8" borderId="58" xfId="1" applyFont="1" applyFill="1" applyBorder="1" applyAlignment="1" applyProtection="1">
      <alignment horizontal="center"/>
      <protection hidden="1"/>
    </xf>
    <xf numFmtId="0" fontId="40" fillId="8" borderId="58" xfId="1" applyFont="1" applyFill="1" applyBorder="1" applyAlignment="1" applyProtection="1">
      <alignment horizontal="center"/>
      <protection hidden="1"/>
    </xf>
    <xf numFmtId="0" fontId="26" fillId="8" borderId="58" xfId="1" applyFont="1" applyFill="1" applyBorder="1" applyProtection="1">
      <protection hidden="1"/>
    </xf>
    <xf numFmtId="0" fontId="41" fillId="8" borderId="58" xfId="1" applyFont="1" applyFill="1" applyBorder="1" applyProtection="1">
      <protection hidden="1"/>
    </xf>
    <xf numFmtId="0" fontId="1" fillId="8" borderId="27" xfId="1" applyFill="1" applyBorder="1" applyProtection="1">
      <protection hidden="1"/>
    </xf>
    <xf numFmtId="0" fontId="1" fillId="8" borderId="10" xfId="1" applyFill="1" applyBorder="1" applyProtection="1">
      <protection hidden="1"/>
    </xf>
    <xf numFmtId="0" fontId="42" fillId="0" borderId="0" xfId="1" applyFont="1"/>
    <xf numFmtId="0" fontId="43" fillId="8" borderId="59" xfId="1" applyFont="1" applyFill="1" applyBorder="1" applyProtection="1">
      <protection hidden="1"/>
    </xf>
    <xf numFmtId="0" fontId="18" fillId="8" borderId="0" xfId="1" applyFont="1" applyFill="1" applyProtection="1">
      <protection hidden="1"/>
    </xf>
    <xf numFmtId="0" fontId="43" fillId="8" borderId="0" xfId="1" applyFont="1" applyFill="1" applyAlignment="1" applyProtection="1">
      <alignment horizontal="center"/>
      <protection hidden="1"/>
    </xf>
    <xf numFmtId="0" fontId="44" fillId="8" borderId="0" xfId="1" applyFont="1" applyFill="1" applyAlignment="1" applyProtection="1">
      <alignment horizontal="center"/>
      <protection hidden="1"/>
    </xf>
    <xf numFmtId="0" fontId="43" fillId="8" borderId="0" xfId="1" applyFont="1" applyFill="1" applyProtection="1">
      <protection hidden="1"/>
    </xf>
    <xf numFmtId="0" fontId="45" fillId="8" borderId="0" xfId="1" applyFont="1" applyFill="1" applyProtection="1">
      <protection hidden="1"/>
    </xf>
    <xf numFmtId="0" fontId="40" fillId="8" borderId="0" xfId="1" applyFont="1" applyFill="1" applyAlignment="1" applyProtection="1">
      <alignment horizontal="center"/>
      <protection hidden="1"/>
    </xf>
    <xf numFmtId="0" fontId="30" fillId="8" borderId="59" xfId="1" applyFont="1" applyFill="1" applyBorder="1" applyProtection="1">
      <protection hidden="1"/>
    </xf>
    <xf numFmtId="0" fontId="47" fillId="0" borderId="61" xfId="1" applyFont="1" applyBorder="1" applyAlignment="1" applyProtection="1">
      <alignment horizontal="center"/>
      <protection hidden="1"/>
    </xf>
    <xf numFmtId="0" fontId="47" fillId="0" borderId="62" xfId="1" applyFont="1" applyBorder="1" applyAlignment="1" applyProtection="1">
      <alignment horizontal="center"/>
      <protection hidden="1"/>
    </xf>
    <xf numFmtId="0" fontId="30" fillId="8" borderId="59" xfId="1" quotePrefix="1" applyFont="1" applyFill="1" applyBorder="1" applyProtection="1">
      <protection hidden="1"/>
    </xf>
    <xf numFmtId="3" fontId="32" fillId="8" borderId="0" xfId="1" applyNumberFormat="1" applyFont="1" applyFill="1" applyAlignment="1" applyProtection="1">
      <alignment horizontal="right"/>
      <protection hidden="1"/>
    </xf>
    <xf numFmtId="0" fontId="1" fillId="8" borderId="0" xfId="1" applyFill="1" applyAlignment="1" applyProtection="1">
      <alignment horizontal="right"/>
      <protection hidden="1"/>
    </xf>
    <xf numFmtId="3" fontId="48" fillId="0" borderId="34" xfId="1" quotePrefix="1" applyNumberFormat="1" applyFont="1" applyBorder="1" applyAlignment="1" applyProtection="1">
      <alignment horizontal="right"/>
      <protection hidden="1"/>
    </xf>
    <xf numFmtId="3" fontId="32" fillId="8" borderId="0" xfId="1" applyNumberFormat="1" applyFont="1" applyFill="1" applyProtection="1">
      <protection hidden="1"/>
    </xf>
    <xf numFmtId="0" fontId="1" fillId="8" borderId="12" xfId="1" applyFill="1" applyBorder="1" applyProtection="1">
      <protection hidden="1"/>
    </xf>
    <xf numFmtId="3" fontId="48" fillId="0" borderId="4" xfId="1" quotePrefix="1" applyNumberFormat="1" applyFont="1" applyBorder="1" applyAlignment="1" applyProtection="1">
      <alignment horizontal="right"/>
      <protection hidden="1"/>
    </xf>
    <xf numFmtId="3" fontId="32" fillId="8" borderId="0" xfId="1" quotePrefix="1" applyNumberFormat="1" applyFont="1" applyFill="1" applyProtection="1">
      <protection hidden="1"/>
    </xf>
    <xf numFmtId="3" fontId="32" fillId="8" borderId="0" xfId="1" quotePrefix="1" applyNumberFormat="1" applyFont="1" applyFill="1" applyAlignment="1" applyProtection="1">
      <alignment horizontal="left"/>
      <protection hidden="1"/>
    </xf>
    <xf numFmtId="3" fontId="32" fillId="8" borderId="0" xfId="1" quotePrefix="1" applyNumberFormat="1" applyFont="1" applyFill="1" applyAlignment="1" applyProtection="1">
      <alignment horizontal="right"/>
      <protection hidden="1"/>
    </xf>
    <xf numFmtId="3" fontId="49" fillId="8" borderId="0" xfId="1" quotePrefix="1" applyNumberFormat="1" applyFont="1" applyFill="1" applyAlignment="1" applyProtection="1">
      <alignment horizontal="right"/>
      <protection hidden="1"/>
    </xf>
    <xf numFmtId="0" fontId="46" fillId="8" borderId="0" xfId="1" quotePrefix="1" applyFont="1" applyFill="1" applyAlignment="1" applyProtection="1">
      <alignment vertical="top"/>
      <protection hidden="1"/>
    </xf>
    <xf numFmtId="0" fontId="1" fillId="16" borderId="0" xfId="1" applyFill="1" applyProtection="1">
      <protection hidden="1"/>
    </xf>
    <xf numFmtId="3" fontId="30" fillId="8" borderId="0" xfId="1" applyNumberFormat="1" applyFont="1" applyFill="1" applyAlignment="1" applyProtection="1">
      <alignment horizontal="right"/>
      <protection hidden="1"/>
    </xf>
    <xf numFmtId="168" fontId="48" fillId="0" borderId="4" xfId="1" quotePrefix="1" applyNumberFormat="1" applyFont="1" applyBorder="1" applyAlignment="1" applyProtection="1">
      <alignment horizontal="right"/>
      <protection hidden="1"/>
    </xf>
    <xf numFmtId="0" fontId="27" fillId="8" borderId="0" xfId="1" applyFont="1" applyFill="1" applyAlignment="1" applyProtection="1">
      <alignment horizontal="left"/>
      <protection hidden="1"/>
    </xf>
    <xf numFmtId="3" fontId="30" fillId="8" borderId="0" xfId="1" quotePrefix="1" applyNumberFormat="1" applyFont="1" applyFill="1" applyAlignment="1" applyProtection="1">
      <alignment horizontal="right"/>
      <protection hidden="1"/>
    </xf>
    <xf numFmtId="169" fontId="48" fillId="0" borderId="4" xfId="1" quotePrefix="1" applyNumberFormat="1" applyFont="1" applyBorder="1" applyAlignment="1" applyProtection="1">
      <alignment horizontal="right"/>
      <protection hidden="1"/>
    </xf>
    <xf numFmtId="4" fontId="1" fillId="16" borderId="28" xfId="1" applyNumberFormat="1" applyFill="1" applyBorder="1" applyAlignment="1" applyProtection="1">
      <alignment horizontal="right"/>
      <protection hidden="1"/>
    </xf>
    <xf numFmtId="3" fontId="1" fillId="8" borderId="0" xfId="1" applyNumberFormat="1" applyFill="1" applyAlignment="1" applyProtection="1">
      <alignment horizontal="right"/>
      <protection hidden="1"/>
    </xf>
    <xf numFmtId="3" fontId="48" fillId="0" borderId="31" xfId="1" quotePrefix="1" applyNumberFormat="1" applyFont="1" applyBorder="1" applyAlignment="1" applyProtection="1">
      <alignment horizontal="right"/>
      <protection hidden="1"/>
    </xf>
    <xf numFmtId="3" fontId="32" fillId="8" borderId="0" xfId="1" applyNumberFormat="1" applyFont="1" applyFill="1" applyAlignment="1" applyProtection="1">
      <alignment horizontal="left"/>
      <protection hidden="1"/>
    </xf>
    <xf numFmtId="3" fontId="1" fillId="8" borderId="0" xfId="1" quotePrefix="1" applyNumberFormat="1" applyFill="1" applyAlignment="1" applyProtection="1">
      <alignment horizontal="right"/>
      <protection hidden="1"/>
    </xf>
    <xf numFmtId="3" fontId="48" fillId="0" borderId="64" xfId="1" quotePrefix="1" applyNumberFormat="1" applyFont="1" applyBorder="1" applyAlignment="1" applyProtection="1">
      <alignment horizontal="right"/>
      <protection hidden="1"/>
    </xf>
    <xf numFmtId="0" fontId="1" fillId="8" borderId="59" xfId="1" applyFill="1" applyBorder="1" applyProtection="1">
      <protection hidden="1"/>
    </xf>
    <xf numFmtId="3" fontId="50" fillId="8" borderId="0" xfId="1" applyNumberFormat="1" applyFont="1" applyFill="1" applyAlignment="1" applyProtection="1">
      <alignment horizontal="right"/>
      <protection hidden="1"/>
    </xf>
    <xf numFmtId="168" fontId="48" fillId="0" borderId="34" xfId="1" quotePrefix="1" applyNumberFormat="1" applyFont="1" applyBorder="1" applyAlignment="1" applyProtection="1">
      <alignment horizontal="right"/>
      <protection hidden="1"/>
    </xf>
    <xf numFmtId="4" fontId="1" fillId="16" borderId="0" xfId="1" applyNumberFormat="1" applyFill="1" applyAlignment="1" applyProtection="1">
      <alignment horizontal="right"/>
      <protection hidden="1"/>
    </xf>
    <xf numFmtId="2" fontId="51" fillId="16" borderId="0" xfId="1" quotePrefix="1" applyNumberFormat="1" applyFont="1" applyFill="1" applyAlignment="1" applyProtection="1">
      <alignment horizontal="right"/>
      <protection hidden="1"/>
    </xf>
    <xf numFmtId="0" fontId="30" fillId="8" borderId="0" xfId="1" quotePrefix="1" applyFont="1" applyFill="1" applyProtection="1">
      <protection hidden="1"/>
    </xf>
    <xf numFmtId="0" fontId="30" fillId="8" borderId="0" xfId="1" applyFont="1" applyFill="1" applyAlignment="1" applyProtection="1">
      <alignment horizontal="right"/>
      <protection hidden="1"/>
    </xf>
    <xf numFmtId="3" fontId="49" fillId="8" borderId="0" xfId="1" applyNumberFormat="1" applyFont="1" applyFill="1" applyProtection="1">
      <protection hidden="1"/>
    </xf>
    <xf numFmtId="3" fontId="52" fillId="8" borderId="0" xfId="1" applyNumberFormat="1" applyFont="1" applyFill="1" applyProtection="1">
      <protection hidden="1"/>
    </xf>
    <xf numFmtId="0" fontId="31" fillId="8" borderId="0" xfId="1" applyFont="1" applyFill="1" applyAlignment="1" applyProtection="1">
      <alignment wrapText="1"/>
      <protection hidden="1"/>
    </xf>
    <xf numFmtId="0" fontId="1" fillId="8" borderId="0" xfId="1" applyFill="1" applyAlignment="1" applyProtection="1">
      <alignment wrapText="1"/>
      <protection hidden="1"/>
    </xf>
    <xf numFmtId="0" fontId="1" fillId="8" borderId="12" xfId="1" applyFill="1" applyBorder="1" applyAlignment="1" applyProtection="1">
      <alignment wrapText="1"/>
      <protection hidden="1"/>
    </xf>
    <xf numFmtId="0" fontId="30" fillId="8" borderId="0" xfId="1" applyFont="1" applyFill="1" applyAlignment="1" applyProtection="1">
      <alignment vertical="center" wrapText="1"/>
      <protection hidden="1"/>
    </xf>
    <xf numFmtId="0" fontId="1" fillId="8" borderId="65" xfId="1" applyFill="1" applyBorder="1" applyProtection="1">
      <protection hidden="1"/>
    </xf>
    <xf numFmtId="0" fontId="30" fillId="8" borderId="66" xfId="1" quotePrefix="1" applyFont="1" applyFill="1" applyBorder="1" applyProtection="1">
      <protection hidden="1"/>
    </xf>
    <xf numFmtId="0" fontId="30" fillId="8" borderId="66" xfId="1" applyFont="1" applyFill="1" applyBorder="1" applyAlignment="1" applyProtection="1">
      <alignment horizontal="center"/>
      <protection hidden="1"/>
    </xf>
    <xf numFmtId="0" fontId="1" fillId="8" borderId="66" xfId="1" applyFill="1" applyBorder="1" applyProtection="1">
      <protection hidden="1"/>
    </xf>
    <xf numFmtId="0" fontId="40" fillId="8" borderId="66" xfId="1" applyFont="1" applyFill="1" applyBorder="1" applyAlignment="1" applyProtection="1">
      <alignment horizontal="center"/>
      <protection hidden="1"/>
    </xf>
    <xf numFmtId="0" fontId="30" fillId="8" borderId="66" xfId="1" applyFont="1" applyFill="1" applyBorder="1" applyProtection="1">
      <protection hidden="1"/>
    </xf>
    <xf numFmtId="3" fontId="49" fillId="8" borderId="66" xfId="1" applyNumberFormat="1" applyFont="1" applyFill="1" applyBorder="1" applyProtection="1">
      <protection hidden="1"/>
    </xf>
    <xf numFmtId="0" fontId="49" fillId="8" borderId="66" xfId="1" applyFont="1" applyFill="1" applyBorder="1" applyProtection="1">
      <protection hidden="1"/>
    </xf>
    <xf numFmtId="0" fontId="1" fillId="8" borderId="13" xfId="1" applyFill="1" applyBorder="1" applyProtection="1">
      <protection hidden="1"/>
    </xf>
    <xf numFmtId="0" fontId="42" fillId="8" borderId="0" xfId="1" applyFont="1" applyFill="1"/>
    <xf numFmtId="0" fontId="42" fillId="8" borderId="59" xfId="1" applyFont="1" applyFill="1" applyBorder="1"/>
    <xf numFmtId="0" fontId="53" fillId="0" borderId="0" xfId="1" applyFont="1"/>
    <xf numFmtId="0" fontId="42" fillId="0" borderId="0" xfId="1" applyFont="1" applyProtection="1">
      <protection locked="0"/>
    </xf>
    <xf numFmtId="0" fontId="42" fillId="0" borderId="0" xfId="1" quotePrefix="1" applyFont="1"/>
    <xf numFmtId="0" fontId="42" fillId="8" borderId="0" xfId="1" quotePrefix="1" applyFont="1" applyFill="1"/>
    <xf numFmtId="0" fontId="42" fillId="0" borderId="0" xfId="1" applyFont="1" applyAlignment="1">
      <alignment horizontal="right"/>
    </xf>
    <xf numFmtId="0" fontId="42" fillId="0" borderId="0" xfId="1" quotePrefix="1" applyFont="1" applyProtection="1">
      <protection locked="0"/>
    </xf>
    <xf numFmtId="164" fontId="42" fillId="0" borderId="0" xfId="1" applyNumberFormat="1" applyFont="1"/>
    <xf numFmtId="15" fontId="42" fillId="0" borderId="0" xfId="1" applyNumberFormat="1" applyFont="1"/>
    <xf numFmtId="1" fontId="42" fillId="0" borderId="0" xfId="1" applyNumberFormat="1" applyFont="1"/>
    <xf numFmtId="165" fontId="42" fillId="0" borderId="0" xfId="1" applyNumberFormat="1" applyFont="1"/>
    <xf numFmtId="0" fontId="42" fillId="8" borderId="0" xfId="1" applyFont="1" applyFill="1" applyProtection="1">
      <protection locked="0"/>
    </xf>
    <xf numFmtId="0" fontId="42" fillId="0" borderId="0" xfId="1" applyFont="1" applyProtection="1">
      <protection hidden="1"/>
    </xf>
    <xf numFmtId="0" fontId="3" fillId="8" borderId="59" xfId="1" applyFont="1" applyFill="1" applyBorder="1"/>
    <xf numFmtId="0" fontId="44" fillId="6" borderId="0" xfId="1" applyFont="1" applyFill="1" applyProtection="1">
      <protection hidden="1"/>
    </xf>
    <xf numFmtId="0" fontId="54" fillId="8" borderId="0" xfId="1" applyFont="1" applyFill="1"/>
    <xf numFmtId="0" fontId="31" fillId="12" borderId="0" xfId="1" applyFont="1" applyFill="1"/>
    <xf numFmtId="0" fontId="25" fillId="17" borderId="21" xfId="1" applyFont="1" applyFill="1" applyBorder="1" applyAlignment="1" applyProtection="1">
      <alignment horizontal="left"/>
      <protection locked="0"/>
    </xf>
    <xf numFmtId="0" fontId="31" fillId="18" borderId="22" xfId="1" applyFont="1" applyFill="1" applyBorder="1" applyAlignment="1">
      <alignment horizontal="left"/>
    </xf>
    <xf numFmtId="0" fontId="31" fillId="18" borderId="23" xfId="1" applyFont="1" applyFill="1" applyBorder="1" applyAlignment="1">
      <alignment horizontal="left"/>
    </xf>
    <xf numFmtId="0" fontId="31" fillId="18" borderId="22" xfId="1" applyFont="1" applyFill="1" applyBorder="1"/>
    <xf numFmtId="0" fontId="31" fillId="18" borderId="23" xfId="1" applyFont="1" applyFill="1" applyBorder="1"/>
    <xf numFmtId="164" fontId="25" fillId="17" borderId="4" xfId="1" applyNumberFormat="1" applyFont="1" applyFill="1" applyBorder="1" applyAlignment="1" applyProtection="1">
      <alignment horizontal="left"/>
      <protection locked="0"/>
    </xf>
    <xf numFmtId="0" fontId="55" fillId="8" borderId="0" xfId="1" applyFont="1" applyFill="1" applyProtection="1">
      <protection hidden="1"/>
    </xf>
    <xf numFmtId="0" fontId="37" fillId="8" borderId="0" xfId="1" applyFont="1" applyFill="1" applyAlignment="1" applyProtection="1">
      <alignment horizontal="left"/>
      <protection hidden="1"/>
    </xf>
    <xf numFmtId="0" fontId="25" fillId="19" borderId="4" xfId="1" applyFont="1" applyFill="1" applyBorder="1"/>
    <xf numFmtId="0" fontId="31" fillId="20" borderId="4" xfId="1" applyFont="1" applyFill="1" applyBorder="1" applyProtection="1">
      <protection hidden="1"/>
    </xf>
    <xf numFmtId="0" fontId="25" fillId="6" borderId="0" xfId="1" applyFont="1" applyFill="1" applyProtection="1">
      <protection hidden="1"/>
    </xf>
    <xf numFmtId="0" fontId="54" fillId="8" borderId="0" xfId="1" applyFont="1" applyFill="1" applyAlignment="1" applyProtection="1">
      <alignment horizontal="right"/>
      <protection hidden="1"/>
    </xf>
    <xf numFmtId="0" fontId="31" fillId="21" borderId="0" xfId="1" applyFont="1" applyFill="1" applyProtection="1">
      <protection hidden="1"/>
    </xf>
    <xf numFmtId="0" fontId="31" fillId="21" borderId="31" xfId="1" applyFont="1" applyFill="1" applyBorder="1" applyProtection="1">
      <protection hidden="1"/>
    </xf>
    <xf numFmtId="10" fontId="25" fillId="17" borderId="4" xfId="1" applyNumberFormat="1" applyFont="1" applyFill="1" applyBorder="1" applyProtection="1">
      <protection locked="0"/>
    </xf>
    <xf numFmtId="10" fontId="31" fillId="0" borderId="4" xfId="1" applyNumberFormat="1" applyFont="1" applyBorder="1" applyProtection="1">
      <protection hidden="1"/>
    </xf>
    <xf numFmtId="0" fontId="21" fillId="8" borderId="0" xfId="1" applyFont="1" applyFill="1" applyAlignment="1" applyProtection="1">
      <alignment horizontal="left"/>
      <protection hidden="1"/>
    </xf>
    <xf numFmtId="0" fontId="56" fillId="8" borderId="0" xfId="1" applyFont="1" applyFill="1" applyAlignment="1" applyProtection="1">
      <alignment horizontal="left"/>
      <protection hidden="1"/>
    </xf>
    <xf numFmtId="0" fontId="37" fillId="22" borderId="67" xfId="1" applyFont="1" applyFill="1" applyBorder="1" applyAlignment="1" applyProtection="1">
      <alignment horizontal="left"/>
      <protection hidden="1"/>
    </xf>
    <xf numFmtId="0" fontId="54" fillId="22" borderId="68" xfId="1" applyFont="1" applyFill="1" applyBorder="1" applyAlignment="1" applyProtection="1">
      <alignment horizontal="right"/>
      <protection hidden="1"/>
    </xf>
    <xf numFmtId="0" fontId="31" fillId="22" borderId="69" xfId="1" applyFont="1" applyFill="1" applyBorder="1" applyProtection="1">
      <protection hidden="1"/>
    </xf>
    <xf numFmtId="0" fontId="37" fillId="23" borderId="70" xfId="1" applyFont="1" applyFill="1" applyBorder="1" applyAlignment="1" applyProtection="1">
      <alignment horizontal="left"/>
      <protection hidden="1"/>
    </xf>
    <xf numFmtId="0" fontId="54" fillId="23" borderId="0" xfId="1" applyFont="1" applyFill="1" applyAlignment="1" applyProtection="1">
      <alignment horizontal="right"/>
      <protection hidden="1"/>
    </xf>
    <xf numFmtId="0" fontId="31" fillId="23" borderId="71" xfId="1" applyFont="1" applyFill="1" applyBorder="1" applyProtection="1">
      <protection hidden="1"/>
    </xf>
    <xf numFmtId="0" fontId="54" fillId="22" borderId="72" xfId="1" applyFont="1" applyFill="1" applyBorder="1" applyAlignment="1" applyProtection="1">
      <alignment horizontal="right"/>
      <protection hidden="1"/>
    </xf>
    <xf numFmtId="0" fontId="54" fillId="22" borderId="73" xfId="1" applyFont="1" applyFill="1" applyBorder="1" applyAlignment="1" applyProtection="1">
      <alignment horizontal="right"/>
      <protection hidden="1"/>
    </xf>
    <xf numFmtId="0" fontId="31" fillId="22" borderId="74" xfId="1" applyFont="1" applyFill="1" applyBorder="1" applyProtection="1">
      <protection hidden="1"/>
    </xf>
    <xf numFmtId="0" fontId="25" fillId="0" borderId="0" xfId="1" applyFont="1" applyAlignment="1">
      <alignment horizontal="right"/>
    </xf>
    <xf numFmtId="0" fontId="25" fillId="0" borderId="0" xfId="1" applyFont="1"/>
    <xf numFmtId="0" fontId="21" fillId="21" borderId="75" xfId="1" applyFont="1" applyFill="1" applyBorder="1"/>
    <xf numFmtId="0" fontId="33" fillId="21" borderId="75" xfId="1" applyFont="1" applyFill="1" applyBorder="1"/>
    <xf numFmtId="0" fontId="31" fillId="0" borderId="0" xfId="1" applyFont="1" applyAlignment="1">
      <alignment horizontal="center"/>
    </xf>
    <xf numFmtId="0" fontId="31" fillId="0" borderId="0" xfId="1" applyFont="1" applyAlignment="1">
      <alignment horizontal="right"/>
    </xf>
    <xf numFmtId="166" fontId="32" fillId="0" borderId="0" xfId="1" applyNumberFormat="1" applyFont="1"/>
    <xf numFmtId="0" fontId="33" fillId="6" borderId="0" xfId="1" quotePrefix="1" applyFont="1" applyFill="1" applyProtection="1">
      <protection hidden="1"/>
    </xf>
    <xf numFmtId="0" fontId="31" fillId="0" borderId="76" xfId="1" applyFont="1" applyBorder="1" applyProtection="1">
      <protection locked="0"/>
    </xf>
    <xf numFmtId="0" fontId="27" fillId="12" borderId="0" xfId="1" applyFont="1" applyFill="1" applyAlignment="1" applyProtection="1">
      <alignment horizontal="left"/>
      <protection hidden="1"/>
    </xf>
    <xf numFmtId="0" fontId="25" fillId="12" borderId="0" xfId="1" applyFont="1" applyFill="1" applyAlignment="1" applyProtection="1">
      <alignment horizontal="center"/>
      <protection hidden="1"/>
    </xf>
    <xf numFmtId="0" fontId="25" fillId="12" borderId="0" xfId="1" applyFont="1" applyFill="1" applyProtection="1">
      <protection hidden="1"/>
    </xf>
    <xf numFmtId="169" fontId="25" fillId="12" borderId="0" xfId="1" applyNumberFormat="1" applyFont="1" applyFill="1" applyProtection="1">
      <protection hidden="1"/>
    </xf>
    <xf numFmtId="169" fontId="25" fillId="12" borderId="0" xfId="1" applyNumberFormat="1" applyFont="1" applyFill="1" applyAlignment="1" applyProtection="1">
      <alignment horizontal="center"/>
      <protection hidden="1"/>
    </xf>
    <xf numFmtId="0" fontId="57" fillId="0" borderId="0" xfId="1" applyFont="1" applyAlignment="1" applyProtection="1">
      <alignment horizontal="left"/>
      <protection locked="0"/>
    </xf>
    <xf numFmtId="15" fontId="57" fillId="0" borderId="0" xfId="1" quotePrefix="1" applyNumberFormat="1" applyFont="1" applyAlignment="1" applyProtection="1">
      <alignment horizontal="right"/>
      <protection locked="0"/>
    </xf>
    <xf numFmtId="0" fontId="31" fillId="0" borderId="0" xfId="1" applyFont="1" applyProtection="1">
      <protection locked="0"/>
    </xf>
    <xf numFmtId="0" fontId="31" fillId="12" borderId="0" xfId="1" applyFont="1" applyFill="1" applyProtection="1">
      <protection hidden="1"/>
    </xf>
    <xf numFmtId="0" fontId="25" fillId="24" borderId="0" xfId="1" applyFont="1" applyFill="1" applyProtection="1">
      <protection locked="0" hidden="1"/>
    </xf>
    <xf numFmtId="0" fontId="1" fillId="0" borderId="77" xfId="1" applyBorder="1" applyAlignment="1" applyProtection="1">
      <alignment horizontal="left"/>
      <protection locked="0"/>
    </xf>
    <xf numFmtId="0" fontId="58" fillId="0" borderId="77" xfId="1" applyFont="1" applyBorder="1" applyAlignment="1" applyProtection="1">
      <alignment horizontal="left"/>
      <protection locked="0"/>
    </xf>
    <xf numFmtId="0" fontId="59" fillId="0" borderId="77" xfId="1" applyFont="1" applyBorder="1" applyAlignment="1" applyProtection="1">
      <alignment horizontal="center"/>
      <protection locked="0"/>
    </xf>
    <xf numFmtId="0" fontId="25" fillId="25" borderId="0" xfId="1" quotePrefix="1" applyFont="1" applyFill="1" applyProtection="1">
      <protection hidden="1"/>
    </xf>
    <xf numFmtId="0" fontId="34" fillId="6" borderId="17" xfId="1" applyFont="1" applyFill="1" applyBorder="1" applyProtection="1">
      <protection hidden="1"/>
    </xf>
    <xf numFmtId="0" fontId="34" fillId="6" borderId="19" xfId="1" applyFont="1" applyFill="1" applyBorder="1" applyProtection="1">
      <protection hidden="1"/>
    </xf>
    <xf numFmtId="0" fontId="31" fillId="0" borderId="0" xfId="1" quotePrefix="1" applyFont="1"/>
    <xf numFmtId="0" fontId="58" fillId="0" borderId="78" xfId="1" applyFont="1" applyBorder="1" applyAlignment="1" applyProtection="1">
      <alignment horizontal="left"/>
      <protection locked="0"/>
    </xf>
    <xf numFmtId="2" fontId="58" fillId="0" borderId="78" xfId="1" applyNumberFormat="1" applyFont="1" applyBorder="1" applyAlignment="1" applyProtection="1">
      <alignment horizontal="left"/>
      <protection locked="0"/>
    </xf>
    <xf numFmtId="0" fontId="60" fillId="0" borderId="78" xfId="1" applyFont="1" applyBorder="1" applyAlignment="1" applyProtection="1">
      <alignment horizontal="center"/>
      <protection locked="0"/>
    </xf>
    <xf numFmtId="0" fontId="34" fillId="6" borderId="77" xfId="1" applyFont="1" applyFill="1" applyBorder="1" applyProtection="1">
      <protection hidden="1"/>
    </xf>
    <xf numFmtId="2" fontId="58" fillId="0" borderId="79" xfId="1" applyNumberFormat="1" applyFont="1" applyBorder="1" applyAlignment="1" applyProtection="1">
      <alignment horizontal="left"/>
      <protection locked="0"/>
    </xf>
    <xf numFmtId="0" fontId="31" fillId="0" borderId="79" xfId="1" applyFont="1" applyBorder="1" applyProtection="1">
      <protection locked="0"/>
    </xf>
    <xf numFmtId="0" fontId="31" fillId="0" borderId="0" xfId="1" applyFont="1" applyAlignment="1" applyProtection="1">
      <alignment horizontal="center"/>
      <protection hidden="1"/>
    </xf>
    <xf numFmtId="169" fontId="57" fillId="0" borderId="0" xfId="1" applyNumberFormat="1" applyFont="1" applyAlignment="1" applyProtection="1">
      <alignment horizontal="right"/>
      <protection locked="0"/>
    </xf>
    <xf numFmtId="166" fontId="31" fillId="0" borderId="0" xfId="1" applyNumberFormat="1" applyFont="1" applyProtection="1">
      <protection locked="0"/>
    </xf>
    <xf numFmtId="0" fontId="17" fillId="26" borderId="0" xfId="1" quotePrefix="1" applyFont="1" applyFill="1" applyProtection="1">
      <protection hidden="1"/>
    </xf>
    <xf numFmtId="170" fontId="31" fillId="0" borderId="0" xfId="1" applyNumberFormat="1" applyFont="1" applyProtection="1">
      <protection hidden="1"/>
    </xf>
    <xf numFmtId="170" fontId="31" fillId="25" borderId="0" xfId="1" applyNumberFormat="1" applyFont="1" applyFill="1" applyProtection="1">
      <protection hidden="1"/>
    </xf>
    <xf numFmtId="0" fontId="17" fillId="26" borderId="0" xfId="1" applyFont="1" applyFill="1" applyProtection="1">
      <protection hidden="1"/>
    </xf>
    <xf numFmtId="0" fontId="61" fillId="6" borderId="0" xfId="1" applyFont="1" applyFill="1" applyProtection="1">
      <protection hidden="1"/>
    </xf>
    <xf numFmtId="170" fontId="25" fillId="24" borderId="0" xfId="1" applyNumberFormat="1" applyFont="1" applyFill="1" applyProtection="1">
      <protection hidden="1"/>
    </xf>
    <xf numFmtId="170" fontId="31" fillId="24" borderId="0" xfId="1" applyNumberFormat="1" applyFont="1" applyFill="1" applyProtection="1">
      <protection hidden="1"/>
    </xf>
    <xf numFmtId="169" fontId="31" fillId="0" borderId="0" xfId="1" applyNumberFormat="1" applyFont="1"/>
    <xf numFmtId="0" fontId="27" fillId="12" borderId="0" xfId="1" applyFont="1" applyFill="1" applyAlignment="1" applyProtection="1">
      <alignment horizontal="left"/>
      <protection locked="0"/>
    </xf>
    <xf numFmtId="0" fontId="31" fillId="12" borderId="0" xfId="1" applyFont="1" applyFill="1" applyAlignment="1" applyProtection="1">
      <alignment horizontal="center"/>
      <protection locked="0"/>
    </xf>
    <xf numFmtId="169" fontId="31" fillId="12" borderId="0" xfId="1" applyNumberFormat="1" applyFont="1" applyFill="1" applyAlignment="1" applyProtection="1">
      <alignment horizontal="center"/>
      <protection hidden="1"/>
    </xf>
    <xf numFmtId="169" fontId="58" fillId="0" borderId="0" xfId="1" applyNumberFormat="1" applyFont="1" applyAlignment="1">
      <alignment horizontal="center"/>
    </xf>
    <xf numFmtId="0" fontId="58" fillId="0" borderId="0" xfId="1" applyFont="1" applyAlignment="1">
      <alignment horizontal="right"/>
    </xf>
    <xf numFmtId="15" fontId="58" fillId="0" borderId="0" xfId="1" quotePrefix="1" applyNumberFormat="1" applyFont="1" applyAlignment="1">
      <alignment horizontal="right"/>
    </xf>
    <xf numFmtId="0" fontId="31" fillId="12" borderId="0" xfId="1" applyFont="1" applyFill="1" applyAlignment="1" applyProtection="1">
      <alignment horizontal="left"/>
      <protection locked="0"/>
    </xf>
    <xf numFmtId="0" fontId="27" fillId="27" borderId="0" xfId="1" applyFont="1" applyFill="1" applyAlignment="1" applyProtection="1">
      <alignment horizontal="left"/>
      <protection hidden="1"/>
    </xf>
    <xf numFmtId="0" fontId="31" fillId="12" borderId="0" xfId="1" applyFont="1" applyFill="1" applyAlignment="1">
      <alignment horizontal="left"/>
    </xf>
    <xf numFmtId="0" fontId="31" fillId="12" borderId="0" xfId="1" applyFont="1" applyFill="1" applyAlignment="1">
      <alignment horizontal="center"/>
    </xf>
    <xf numFmtId="0" fontId="27" fillId="12" borderId="0" xfId="1" applyFont="1" applyFill="1" applyProtection="1">
      <protection locked="0" hidden="1"/>
    </xf>
    <xf numFmtId="0" fontId="0" fillId="0" borderId="0" xfId="0" quotePrefix="1"/>
    <xf numFmtId="0" fontId="0" fillId="25" borderId="80" xfId="0" applyFill="1" applyBorder="1"/>
    <xf numFmtId="0" fontId="5" fillId="0" borderId="4" xfId="0" applyFont="1" applyBorder="1" applyProtection="1">
      <protection locked="0"/>
    </xf>
    <xf numFmtId="0" fontId="5" fillId="4" borderId="4" xfId="0" applyFont="1" applyFill="1" applyBorder="1"/>
    <xf numFmtId="0" fontId="24" fillId="9" borderId="21" xfId="0" quotePrefix="1" applyFont="1" applyFill="1" applyBorder="1" applyProtection="1">
      <protection locked="0"/>
    </xf>
    <xf numFmtId="0" fontId="24" fillId="9" borderId="22" xfId="0" quotePrefix="1" applyFont="1" applyFill="1" applyBorder="1" applyProtection="1">
      <protection locked="0"/>
    </xf>
    <xf numFmtId="0" fontId="24" fillId="9" borderId="23" xfId="0" quotePrefix="1" applyFont="1" applyFill="1" applyBorder="1" applyProtection="1">
      <protection locked="0"/>
    </xf>
    <xf numFmtId="3" fontId="31" fillId="9" borderId="25" xfId="0" quotePrefix="1" applyNumberFormat="1" applyFont="1" applyFill="1" applyBorder="1" applyProtection="1">
      <protection locked="0"/>
    </xf>
    <xf numFmtId="0" fontId="31" fillId="9" borderId="25" xfId="0" quotePrefix="1" applyFont="1" applyFill="1" applyBorder="1" applyAlignment="1" applyProtection="1">
      <alignment horizontal="center" vertical="center" wrapText="1"/>
      <protection locked="0"/>
    </xf>
    <xf numFmtId="0" fontId="24" fillId="9" borderId="25" xfId="0" quotePrefix="1" applyFont="1" applyFill="1" applyBorder="1" applyProtection="1">
      <protection locked="0"/>
    </xf>
    <xf numFmtId="0" fontId="5" fillId="0" borderId="25" xfId="0" applyFont="1" applyBorder="1" applyProtection="1">
      <protection locked="0"/>
    </xf>
    <xf numFmtId="0" fontId="5" fillId="0" borderId="34" xfId="0" quotePrefix="1" applyFont="1" applyBorder="1" applyProtection="1">
      <protection locked="0"/>
    </xf>
    <xf numFmtId="0" fontId="1" fillId="0" borderId="0" xfId="0" applyFont="1"/>
    <xf numFmtId="0" fontId="5" fillId="28" borderId="4" xfId="1" applyFont="1" applyFill="1" applyBorder="1" applyProtection="1">
      <protection locked="0"/>
    </xf>
    <xf numFmtId="0" fontId="0" fillId="29" borderId="0" xfId="0" applyFill="1"/>
    <xf numFmtId="0" fontId="0" fillId="31" borderId="1" xfId="0" applyFill="1" applyBorder="1"/>
    <xf numFmtId="0" fontId="0" fillId="31" borderId="2" xfId="0" applyFill="1" applyBorder="1"/>
    <xf numFmtId="0" fontId="0" fillId="31" borderId="3" xfId="0" applyFill="1" applyBorder="1"/>
    <xf numFmtId="0" fontId="0" fillId="31" borderId="8" xfId="0" applyFill="1" applyBorder="1"/>
    <xf numFmtId="0" fontId="0" fillId="31" borderId="0" xfId="0" applyFill="1"/>
    <xf numFmtId="0" fontId="0" fillId="31" borderId="9" xfId="0" applyFill="1" applyBorder="1"/>
    <xf numFmtId="0" fontId="0" fillId="31" borderId="5" xfId="0" applyFill="1" applyBorder="1"/>
    <xf numFmtId="0" fontId="0" fillId="31" borderId="6" xfId="0" applyFill="1" applyBorder="1"/>
    <xf numFmtId="0" fontId="0" fillId="31" borderId="7" xfId="0" applyFill="1" applyBorder="1"/>
    <xf numFmtId="0" fontId="0" fillId="30" borderId="1" xfId="0" applyFill="1" applyBorder="1"/>
    <xf numFmtId="0" fontId="0" fillId="30" borderId="2" xfId="0" applyFill="1" applyBorder="1"/>
    <xf numFmtId="0" fontId="0" fillId="30" borderId="3" xfId="0" applyFill="1" applyBorder="1"/>
    <xf numFmtId="0" fontId="0" fillId="30" borderId="8" xfId="0" applyFill="1" applyBorder="1"/>
    <xf numFmtId="0" fontId="0" fillId="30" borderId="0" xfId="0" applyFill="1"/>
    <xf numFmtId="0" fontId="0" fillId="30" borderId="9" xfId="0" applyFill="1" applyBorder="1"/>
    <xf numFmtId="0" fontId="0" fillId="30" borderId="5" xfId="0" applyFill="1" applyBorder="1"/>
    <xf numFmtId="0" fontId="0" fillId="30" borderId="6" xfId="0" applyFill="1" applyBorder="1"/>
    <xf numFmtId="0" fontId="0" fillId="30" borderId="7" xfId="0" applyFill="1" applyBorder="1"/>
    <xf numFmtId="171" fontId="31" fillId="0" borderId="0" xfId="1" applyNumberFormat="1" applyFont="1" applyProtection="1">
      <protection locked="0"/>
    </xf>
    <xf numFmtId="0" fontId="0" fillId="0" borderId="4" xfId="0" applyBorder="1"/>
    <xf numFmtId="172" fontId="0" fillId="0" borderId="4" xfId="0" applyNumberFormat="1" applyBorder="1"/>
    <xf numFmtId="10" fontId="0" fillId="0" borderId="0" xfId="0" applyNumberFormat="1"/>
    <xf numFmtId="166" fontId="32" fillId="0" borderId="0" xfId="1" applyNumberFormat="1" applyFont="1" applyAlignment="1">
      <alignment horizontal="center"/>
    </xf>
    <xf numFmtId="0" fontId="31" fillId="0" borderId="26" xfId="1" quotePrefix="1" applyFont="1" applyBorder="1" applyProtection="1">
      <protection hidden="1"/>
    </xf>
    <xf numFmtId="0" fontId="5" fillId="32" borderId="4" xfId="1" applyFont="1" applyFill="1" applyBorder="1" applyProtection="1">
      <protection locked="0"/>
    </xf>
    <xf numFmtId="0" fontId="32" fillId="0" borderId="31" xfId="1" applyFont="1" applyBorder="1" applyAlignment="1" applyProtection="1">
      <alignment horizontal="center" wrapText="1"/>
      <protection hidden="1"/>
    </xf>
    <xf numFmtId="0" fontId="31" fillId="0" borderId="34" xfId="1" quotePrefix="1" applyFont="1" applyBorder="1" applyProtection="1">
      <protection hidden="1"/>
    </xf>
    <xf numFmtId="10" fontId="48" fillId="0" borderId="4" xfId="1" quotePrefix="1" applyNumberFormat="1" applyFont="1" applyBorder="1" applyAlignment="1" applyProtection="1">
      <alignment horizontal="right"/>
      <protection hidden="1"/>
    </xf>
    <xf numFmtId="10" fontId="48" fillId="0" borderId="23" xfId="1" quotePrefix="1" applyNumberFormat="1" applyFont="1" applyBorder="1" applyAlignment="1" applyProtection="1">
      <alignment horizontal="right"/>
      <protection hidden="1"/>
    </xf>
    <xf numFmtId="10" fontId="31" fillId="0" borderId="0" xfId="1" quotePrefix="1" applyNumberFormat="1" applyFont="1" applyProtection="1">
      <protection hidden="1"/>
    </xf>
    <xf numFmtId="0" fontId="0" fillId="11" borderId="0" xfId="0" applyFill="1" applyProtection="1">
      <protection hidden="1"/>
    </xf>
    <xf numFmtId="0" fontId="0" fillId="33" borderId="0" xfId="0" applyFill="1" applyProtection="1">
      <protection hidden="1"/>
    </xf>
    <xf numFmtId="0" fontId="0" fillId="33" borderId="33" xfId="0" applyFill="1" applyBorder="1" applyProtection="1">
      <protection hidden="1"/>
    </xf>
    <xf numFmtId="0" fontId="0" fillId="0" borderId="43" xfId="0" applyBorder="1" applyProtection="1">
      <protection hidden="1"/>
    </xf>
    <xf numFmtId="3" fontId="0" fillId="0" borderId="31" xfId="0" applyNumberFormat="1" applyBorder="1" applyProtection="1">
      <protection hidden="1"/>
    </xf>
    <xf numFmtId="0" fontId="0" fillId="0" borderId="42" xfId="0" applyBorder="1" applyProtection="1">
      <protection hidden="1"/>
    </xf>
    <xf numFmtId="0" fontId="0" fillId="0" borderId="31" xfId="0" applyBorder="1" applyProtection="1">
      <protection hidden="1"/>
    </xf>
    <xf numFmtId="3" fontId="0" fillId="0" borderId="25" xfId="0" applyNumberFormat="1" applyBorder="1" applyProtection="1">
      <protection hidden="1"/>
    </xf>
    <xf numFmtId="0" fontId="0" fillId="0" borderId="26" xfId="0" applyBorder="1" applyProtection="1">
      <protection hidden="1"/>
    </xf>
    <xf numFmtId="0" fontId="0" fillId="0" borderId="25" xfId="0" applyBorder="1" applyProtection="1">
      <protection hidden="1"/>
    </xf>
    <xf numFmtId="0" fontId="0" fillId="33" borderId="45" xfId="0" applyFill="1" applyBorder="1" applyProtection="1">
      <protection hidden="1"/>
    </xf>
    <xf numFmtId="3" fontId="0" fillId="0" borderId="34" xfId="0" applyNumberFormat="1" applyBorder="1" applyProtection="1">
      <protection hidden="1"/>
    </xf>
    <xf numFmtId="0" fontId="31" fillId="8" borderId="34" xfId="1" applyFont="1" applyFill="1" applyBorder="1" applyProtection="1">
      <protection hidden="1"/>
    </xf>
    <xf numFmtId="0" fontId="0" fillId="0" borderId="34" xfId="0" applyBorder="1" applyProtection="1">
      <protection hidden="1"/>
    </xf>
    <xf numFmtId="0" fontId="0" fillId="33" borderId="44" xfId="0" applyFill="1" applyBorder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0" fontId="0" fillId="0" borderId="17" xfId="0" applyBorder="1" applyProtection="1">
      <protection hidden="1"/>
    </xf>
    <xf numFmtId="10" fontId="0" fillId="0" borderId="19" xfId="0" applyNumberFormat="1" applyBorder="1" applyProtection="1">
      <protection hidden="1"/>
    </xf>
    <xf numFmtId="0" fontId="46" fillId="15" borderId="1" xfId="1" applyFont="1" applyFill="1" applyBorder="1" applyAlignment="1" applyProtection="1">
      <alignment horizontal="center"/>
      <protection hidden="1"/>
    </xf>
    <xf numFmtId="0" fontId="46" fillId="15" borderId="2" xfId="1" applyFont="1" applyFill="1" applyBorder="1" applyAlignment="1" applyProtection="1">
      <alignment horizontal="center"/>
      <protection hidden="1"/>
    </xf>
    <xf numFmtId="0" fontId="46" fillId="15" borderId="60" xfId="1" applyFont="1" applyFill="1" applyBorder="1" applyAlignment="1" applyProtection="1">
      <alignment horizontal="center"/>
      <protection hidden="1"/>
    </xf>
    <xf numFmtId="0" fontId="46" fillId="15" borderId="5" xfId="1" applyFont="1" applyFill="1" applyBorder="1" applyAlignment="1" applyProtection="1">
      <alignment horizontal="center"/>
      <protection hidden="1"/>
    </xf>
    <xf numFmtId="0" fontId="46" fillId="15" borderId="6" xfId="1" applyFont="1" applyFill="1" applyBorder="1" applyAlignment="1" applyProtection="1">
      <alignment horizontal="center"/>
      <protection hidden="1"/>
    </xf>
    <xf numFmtId="0" fontId="46" fillId="15" borderId="63" xfId="1" applyFont="1" applyFill="1" applyBorder="1" applyAlignment="1" applyProtection="1">
      <alignment horizontal="center"/>
      <protection hidden="1"/>
    </xf>
    <xf numFmtId="3" fontId="26" fillId="0" borderId="42" xfId="1" applyNumberFormat="1" applyFont="1" applyBorder="1" applyAlignment="1" applyProtection="1">
      <alignment wrapText="1"/>
      <protection hidden="1"/>
    </xf>
    <xf numFmtId="0" fontId="1" fillId="0" borderId="38" xfId="1" applyBorder="1" applyAlignment="1" applyProtection="1">
      <alignment wrapText="1"/>
      <protection hidden="1"/>
    </xf>
    <xf numFmtId="0" fontId="1" fillId="0" borderId="43" xfId="1" applyBorder="1" applyAlignment="1" applyProtection="1">
      <alignment wrapText="1"/>
      <protection hidden="1"/>
    </xf>
    <xf numFmtId="0" fontId="1" fillId="0" borderId="44" xfId="1" applyBorder="1" applyAlignment="1" applyProtection="1">
      <alignment wrapText="1"/>
      <protection hidden="1"/>
    </xf>
    <xf numFmtId="0" fontId="1" fillId="0" borderId="28" xfId="1" applyBorder="1" applyAlignment="1" applyProtection="1">
      <alignment wrapText="1"/>
      <protection hidden="1"/>
    </xf>
    <xf numFmtId="0" fontId="1" fillId="0" borderId="45" xfId="1" applyBorder="1" applyAlignment="1" applyProtection="1">
      <alignment wrapText="1"/>
      <protection hidden="1"/>
    </xf>
    <xf numFmtId="0" fontId="62" fillId="11" borderId="0" xfId="0" applyFont="1" applyFill="1" applyAlignment="1" applyProtection="1">
      <alignment horizontal="center"/>
      <protection hidden="1"/>
    </xf>
    <xf numFmtId="0" fontId="63" fillId="11" borderId="0" xfId="0" applyFont="1" applyFill="1" applyAlignment="1" applyProtection="1">
      <alignment horizontal="center"/>
      <protection hidden="1"/>
    </xf>
    <xf numFmtId="0" fontId="31" fillId="8" borderId="0" xfId="1" applyFont="1" applyFill="1" applyAlignment="1" applyProtection="1">
      <alignment horizontal="center"/>
      <protection hidden="1"/>
    </xf>
    <xf numFmtId="0" fontId="64" fillId="0" borderId="0" xfId="2" applyProtection="1">
      <protection locked="0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5F7F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ctrlProps/ctrlProp1.xml><?xml version="1.0" encoding="utf-8"?>
<formControlPr xmlns="http://schemas.microsoft.com/office/spreadsheetml/2009/9/main" objectType="Drop" dropLines="6" dropStyle="combo" dx="31" fmlaLink="Sheet1!$D$22" fmlaRange="Sheet1!$B$22:$B$26" noThreeD="1" sel="1" val="0"/>
</file>

<file path=xl/ctrlProps/ctrlProp2.xml><?xml version="1.0" encoding="utf-8"?>
<formControlPr xmlns="http://schemas.microsoft.com/office/spreadsheetml/2009/9/main" objectType="Drop" dropLines="5" dropStyle="combo" dx="31" fmlaLink="Sheet1!$D$39" fmlaRange="Sheet1!$B$39:$B$43" noThreeD="1" sel="1" val="0"/>
</file>

<file path=xl/ctrlProps/ctrlProp3.xml><?xml version="1.0" encoding="utf-8"?>
<formControlPr xmlns="http://schemas.microsoft.com/office/spreadsheetml/2009/9/main" objectType="Drop" dropLines="4" dropStyle="combo" dx="31" fmlaLink="Sheet1!$D$83" fmlaRange="Sheet1!$B$85:$B$88" noThreeD="1" sel="3" val="0"/>
</file>

<file path=xl/ctrlProps/ctrlProp4.xml><?xml version="1.0" encoding="utf-8"?>
<formControlPr xmlns="http://schemas.microsoft.com/office/spreadsheetml/2009/9/main" objectType="Drop" dropLines="5" dropStyle="combo" dx="31" fmlaLink="Sheet1!$D$86" fmlaRange="Sheet1!$B$80:$B$147" noThreeD="1" sel="8" val="2"/>
</file>

<file path=xl/ctrlProps/ctrlProp5.xml><?xml version="1.0" encoding="utf-8"?>
<formControlPr xmlns="http://schemas.microsoft.com/office/spreadsheetml/2009/9/main" objectType="Drop" dropLines="5" dropStyle="combo" dx="31" fmlaLink="Sheet1!$D$148" fmlaRange="Sheet1!$B$148:$B$187" noThreeD="1" sel="1" val="0"/>
</file>

<file path=xl/ctrlProps/ctrlProp6.xml><?xml version="1.0" encoding="utf-8"?>
<formControlPr xmlns="http://schemas.microsoft.com/office/spreadsheetml/2009/9/main" objectType="Drop" dropLines="3" dropStyle="combo" dx="31" fmlaLink="Sheet1!$D$192" fmlaRange="Sheet1!$E$152:$E$153" noThreeD="1" sel="1" val="0"/>
</file>

<file path=xl/ctrlProps/ctrlProp7.xml><?xml version="1.0" encoding="utf-8"?>
<formControlPr xmlns="http://schemas.microsoft.com/office/spreadsheetml/2009/9/main" objectType="Drop" dropLines="3" dropStyle="combo" dx="31" fmlaLink="Sheet1!$D$193" fmlaRange="Sheet1!$E$152:$E$153" noThreeD="1" sel="2" val="0"/>
</file>

<file path=xl/ctrlProps/ctrlProp8.xml><?xml version="1.0" encoding="utf-8"?>
<formControlPr xmlns="http://schemas.microsoft.com/office/spreadsheetml/2009/9/main" objectType="Drop" dropLines="3" dropStyle="combo" dx="31" fmlaLink="Sheet1!$D$194" fmlaRange="Sheet1!$E$152:$E$153" noThreeD="1" sel="2" val="0"/>
</file>

<file path=xl/ctrlProps/ctrlProp9.xml><?xml version="1.0" encoding="utf-8"?>
<formControlPr xmlns="http://schemas.microsoft.com/office/spreadsheetml/2009/9/main" objectType="Drop" dropLines="3" dropStyle="combo" dx="31" fmlaLink="Sheet1!$D$195" fmlaRange="Sheet1!$E$152:$E$153" noThreeD="1" sel="2" val="0"/>
</file>

<file path=xl/ctrlProps/ctrlProp10.xml><?xml version="1.0" encoding="utf-8"?>
<formControlPr xmlns="http://schemas.microsoft.com/office/spreadsheetml/2009/9/main" objectType="Drop" dropLines="3" dropStyle="combo" dx="31" fmlaLink="Sheet1!$D$196" fmlaRange="Sheet1!$E$152:$E$153" noThreeD="1" sel="2" val="0"/>
</file>

<file path=xl/ctrlProps/ctrlProp11.xml><?xml version="1.0" encoding="utf-8"?>
<formControlPr xmlns="http://schemas.microsoft.com/office/spreadsheetml/2009/9/main" objectType="Drop" dropLines="3" dropStyle="combo" dx="31" fmlaLink="Sheet1!$D$247" fmlaRange="Sheet1!$B$247:$B$250" noThreeD="1" sel="1" val="0"/>
</file>

<file path=xl/ctrlProps/ctrlProp12.xml><?xml version="1.0" encoding="utf-8"?>
<formControlPr xmlns="http://schemas.microsoft.com/office/spreadsheetml/2009/9/main" objectType="Drop" dropLines="5" dropStyle="combo" dx="31" fmlaLink="Sheet1!$D$212" fmlaRange="Sheet1!$B$212:$B$219" noThreeD="1" sel="1" val="0"/>
</file>

<file path=xl/ctrlProps/ctrlProp13.xml><?xml version="1.0" encoding="utf-8"?>
<formControlPr xmlns="http://schemas.microsoft.com/office/spreadsheetml/2009/9/main" objectType="Drop" dropLines="5" dropStyle="combo" dx="31" fmlaLink="Sheet1!$D$232" fmlaRange="Sheet1!$B$232:$B$239" noThreeD="1" sel="1" val="0"/>
</file>

<file path=xl/ctrlProps/ctrlProp14.xml><?xml version="1.0" encoding="utf-8"?>
<formControlPr xmlns="http://schemas.microsoft.com/office/spreadsheetml/2009/9/main" objectType="Drop" dropLines="5" dropStyle="combo" dx="31" fmlaLink="Sheet1!$D$213" fmlaRange="Sheet1!$B$212:$B$219" noThreeD="1" sel="1" val="0"/>
</file>

<file path=xl/ctrlProps/ctrlProp15.xml><?xml version="1.0" encoding="utf-8"?>
<formControlPr xmlns="http://schemas.microsoft.com/office/spreadsheetml/2009/9/main" objectType="Drop" dropLines="5" dropStyle="combo" dx="31" fmlaLink="Sheet1!$D$214" fmlaRange="Sheet1!$B$212:$B$219" noThreeD="1" sel="1" val="0"/>
</file>

<file path=xl/ctrlProps/ctrlProp16.xml><?xml version="1.0" encoding="utf-8"?>
<formControlPr xmlns="http://schemas.microsoft.com/office/spreadsheetml/2009/9/main" objectType="Drop" dropLines="5" dropStyle="combo" dx="31" fmlaLink="Sheet1!$D$215" fmlaRange="Sheet1!$B$212:$B$219" noThreeD="1" sel="1" val="0"/>
</file>

<file path=xl/ctrlProps/ctrlProp17.xml><?xml version="1.0" encoding="utf-8"?>
<formControlPr xmlns="http://schemas.microsoft.com/office/spreadsheetml/2009/9/main" objectType="Drop" dropLines="5" dropStyle="combo" dx="31" fmlaLink="Sheet1!$D$233" fmlaRange="Sheet1!$B$232:$B$239" noThreeD="1" sel="1" val="0"/>
</file>

<file path=xl/ctrlProps/ctrlProp18.xml><?xml version="1.0" encoding="utf-8"?>
<formControlPr xmlns="http://schemas.microsoft.com/office/spreadsheetml/2009/9/main" objectType="Drop" dropLines="5" dropStyle="combo" dx="31" fmlaLink="Sheet1!$D$234" fmlaRange="Sheet1!$B$232:$B$239" noThreeD="1" sel="1" val="0"/>
</file>

<file path=xl/ctrlProps/ctrlProp19.xml><?xml version="1.0" encoding="utf-8"?>
<formControlPr xmlns="http://schemas.microsoft.com/office/spreadsheetml/2009/9/main" objectType="Drop" dropLines="5" dropStyle="combo" dx="31" fmlaLink="Sheet1!$D$235" fmlaRange="Sheet1!$B$232:$B$239" noThreeD="1" sel="1" val="0"/>
</file>

<file path=xl/ctrlProps/ctrlProp20.xml><?xml version="1.0" encoding="utf-8"?>
<formControlPr xmlns="http://schemas.microsoft.com/office/spreadsheetml/2009/9/main" objectType="Drop" dropLines="2" dropStyle="combo" dx="31" fmlaLink="Sheet1!$D$264" fmlaRange="Sheet1!$B$264:$B$265" noThreeD="1" sel="1" val="0"/>
</file>

<file path=xl/ctrlProps/ctrlProp21.xml><?xml version="1.0" encoding="utf-8"?>
<formControlPr xmlns="http://schemas.microsoft.com/office/spreadsheetml/2009/9/main" objectType="Drop" dropLines="6" dropStyle="combo" dx="31" fmlaLink="Sheet1!$D$309" fmlaRange="Sheet1!$P$309:$P$327" noThreeD="1" sel="1" val="0"/>
</file>

<file path=xl/ctrlProps/ctrlProp22.xml><?xml version="1.0" encoding="utf-8"?>
<formControlPr xmlns="http://schemas.microsoft.com/office/spreadsheetml/2009/9/main" objectType="Drop" dropLines="6" dropStyle="combo" dx="31" fmlaLink="Sheet1!$E$309" fmlaRange="Sheet1!$P$309:$P$327" noThreeD="1" sel="1" val="0"/>
</file>

<file path=xl/ctrlProps/ctrlProp23.xml><?xml version="1.0" encoding="utf-8"?>
<formControlPr xmlns="http://schemas.microsoft.com/office/spreadsheetml/2009/9/main" objectType="Drop" dropLines="6" dropStyle="combo" dx="31" fmlaLink="Sheet1!$F$309" fmlaRange="Sheet1!$P$309:$P$327" noThreeD="1" sel="1" val="0"/>
</file>

<file path=xl/ctrlProps/ctrlProp24.xml><?xml version="1.0" encoding="utf-8"?>
<formControlPr xmlns="http://schemas.microsoft.com/office/spreadsheetml/2009/9/main" objectType="Drop" dropLines="6" dropStyle="combo" dx="31" fmlaLink="Sheet1!$G$309" fmlaRange="Sheet1!$P$309:$P$327" noThreeD="1" sel="1" val="4"/>
</file>

<file path=xl/ctrlProps/ctrlProp25.xml><?xml version="1.0" encoding="utf-8"?>
<formControlPr xmlns="http://schemas.microsoft.com/office/spreadsheetml/2009/9/main" objectType="Drop" dropLines="6" dropStyle="combo" dx="31" fmlaLink="Sheet1!$H$309" fmlaRange="Sheet1!$P$309:$P$327" noThreeD="1" sel="1" val="4"/>
</file>

<file path=xl/ctrlProps/ctrlProp26.xml><?xml version="1.0" encoding="utf-8"?>
<formControlPr xmlns="http://schemas.microsoft.com/office/spreadsheetml/2009/9/main" objectType="Drop" dropLines="6" dropStyle="combo" dx="31" fmlaLink="Sheet1!$I$309" fmlaRange="Sheet1!$P$309:$P$327" noThreeD="1" sel="1" val="4"/>
</file>

<file path=xl/ctrlProps/ctrlProp27.xml><?xml version="1.0" encoding="utf-8"?>
<formControlPr xmlns="http://schemas.microsoft.com/office/spreadsheetml/2009/9/main" objectType="Drop" dropLines="6" dropStyle="combo" dx="31" fmlaLink="Sheet1!$J$309" fmlaRange="Sheet1!$P$309:$P$327" noThreeD="1" sel="1" val="4"/>
</file>

<file path=xl/ctrlProps/ctrlProp28.xml><?xml version="1.0" encoding="utf-8"?>
<formControlPr xmlns="http://schemas.microsoft.com/office/spreadsheetml/2009/9/main" objectType="Drop" dropLines="6" dropStyle="combo" dx="31" fmlaLink="Sheet1!$K$309" fmlaRange="Sheet1!$P$309:$P$327" noThreeD="1" sel="1" val="4"/>
</file>

<file path=xl/ctrlProps/ctrlProp29.xml><?xml version="1.0" encoding="utf-8"?>
<formControlPr xmlns="http://schemas.microsoft.com/office/spreadsheetml/2009/9/main" objectType="Drop" dropLines="2" dropStyle="combo" dx="31" fmlaLink="Sheet1!$E$264" fmlaRange="Sheet1!$B$264:$B$265" noThreeD="1" sel="1" val="0"/>
</file>

<file path=xl/ctrlProps/ctrlProp30.xml><?xml version="1.0" encoding="utf-8"?>
<formControlPr xmlns="http://schemas.microsoft.com/office/spreadsheetml/2009/9/main" objectType="Drop" dropLines="2" dropStyle="combo" dx="31" fmlaLink="Sheet1!$F$264" fmlaRange="Sheet1!$B$264:$B$265" noThreeD="1" sel="1" val="0"/>
</file>

<file path=xl/ctrlProps/ctrlProp31.xml><?xml version="1.0" encoding="utf-8"?>
<formControlPr xmlns="http://schemas.microsoft.com/office/spreadsheetml/2009/9/main" objectType="Drop" dropLines="2" dropStyle="combo" dx="31" fmlaLink="Sheet1!$G$264" fmlaRange="Sheet1!$B$264:$B$265" noThreeD="1" sel="1" val="0"/>
</file>

<file path=xl/ctrlProps/ctrlProp32.xml><?xml version="1.0" encoding="utf-8"?>
<formControlPr xmlns="http://schemas.microsoft.com/office/spreadsheetml/2009/9/main" objectType="Drop" dropLines="2" dropStyle="combo" dx="31" fmlaLink="Sheet1!$H$264" fmlaRange="Sheet1!$B$264:$B$265" noThreeD="1" sel="1" val="0"/>
</file>

<file path=xl/ctrlProps/ctrlProp33.xml><?xml version="1.0" encoding="utf-8"?>
<formControlPr xmlns="http://schemas.microsoft.com/office/spreadsheetml/2009/9/main" objectType="Drop" dropLines="2" dropStyle="combo" dx="31" fmlaLink="Sheet1!$I$264" fmlaRange="Sheet1!$B$264:$B$265" noThreeD="1" sel="1" val="0"/>
</file>

<file path=xl/ctrlProps/ctrlProp34.xml><?xml version="1.0" encoding="utf-8"?>
<formControlPr xmlns="http://schemas.microsoft.com/office/spreadsheetml/2009/9/main" objectType="Drop" dropLines="2" dropStyle="combo" dx="31" fmlaLink="Sheet1!$J$264" fmlaRange="Sheet1!$B$264:$B$265" noThreeD="1" sel="1" val="0"/>
</file>

<file path=xl/ctrlProps/ctrlProp35.xml><?xml version="1.0" encoding="utf-8"?>
<formControlPr xmlns="http://schemas.microsoft.com/office/spreadsheetml/2009/9/main" objectType="Drop" dropLines="2" dropStyle="combo" dx="31" fmlaLink="Sheet1!$K$264" fmlaRange="Sheet1!$B$264:$B$265" noThreeD="1" sel="1" val="0"/>
</file>

<file path=xl/ctrlProps/ctrlProp36.xml><?xml version="1.0" encoding="utf-8"?>
<formControlPr xmlns="http://schemas.microsoft.com/office/spreadsheetml/2009/9/main" objectType="Drop" dropLines="6" dropStyle="combo" dx="31" fmlaLink="Sheet1!$D$335" fmlaRange="Sheet1!$B$335:$B$343" noThreeD="1" sel="1" val="0"/>
</file>

<file path=xl/ctrlProps/ctrlProp37.xml><?xml version="1.0" encoding="utf-8"?>
<formControlPr xmlns="http://schemas.microsoft.com/office/spreadsheetml/2009/9/main" objectType="Drop" dropLines="6" dropStyle="combo" dx="31" fmlaLink="Sheet1!$E$335" fmlaRange="Sheet1!$B$335:$B$343" noThreeD="1" sel="1" val="3"/>
</file>

<file path=xl/ctrlProps/ctrlProp38.xml><?xml version="1.0" encoding="utf-8"?>
<formControlPr xmlns="http://schemas.microsoft.com/office/spreadsheetml/2009/9/main" objectType="Drop" dropLines="6" dropStyle="combo" dx="31" fmlaLink="Sheet1!$F$335" fmlaRange="Sheet1!$B$335:$B$343" noThreeD="1" sel="1" val="3"/>
</file>

<file path=xl/ctrlProps/ctrlProp39.xml><?xml version="1.0" encoding="utf-8"?>
<formControlPr xmlns="http://schemas.microsoft.com/office/spreadsheetml/2009/9/main" objectType="Drop" dropLines="6" dropStyle="combo" dx="31" fmlaLink="Sheet1!$G$335" fmlaRange="Sheet1!$B$335:$B$343" noThreeD="1" sel="1" val="3"/>
</file>

<file path=xl/ctrlProps/ctrlProp40.xml><?xml version="1.0" encoding="utf-8"?>
<formControlPr xmlns="http://schemas.microsoft.com/office/spreadsheetml/2009/9/main" objectType="Drop" dropLines="6" dropStyle="combo" dx="31" fmlaLink="Sheet1!$H$335" fmlaRange="Sheet1!$B$335:$B$343" noThreeD="1" sel="1" val="3"/>
</file>

<file path=xl/ctrlProps/ctrlProp41.xml><?xml version="1.0" encoding="utf-8"?>
<formControlPr xmlns="http://schemas.microsoft.com/office/spreadsheetml/2009/9/main" objectType="Drop" dropLines="6" dropStyle="combo" dx="31" fmlaLink="Sheet1!$I$335" fmlaRange="Sheet1!$B$335:$B$343" noThreeD="1" sel="1" val="3"/>
</file>

<file path=xl/ctrlProps/ctrlProp42.xml><?xml version="1.0" encoding="utf-8"?>
<formControlPr xmlns="http://schemas.microsoft.com/office/spreadsheetml/2009/9/main" objectType="Drop" dropLines="6" dropStyle="combo" dx="31" fmlaLink="Sheet1!$J$335" fmlaRange="Sheet1!$B$335:$B$343" noThreeD="1" sel="1" val="3"/>
</file>

<file path=xl/ctrlProps/ctrlProp43.xml><?xml version="1.0" encoding="utf-8"?>
<formControlPr xmlns="http://schemas.microsoft.com/office/spreadsheetml/2009/9/main" objectType="Drop" dropLines="6" dropStyle="combo" dx="31" fmlaLink="Sheet1!$K$335" fmlaRange="Sheet1!$B$335:$B$343" noThreeD="1" sel="1" val="3"/>
</file>

<file path=xl/ctrlProps/ctrlProp44.xml><?xml version="1.0" encoding="utf-8"?>
<formControlPr xmlns="http://schemas.microsoft.com/office/spreadsheetml/2009/9/main" objectType="Drop" dropLines="5" dropStyle="combo" dx="31" fmlaLink="Sheet1!$D$148" fmlaRange="Sheet1!$B$148:$B$187" noThreeD="1" sel="1" val="14"/>
</file>

<file path=xl/ctrlProps/ctrlProp45.xml><?xml version="1.0" encoding="utf-8"?>
<formControlPr xmlns="http://schemas.microsoft.com/office/spreadsheetml/2009/9/main" objectType="Drop" dropLines="2" dropStyle="combo" dx="31" fmlaLink="Sheet1!$D$265" fmlaRange="Sheet1!$B$264:$B$265" noThreeD="1" sel="0" val="0"/>
</file>

<file path=xl/ctrlProps/ctrlProp46.xml><?xml version="1.0" encoding="utf-8"?>
<formControlPr xmlns="http://schemas.microsoft.com/office/spreadsheetml/2009/9/main" objectType="Drop" dropLines="6" dropStyle="combo" dx="31" fmlaLink="Sheet1!$D$310" fmlaRange="Sheet1!$P$309:$P$327" noThreeD="1" sel="1" val="0"/>
</file>

<file path=xl/ctrlProps/ctrlProp47.xml><?xml version="1.0" encoding="utf-8"?>
<formControlPr xmlns="http://schemas.microsoft.com/office/spreadsheetml/2009/9/main" objectType="Drop" dropLines="6" dropStyle="combo" dx="31" fmlaLink="Sheet1!$E$310" fmlaRange="Sheet1!$P$309:$P$327" noThreeD="1" sel="1" val="0"/>
</file>

<file path=xl/ctrlProps/ctrlProp48.xml><?xml version="1.0" encoding="utf-8"?>
<formControlPr xmlns="http://schemas.microsoft.com/office/spreadsheetml/2009/9/main" objectType="Drop" dropLines="6" dropStyle="combo" dx="31" fmlaLink="Sheet1!$F$310" fmlaRange="Sheet1!$P$309:$P$327" noThreeD="1" sel="0" val="0"/>
</file>

<file path=xl/ctrlProps/ctrlProp49.xml><?xml version="1.0" encoding="utf-8"?>
<formControlPr xmlns="http://schemas.microsoft.com/office/spreadsheetml/2009/9/main" objectType="Drop" dropLines="6" dropStyle="combo" dx="31" fmlaLink="Sheet1!$G$310" fmlaRange="Sheet1!$P$309:$P$327" noThreeD="1" sel="1" val="0"/>
</file>

<file path=xl/ctrlProps/ctrlProp50.xml><?xml version="1.0" encoding="utf-8"?>
<formControlPr xmlns="http://schemas.microsoft.com/office/spreadsheetml/2009/9/main" objectType="Drop" dropLines="6" dropStyle="combo" dx="31" fmlaLink="Sheet1!$H$310" fmlaRange="Sheet1!$P$309:$P$327" noThreeD="1" sel="0" val="0"/>
</file>

<file path=xl/ctrlProps/ctrlProp51.xml><?xml version="1.0" encoding="utf-8"?>
<formControlPr xmlns="http://schemas.microsoft.com/office/spreadsheetml/2009/9/main" objectType="Drop" dropLines="6" dropStyle="combo" dx="31" fmlaLink="Sheet1!$I$310" fmlaRange="Sheet1!$P$309:$P$327" noThreeD="1" sel="0" val="0"/>
</file>

<file path=xl/ctrlProps/ctrlProp52.xml><?xml version="1.0" encoding="utf-8"?>
<formControlPr xmlns="http://schemas.microsoft.com/office/spreadsheetml/2009/9/main" objectType="Drop" dropLines="6" dropStyle="combo" dx="31" fmlaLink="Sheet1!$J$310" fmlaRange="Sheet1!$P$309:$P$327" noThreeD="1" sel="0" val="0"/>
</file>

<file path=xl/ctrlProps/ctrlProp53.xml><?xml version="1.0" encoding="utf-8"?>
<formControlPr xmlns="http://schemas.microsoft.com/office/spreadsheetml/2009/9/main" objectType="Drop" dropLines="6" dropStyle="combo" dx="31" fmlaLink="Sheet1!$K$310" fmlaRange="Sheet1!$P$309:$P$327" noThreeD="1" sel="0" val="0"/>
</file>

<file path=xl/ctrlProps/ctrlProp54.xml><?xml version="1.0" encoding="utf-8"?>
<formControlPr xmlns="http://schemas.microsoft.com/office/spreadsheetml/2009/9/main" objectType="Drop" dropLines="2" dropStyle="combo" dx="31" fmlaLink="Sheet1!$E$265" fmlaRange="Sheet1!$B$264:$B$265" noThreeD="1" sel="0" val="0"/>
</file>

<file path=xl/ctrlProps/ctrlProp55.xml><?xml version="1.0" encoding="utf-8"?>
<formControlPr xmlns="http://schemas.microsoft.com/office/spreadsheetml/2009/9/main" objectType="Drop" dropLines="2" dropStyle="combo" dx="31" fmlaLink="Sheet1!$F$265" fmlaRange="Sheet1!$B$264:$B$265" noThreeD="1" sel="0" val="0"/>
</file>

<file path=xl/ctrlProps/ctrlProp56.xml><?xml version="1.0" encoding="utf-8"?>
<formControlPr xmlns="http://schemas.microsoft.com/office/spreadsheetml/2009/9/main" objectType="Drop" dropLines="2" dropStyle="combo" dx="31" fmlaLink="Sheet1!$G$265" fmlaRange="Sheet1!$B$264:$B$265" noThreeD="1" sel="0" val="0"/>
</file>

<file path=xl/ctrlProps/ctrlProp57.xml><?xml version="1.0" encoding="utf-8"?>
<formControlPr xmlns="http://schemas.microsoft.com/office/spreadsheetml/2009/9/main" objectType="Drop" dropLines="2" dropStyle="combo" dx="31" fmlaLink="Sheet1!$H$265" fmlaRange="Sheet1!$B$264:$B$265" noThreeD="1" sel="0" val="0"/>
</file>

<file path=xl/ctrlProps/ctrlProp58.xml><?xml version="1.0" encoding="utf-8"?>
<formControlPr xmlns="http://schemas.microsoft.com/office/spreadsheetml/2009/9/main" objectType="Drop" dropLines="2" dropStyle="combo" dx="31" fmlaLink="Sheet1!$I$265" fmlaRange="Sheet1!$B$264:$B$265" noThreeD="1" sel="0" val="0"/>
</file>

<file path=xl/ctrlProps/ctrlProp59.xml><?xml version="1.0" encoding="utf-8"?>
<formControlPr xmlns="http://schemas.microsoft.com/office/spreadsheetml/2009/9/main" objectType="Drop" dropLines="2" dropStyle="combo" dx="31" fmlaLink="Sheet1!$J$265" fmlaRange="Sheet1!$B$264:$B$265" noThreeD="1" sel="0" val="0"/>
</file>

<file path=xl/ctrlProps/ctrlProp60.xml><?xml version="1.0" encoding="utf-8"?>
<formControlPr xmlns="http://schemas.microsoft.com/office/spreadsheetml/2009/9/main" objectType="Drop" dropLines="2" dropStyle="combo" dx="31" fmlaLink="Sheet1!$K$265" fmlaRange="Sheet1!$B$264:$B$265" noThreeD="1" sel="0" val="0"/>
</file>

<file path=xl/ctrlProps/ctrlProp61.xml><?xml version="1.0" encoding="utf-8"?>
<formControlPr xmlns="http://schemas.microsoft.com/office/spreadsheetml/2009/9/main" objectType="Drop" dropLines="6" dropStyle="combo" dx="31" fmlaLink="Sheet1!$D$336" fmlaRange="Sheet1!$B$335:$B$343" noThreeD="1" sel="0" val="0"/>
</file>

<file path=xl/ctrlProps/ctrlProp62.xml><?xml version="1.0" encoding="utf-8"?>
<formControlPr xmlns="http://schemas.microsoft.com/office/spreadsheetml/2009/9/main" objectType="Drop" dropLines="6" dropStyle="combo" dx="31" fmlaLink="Sheet1!$E$336" fmlaRange="Sheet1!$B$335:$B$343" noThreeD="1" sel="0" val="0"/>
</file>

<file path=xl/ctrlProps/ctrlProp63.xml><?xml version="1.0" encoding="utf-8"?>
<formControlPr xmlns="http://schemas.microsoft.com/office/spreadsheetml/2009/9/main" objectType="Drop" dropLines="6" dropStyle="combo" dx="31" fmlaLink="Sheet1!$F$336" fmlaRange="Sheet1!$B$335:$B$343" noThreeD="1" sel="0" val="0"/>
</file>

<file path=xl/ctrlProps/ctrlProp64.xml><?xml version="1.0" encoding="utf-8"?>
<formControlPr xmlns="http://schemas.microsoft.com/office/spreadsheetml/2009/9/main" objectType="Drop" dropLines="6" dropStyle="combo" dx="31" fmlaLink="Sheet1!$G$336" fmlaRange="Sheet1!$B$335:$B$343" noThreeD="1" sel="0" val="0"/>
</file>

<file path=xl/ctrlProps/ctrlProp65.xml><?xml version="1.0" encoding="utf-8"?>
<formControlPr xmlns="http://schemas.microsoft.com/office/spreadsheetml/2009/9/main" objectType="Drop" dropLines="6" dropStyle="combo" dx="31" fmlaLink="Sheet1!$H$336" fmlaRange="Sheet1!$B$335:$B$343" noThreeD="1" sel="0" val="0"/>
</file>

<file path=xl/ctrlProps/ctrlProp66.xml><?xml version="1.0" encoding="utf-8"?>
<formControlPr xmlns="http://schemas.microsoft.com/office/spreadsheetml/2009/9/main" objectType="Drop" dropLines="6" dropStyle="combo" dx="31" fmlaLink="Sheet1!$I$336" fmlaRange="Sheet1!$B$335:$B$343" noThreeD="1" sel="0" val="0"/>
</file>

<file path=xl/ctrlProps/ctrlProp67.xml><?xml version="1.0" encoding="utf-8"?>
<formControlPr xmlns="http://schemas.microsoft.com/office/spreadsheetml/2009/9/main" objectType="Drop" dropLines="6" dropStyle="combo" dx="31" fmlaLink="Sheet1!$J$336" fmlaRange="Sheet1!$B$335:$B$343" noThreeD="1" sel="0" val="0"/>
</file>

<file path=xl/ctrlProps/ctrlProp68.xml><?xml version="1.0" encoding="utf-8"?>
<formControlPr xmlns="http://schemas.microsoft.com/office/spreadsheetml/2009/9/main" objectType="Drop" dropLines="6" dropStyle="combo" dx="31" fmlaLink="Sheet1!$K$336" fmlaRange="Sheet1!$B$335:$B$343" noThreeD="1" sel="0" val="0"/>
</file>

<file path=xl/ctrlProps/ctrlProp69.xml><?xml version="1.0" encoding="utf-8"?>
<formControlPr xmlns="http://schemas.microsoft.com/office/spreadsheetml/2009/9/main" objectType="Drop" dropLines="6" dropStyle="combo" dx="31" fmlaLink="Sheet1!$D$283" fmlaRange="Sheet1!$P$282:$P$299" noThreeD="1" sel="1" val="0"/>
</file>

<file path=xl/ctrlProps/ctrlProp70.xml><?xml version="1.0" encoding="utf-8"?>
<formControlPr xmlns="http://schemas.microsoft.com/office/spreadsheetml/2009/9/main" objectType="Drop" dropLines="6" dropStyle="combo" dx="31" fmlaLink="Sheet1!$E$283" fmlaRange="Sheet1!$P$282:$P$299" noThreeD="1" sel="1" val="4"/>
</file>

<file path=xl/ctrlProps/ctrlProp71.xml><?xml version="1.0" encoding="utf-8"?>
<formControlPr xmlns="http://schemas.microsoft.com/office/spreadsheetml/2009/9/main" objectType="Drop" dropLines="6" dropStyle="combo" dx="31" fmlaLink="Sheet1!$F$283" fmlaRange="Sheet1!$P$282:$P$299" noThreeD="1" sel="0" val="0"/>
</file>

<file path=xl/ctrlProps/ctrlProp72.xml><?xml version="1.0" encoding="utf-8"?>
<formControlPr xmlns="http://schemas.microsoft.com/office/spreadsheetml/2009/9/main" objectType="Drop" dropLines="6" dropStyle="combo" dx="31" fmlaLink="Sheet1!$G$283" fmlaRange="Sheet1!$P$282:$P$299" noThreeD="1" sel="0" val="0"/>
</file>

<file path=xl/ctrlProps/ctrlProp73.xml><?xml version="1.0" encoding="utf-8"?>
<formControlPr xmlns="http://schemas.microsoft.com/office/spreadsheetml/2009/9/main" objectType="Drop" dropLines="6" dropStyle="combo" dx="31" fmlaLink="Sheet1!$H$283" fmlaRange="Sheet1!$P$282:$P$299" noThreeD="1" sel="0" val="0"/>
</file>

<file path=xl/ctrlProps/ctrlProp74.xml><?xml version="1.0" encoding="utf-8"?>
<formControlPr xmlns="http://schemas.microsoft.com/office/spreadsheetml/2009/9/main" objectType="Drop" dropLines="6" dropStyle="combo" dx="31" fmlaLink="Sheet1!$I$283" fmlaRange="Sheet1!$P$282:$P$299" noThreeD="1" sel="0" val="0"/>
</file>

<file path=xl/ctrlProps/ctrlProp75.xml><?xml version="1.0" encoding="utf-8"?>
<formControlPr xmlns="http://schemas.microsoft.com/office/spreadsheetml/2009/9/main" objectType="Drop" dropLines="6" dropStyle="combo" dx="31" fmlaLink="Sheet1!$J$283" fmlaRange="Sheet1!$P$282:$P$299" noThreeD="1" sel="0" val="0"/>
</file>

<file path=xl/ctrlProps/ctrlProp76.xml><?xml version="1.0" encoding="utf-8"?>
<formControlPr xmlns="http://schemas.microsoft.com/office/spreadsheetml/2009/9/main" objectType="Drop" dropLines="6" dropStyle="combo" dx="31" fmlaLink="Sheet1!$K$283" fmlaRange="Sheet1!$P$282:$P$299" noThreeD="1" sel="0" val="0"/>
</file>

<file path=xl/ctrlProps/ctrlProp77.xml><?xml version="1.0" encoding="utf-8"?>
<formControlPr xmlns="http://schemas.microsoft.com/office/spreadsheetml/2009/9/main" objectType="Drop" dropLines="5" dropStyle="combo" dx="31" fmlaLink="Sheet1!$D$247" fmlaRange="Sheet1!$B$247:$B$251" noThreeD="1" sel="1" val="0"/>
</file>

<file path=xl/ctrlProps/ctrlProp78.xml><?xml version="1.0" encoding="utf-8"?>
<formControlPr xmlns="http://schemas.microsoft.com/office/spreadsheetml/2009/9/main" objectType="Drop" dropLines="5" dropStyle="combo" dx="31" fmlaLink="Sheet1!$D$148" fmlaRange="Sheet1!$B$148:$B$187" noThreeD="1" sel="1" val="14"/>
</file>

<file path=xl/ctrlProps/ctrlProp79.xml><?xml version="1.0" encoding="utf-8"?>
<formControlPr xmlns="http://schemas.microsoft.com/office/spreadsheetml/2009/9/main" objectType="Drop" dropLines="2" dropStyle="combo" dx="31" fmlaLink="Sheet1!$D$266" fmlaRange="Sheet1!$B$264:$B$265" noThreeD="1" sel="0" val="0"/>
</file>

<file path=xl/ctrlProps/ctrlProp80.xml><?xml version="1.0" encoding="utf-8"?>
<formControlPr xmlns="http://schemas.microsoft.com/office/spreadsheetml/2009/9/main" objectType="Drop" dropLines="6" dropStyle="combo" dx="31" fmlaLink="Sheet1!$D$311" fmlaRange="Sheet1!$P$309:$P$327" noThreeD="1" sel="1" val="0"/>
</file>

<file path=xl/ctrlProps/ctrlProp81.xml><?xml version="1.0" encoding="utf-8"?>
<formControlPr xmlns="http://schemas.microsoft.com/office/spreadsheetml/2009/9/main" objectType="Drop" dropLines="6" dropStyle="combo" dx="31" fmlaLink="Sheet1!$E$311" fmlaRange="Sheet1!$P$309:$P$327" noThreeD="1" sel="0" val="0"/>
</file>

<file path=xl/ctrlProps/ctrlProp82.xml><?xml version="1.0" encoding="utf-8"?>
<formControlPr xmlns="http://schemas.microsoft.com/office/spreadsheetml/2009/9/main" objectType="Drop" dropLines="6" dropStyle="combo" dx="31" fmlaLink="Sheet1!$F$311" fmlaRange="Sheet1!$P$309:$P$327" noThreeD="1" sel="0" val="0"/>
</file>

<file path=xl/ctrlProps/ctrlProp83.xml><?xml version="1.0" encoding="utf-8"?>
<formControlPr xmlns="http://schemas.microsoft.com/office/spreadsheetml/2009/9/main" objectType="Drop" dropLines="6" dropStyle="combo" dx="31" fmlaLink="Sheet1!$G$311" fmlaRange="Sheet1!$P$309:$P$327" noThreeD="1" sel="0" val="0"/>
</file>

<file path=xl/ctrlProps/ctrlProp84.xml><?xml version="1.0" encoding="utf-8"?>
<formControlPr xmlns="http://schemas.microsoft.com/office/spreadsheetml/2009/9/main" objectType="Drop" dropLines="6" dropStyle="combo" dx="31" fmlaLink="Sheet1!$H$311" fmlaRange="Sheet1!$P$309:$P$327" noThreeD="1" sel="0" val="0"/>
</file>

<file path=xl/ctrlProps/ctrlProp85.xml><?xml version="1.0" encoding="utf-8"?>
<formControlPr xmlns="http://schemas.microsoft.com/office/spreadsheetml/2009/9/main" objectType="Drop" dropLines="6" dropStyle="combo" dx="31" fmlaLink="Sheet1!$I$311" fmlaRange="Sheet1!$P$309:$P$327" noThreeD="1" sel="0" val="0"/>
</file>

<file path=xl/ctrlProps/ctrlProp86.xml><?xml version="1.0" encoding="utf-8"?>
<formControlPr xmlns="http://schemas.microsoft.com/office/spreadsheetml/2009/9/main" objectType="Drop" dropLines="6" dropStyle="combo" dx="31" fmlaLink="Sheet1!$J$311" fmlaRange="Sheet1!$P$309:$P$327" noThreeD="1" sel="0" val="0"/>
</file>

<file path=xl/ctrlProps/ctrlProp87.xml><?xml version="1.0" encoding="utf-8"?>
<formControlPr xmlns="http://schemas.microsoft.com/office/spreadsheetml/2009/9/main" objectType="Drop" dropLines="6" dropStyle="combo" dx="31" fmlaLink="Sheet1!$K$311" fmlaRange="Sheet1!$P$309:$P$327" noThreeD="1" sel="0" val="0"/>
</file>

<file path=xl/ctrlProps/ctrlProp88.xml><?xml version="1.0" encoding="utf-8"?>
<formControlPr xmlns="http://schemas.microsoft.com/office/spreadsheetml/2009/9/main" objectType="Drop" dropLines="2" dropStyle="combo" dx="31" fmlaLink="Sheet1!$E$266" fmlaRange="Sheet1!$B$264:$B$265" noThreeD="1" sel="0" val="0"/>
</file>

<file path=xl/ctrlProps/ctrlProp89.xml><?xml version="1.0" encoding="utf-8"?>
<formControlPr xmlns="http://schemas.microsoft.com/office/spreadsheetml/2009/9/main" objectType="Drop" dropLines="2" dropStyle="combo" dx="31" fmlaLink="Sheet1!$F$266" fmlaRange="Sheet1!$B$264:$B$265" noThreeD="1" sel="0" val="0"/>
</file>

<file path=xl/ctrlProps/ctrlProp90.xml><?xml version="1.0" encoding="utf-8"?>
<formControlPr xmlns="http://schemas.microsoft.com/office/spreadsheetml/2009/9/main" objectType="Drop" dropLines="2" dropStyle="combo" dx="31" fmlaLink="Sheet1!$G$266" fmlaRange="Sheet1!$B$264:$B$265" noThreeD="1" sel="0" val="0"/>
</file>

<file path=xl/ctrlProps/ctrlProp91.xml><?xml version="1.0" encoding="utf-8"?>
<formControlPr xmlns="http://schemas.microsoft.com/office/spreadsheetml/2009/9/main" objectType="Drop" dropLines="2" dropStyle="combo" dx="31" fmlaLink="Sheet1!$H$266" fmlaRange="Sheet1!$B$264:$B$265" noThreeD="1" sel="0" val="0"/>
</file>

<file path=xl/ctrlProps/ctrlProp92.xml><?xml version="1.0" encoding="utf-8"?>
<formControlPr xmlns="http://schemas.microsoft.com/office/spreadsheetml/2009/9/main" objectType="Drop" dropLines="2" dropStyle="combo" dx="31" fmlaLink="Sheet1!$I$266" fmlaRange="Sheet1!$B$264:$B$265" noThreeD="1" sel="0" val="0"/>
</file>

<file path=xl/ctrlProps/ctrlProp93.xml><?xml version="1.0" encoding="utf-8"?>
<formControlPr xmlns="http://schemas.microsoft.com/office/spreadsheetml/2009/9/main" objectType="Drop" dropLines="2" dropStyle="combo" dx="31" fmlaLink="Sheet1!$J$266" fmlaRange="Sheet1!$B$264:$B$265" noThreeD="1" sel="0" val="0"/>
</file>

<file path=xl/ctrlProps/ctrlProp94.xml><?xml version="1.0" encoding="utf-8"?>
<formControlPr xmlns="http://schemas.microsoft.com/office/spreadsheetml/2009/9/main" objectType="Drop" dropLines="2" dropStyle="combo" dx="31" fmlaLink="Sheet1!$K$266" fmlaRange="Sheet1!$B$264:$B$265" noThreeD="1" sel="0" val="0"/>
</file>

<file path=xl/ctrlProps/ctrlProp95.xml><?xml version="1.0" encoding="utf-8"?>
<formControlPr xmlns="http://schemas.microsoft.com/office/spreadsheetml/2009/9/main" objectType="Drop" dropLines="6" dropStyle="combo" dx="31" fmlaLink="Sheet1!$D$337" fmlaRange="Sheet1!$B$335:$B$343" noThreeD="1" sel="0" val="0"/>
</file>

<file path=xl/ctrlProps/ctrlProp96.xml><?xml version="1.0" encoding="utf-8"?>
<formControlPr xmlns="http://schemas.microsoft.com/office/spreadsheetml/2009/9/main" objectType="Drop" dropLines="6" dropStyle="combo" dx="31" fmlaLink="Sheet1!$E$337" fmlaRange="Sheet1!$B$335:$B$343" noThreeD="1" sel="0" val="0"/>
</file>

<file path=xl/ctrlProps/ctrlProp97.xml><?xml version="1.0" encoding="utf-8"?>
<formControlPr xmlns="http://schemas.microsoft.com/office/spreadsheetml/2009/9/main" objectType="Drop" dropLines="6" dropStyle="combo" dx="31" fmlaLink="Sheet1!$F$337" fmlaRange="Sheet1!$B$335:$B$343" noThreeD="1" sel="0" val="0"/>
</file>

<file path=xl/ctrlProps/ctrlProp98.xml><?xml version="1.0" encoding="utf-8"?>
<formControlPr xmlns="http://schemas.microsoft.com/office/spreadsheetml/2009/9/main" objectType="Drop" dropLines="6" dropStyle="combo" dx="31" fmlaLink="Sheet1!$G$337" fmlaRange="Sheet1!$B$335:$B$343" noThreeD="1" sel="0" val="0"/>
</file>

<file path=xl/ctrlProps/ctrlProp99.xml><?xml version="1.0" encoding="utf-8"?>
<formControlPr xmlns="http://schemas.microsoft.com/office/spreadsheetml/2009/9/main" objectType="Drop" dropLines="6" dropStyle="combo" dx="31" fmlaLink="Sheet1!$H$337" fmlaRange="Sheet1!$B$335:$B$343" noThreeD="1" sel="0" val="0"/>
</file>

<file path=xl/ctrlProps/ctrlProp100.xml><?xml version="1.0" encoding="utf-8"?>
<formControlPr xmlns="http://schemas.microsoft.com/office/spreadsheetml/2009/9/main" objectType="Drop" dropLines="6" dropStyle="combo" dx="31" fmlaLink="Sheet1!$I$337" fmlaRange="Sheet1!$B$335:$B$343" noThreeD="1" sel="0" val="0"/>
</file>

<file path=xl/ctrlProps/ctrlProp101.xml><?xml version="1.0" encoding="utf-8"?>
<formControlPr xmlns="http://schemas.microsoft.com/office/spreadsheetml/2009/9/main" objectType="Drop" dropLines="6" dropStyle="combo" dx="31" fmlaLink="Sheet1!$J$337" fmlaRange="Sheet1!$B$335:$B$343" noThreeD="1" sel="0" val="0"/>
</file>

<file path=xl/ctrlProps/ctrlProp102.xml><?xml version="1.0" encoding="utf-8"?>
<formControlPr xmlns="http://schemas.microsoft.com/office/spreadsheetml/2009/9/main" objectType="Drop" dropLines="6" dropStyle="combo" dx="31" fmlaLink="Sheet1!$K$337" fmlaRange="Sheet1!$B$335:$B$343" noThreeD="1" sel="0" val="0"/>
</file>

<file path=xl/ctrlProps/ctrlProp103.xml><?xml version="1.0" encoding="utf-8"?>
<formControlPr xmlns="http://schemas.microsoft.com/office/spreadsheetml/2009/9/main" objectType="Drop" dropLines="6" dropStyle="combo" dx="31" fmlaLink="Sheet1!$D$284" fmlaRange="Sheet1!$P$282:$P$299" noThreeD="1" sel="1" val="0"/>
</file>

<file path=xl/ctrlProps/ctrlProp104.xml><?xml version="1.0" encoding="utf-8"?>
<formControlPr xmlns="http://schemas.microsoft.com/office/spreadsheetml/2009/9/main" objectType="Drop" dropLines="6" dropStyle="combo" dx="31" fmlaLink="Sheet1!$E$284" fmlaRange="Sheet1!$P$282:$P$299" noThreeD="1" sel="1" val="0"/>
</file>

<file path=xl/ctrlProps/ctrlProp105.xml><?xml version="1.0" encoding="utf-8"?>
<formControlPr xmlns="http://schemas.microsoft.com/office/spreadsheetml/2009/9/main" objectType="Drop" dropLines="6" dropStyle="combo" dx="31" fmlaLink="Sheet1!$F$284" fmlaRange="Sheet1!$P$282:$P$299" noThreeD="1" sel="0" val="0"/>
</file>

<file path=xl/ctrlProps/ctrlProp106.xml><?xml version="1.0" encoding="utf-8"?>
<formControlPr xmlns="http://schemas.microsoft.com/office/spreadsheetml/2009/9/main" objectType="Drop" dropLines="6" dropStyle="combo" dx="31" fmlaLink="Sheet1!$G$284" fmlaRange="Sheet1!$P$282:$P$299" noThreeD="1" sel="0" val="0"/>
</file>

<file path=xl/ctrlProps/ctrlProp107.xml><?xml version="1.0" encoding="utf-8"?>
<formControlPr xmlns="http://schemas.microsoft.com/office/spreadsheetml/2009/9/main" objectType="Drop" dropLines="6" dropStyle="combo" dx="31" fmlaLink="Sheet1!$H$284" fmlaRange="Sheet1!$P$282:$P$299" noThreeD="1" sel="0" val="0"/>
</file>

<file path=xl/ctrlProps/ctrlProp108.xml><?xml version="1.0" encoding="utf-8"?>
<formControlPr xmlns="http://schemas.microsoft.com/office/spreadsheetml/2009/9/main" objectType="Drop" dropLines="6" dropStyle="combo" dx="31" fmlaLink="Sheet1!$I$284" fmlaRange="Sheet1!$P$282:$P$299" noThreeD="1" sel="0" val="0"/>
</file>

<file path=xl/ctrlProps/ctrlProp109.xml><?xml version="1.0" encoding="utf-8"?>
<formControlPr xmlns="http://schemas.microsoft.com/office/spreadsheetml/2009/9/main" objectType="Drop" dropLines="6" dropStyle="combo" dx="31" fmlaLink="Sheet1!$J$284" fmlaRange="Sheet1!$P$282:$P$299" noThreeD="1" sel="0" val="0"/>
</file>

<file path=xl/ctrlProps/ctrlProp110.xml><?xml version="1.0" encoding="utf-8"?>
<formControlPr xmlns="http://schemas.microsoft.com/office/spreadsheetml/2009/9/main" objectType="Drop" dropLines="6" dropStyle="combo" dx="31" fmlaLink="Sheet1!$K$284" fmlaRange="Sheet1!$P$282:$P$299" noThreeD="1" sel="0" val="0"/>
</file>

<file path=xl/ctrlProps/ctrlProp111.xml><?xml version="1.0" encoding="utf-8"?>
<formControlPr xmlns="http://schemas.microsoft.com/office/spreadsheetml/2009/9/main" objectType="Drop" dropLines="5" dropStyle="combo" dx="31" fmlaLink="Sheet1!$D$248" fmlaRange="Sheet1!$B$247:$B$251" noThreeD="1" sel="1" val="0"/>
</file>

<file path=xl/ctrlProps/ctrlProp112.xml><?xml version="1.0" encoding="utf-8"?>
<formControlPr xmlns="http://schemas.microsoft.com/office/spreadsheetml/2009/9/main" objectType="Drop" dropLines="5" dropStyle="combo" dx="31" fmlaLink="Sheet1!$D$148" fmlaRange="Sheet1!$B$148:$B$187" noThreeD="1" sel="1" val="14"/>
</file>

<file path=xl/ctrlProps/ctrlProp113.xml><?xml version="1.0" encoding="utf-8"?>
<formControlPr xmlns="http://schemas.microsoft.com/office/spreadsheetml/2009/9/main" objectType="Drop" dropLines="2" dropStyle="combo" dx="31" fmlaLink="Sheet1!$D$267" fmlaRange="Sheet1!$B$264:$B$265" noThreeD="1" sel="0" val="0"/>
</file>

<file path=xl/ctrlProps/ctrlProp114.xml><?xml version="1.0" encoding="utf-8"?>
<formControlPr xmlns="http://schemas.microsoft.com/office/spreadsheetml/2009/9/main" objectType="Drop" dropLines="6" dropStyle="combo" dx="31" fmlaLink="Sheet1!$D$312" fmlaRange="Sheet1!$P$309:$P$327" noThreeD="1" sel="0" val="0"/>
</file>

<file path=xl/ctrlProps/ctrlProp115.xml><?xml version="1.0" encoding="utf-8"?>
<formControlPr xmlns="http://schemas.microsoft.com/office/spreadsheetml/2009/9/main" objectType="Drop" dropLines="6" dropStyle="combo" dx="31" fmlaLink="Sheet1!$E$312" fmlaRange="Sheet1!$P$309:$P$327" noThreeD="1" sel="0" val="0"/>
</file>

<file path=xl/ctrlProps/ctrlProp116.xml><?xml version="1.0" encoding="utf-8"?>
<formControlPr xmlns="http://schemas.microsoft.com/office/spreadsheetml/2009/9/main" objectType="Drop" dropLines="6" dropStyle="combo" dx="31" fmlaLink="Sheet1!$F$312" fmlaRange="Sheet1!$P$309:$P$327" noThreeD="1" sel="0" val="0"/>
</file>

<file path=xl/ctrlProps/ctrlProp117.xml><?xml version="1.0" encoding="utf-8"?>
<formControlPr xmlns="http://schemas.microsoft.com/office/spreadsheetml/2009/9/main" objectType="Drop" dropLines="6" dropStyle="combo" dx="31" fmlaLink="Sheet1!$G$312" fmlaRange="Sheet1!$P$309:$P$327" noThreeD="1" sel="0" val="0"/>
</file>

<file path=xl/ctrlProps/ctrlProp118.xml><?xml version="1.0" encoding="utf-8"?>
<formControlPr xmlns="http://schemas.microsoft.com/office/spreadsheetml/2009/9/main" objectType="Drop" dropLines="6" dropStyle="combo" dx="31" fmlaLink="Sheet1!$H$312" fmlaRange="Sheet1!$P$309:$P$327" noThreeD="1" sel="0" val="0"/>
</file>

<file path=xl/ctrlProps/ctrlProp119.xml><?xml version="1.0" encoding="utf-8"?>
<formControlPr xmlns="http://schemas.microsoft.com/office/spreadsheetml/2009/9/main" objectType="Drop" dropLines="6" dropStyle="combo" dx="31" fmlaLink="Sheet1!$I$312" fmlaRange="Sheet1!$P$309:$P$327" noThreeD="1" sel="0" val="0"/>
</file>

<file path=xl/ctrlProps/ctrlProp120.xml><?xml version="1.0" encoding="utf-8"?>
<formControlPr xmlns="http://schemas.microsoft.com/office/spreadsheetml/2009/9/main" objectType="Drop" dropLines="6" dropStyle="combo" dx="31" fmlaLink="Sheet1!$J$312" fmlaRange="Sheet1!$P$309:$P$327" noThreeD="1" sel="0" val="0"/>
</file>

<file path=xl/ctrlProps/ctrlProp121.xml><?xml version="1.0" encoding="utf-8"?>
<formControlPr xmlns="http://schemas.microsoft.com/office/spreadsheetml/2009/9/main" objectType="Drop" dropLines="6" dropStyle="combo" dx="31" fmlaLink="Sheet1!$K$312" fmlaRange="Sheet1!$P$309:$P$327" noThreeD="1" sel="0" val="0"/>
</file>

<file path=xl/ctrlProps/ctrlProp122.xml><?xml version="1.0" encoding="utf-8"?>
<formControlPr xmlns="http://schemas.microsoft.com/office/spreadsheetml/2009/9/main" objectType="Drop" dropLines="2" dropStyle="combo" dx="31" fmlaLink="Sheet1!$E$267" fmlaRange="Sheet1!$B$264:$B$265" noThreeD="1" sel="0" val="0"/>
</file>

<file path=xl/ctrlProps/ctrlProp123.xml><?xml version="1.0" encoding="utf-8"?>
<formControlPr xmlns="http://schemas.microsoft.com/office/spreadsheetml/2009/9/main" objectType="Drop" dropLines="2" dropStyle="combo" dx="31" fmlaLink="Sheet1!$F$267" fmlaRange="Sheet1!$B$264:$B$265" noThreeD="1" sel="0" val="0"/>
</file>

<file path=xl/ctrlProps/ctrlProp124.xml><?xml version="1.0" encoding="utf-8"?>
<formControlPr xmlns="http://schemas.microsoft.com/office/spreadsheetml/2009/9/main" objectType="Drop" dropLines="2" dropStyle="combo" dx="31" fmlaLink="Sheet1!$G$267" fmlaRange="Sheet1!$B$264:$B$265" noThreeD="1" sel="0" val="0"/>
</file>

<file path=xl/ctrlProps/ctrlProp125.xml><?xml version="1.0" encoding="utf-8"?>
<formControlPr xmlns="http://schemas.microsoft.com/office/spreadsheetml/2009/9/main" objectType="Drop" dropLines="2" dropStyle="combo" dx="31" fmlaLink="Sheet1!$H$267" fmlaRange="Sheet1!$B$264:$B$265" noThreeD="1" sel="0" val="0"/>
</file>

<file path=xl/ctrlProps/ctrlProp126.xml><?xml version="1.0" encoding="utf-8"?>
<formControlPr xmlns="http://schemas.microsoft.com/office/spreadsheetml/2009/9/main" objectType="Drop" dropLines="2" dropStyle="combo" dx="31" fmlaLink="Sheet1!$I$267" fmlaRange="Sheet1!$B$264:$B$265" noThreeD="1" sel="0" val="0"/>
</file>

<file path=xl/ctrlProps/ctrlProp127.xml><?xml version="1.0" encoding="utf-8"?>
<formControlPr xmlns="http://schemas.microsoft.com/office/spreadsheetml/2009/9/main" objectType="Drop" dropLines="2" dropStyle="combo" dx="31" fmlaLink="Sheet1!$J$267" fmlaRange="Sheet1!$B$264:$B$265" noThreeD="1" sel="0" val="0"/>
</file>

<file path=xl/ctrlProps/ctrlProp128.xml><?xml version="1.0" encoding="utf-8"?>
<formControlPr xmlns="http://schemas.microsoft.com/office/spreadsheetml/2009/9/main" objectType="Drop" dropLines="2" dropStyle="combo" dx="31" fmlaLink="Sheet1!$K$267" fmlaRange="Sheet1!$B$264:$B$265" noThreeD="1" sel="0" val="0"/>
</file>

<file path=xl/ctrlProps/ctrlProp129.xml><?xml version="1.0" encoding="utf-8"?>
<formControlPr xmlns="http://schemas.microsoft.com/office/spreadsheetml/2009/9/main" objectType="Drop" dropLines="6" dropStyle="combo" dx="31" fmlaLink="Sheet1!$D$338" fmlaRange="Sheet1!$B$335:$B$343" noThreeD="1" sel="1" val="0"/>
</file>

<file path=xl/ctrlProps/ctrlProp130.xml><?xml version="1.0" encoding="utf-8"?>
<formControlPr xmlns="http://schemas.microsoft.com/office/spreadsheetml/2009/9/main" objectType="Drop" dropLines="6" dropStyle="combo" dx="31" fmlaLink="Sheet1!$E$338" fmlaRange="Sheet1!$B$335:$B$343" noThreeD="1" sel="0" val="0"/>
</file>

<file path=xl/ctrlProps/ctrlProp131.xml><?xml version="1.0" encoding="utf-8"?>
<formControlPr xmlns="http://schemas.microsoft.com/office/spreadsheetml/2009/9/main" objectType="Drop" dropLines="6" dropStyle="combo" dx="31" fmlaLink="Sheet1!$F$338" fmlaRange="Sheet1!$B$335:$B$343" noThreeD="1" sel="0" val="0"/>
</file>

<file path=xl/ctrlProps/ctrlProp132.xml><?xml version="1.0" encoding="utf-8"?>
<formControlPr xmlns="http://schemas.microsoft.com/office/spreadsheetml/2009/9/main" objectType="Drop" dropLines="6" dropStyle="combo" dx="31" fmlaLink="Sheet1!$G$338" fmlaRange="Sheet1!$B$335:$B$343" noThreeD="1" sel="0" val="0"/>
</file>

<file path=xl/ctrlProps/ctrlProp133.xml><?xml version="1.0" encoding="utf-8"?>
<formControlPr xmlns="http://schemas.microsoft.com/office/spreadsheetml/2009/9/main" objectType="Drop" dropLines="6" dropStyle="combo" dx="31" fmlaLink="Sheet1!$H$338" fmlaRange="Sheet1!$B$335:$B$343" noThreeD="1" sel="0" val="0"/>
</file>

<file path=xl/ctrlProps/ctrlProp134.xml><?xml version="1.0" encoding="utf-8"?>
<formControlPr xmlns="http://schemas.microsoft.com/office/spreadsheetml/2009/9/main" objectType="Drop" dropLines="6" dropStyle="combo" dx="31" fmlaLink="Sheet1!$I$338" fmlaRange="Sheet1!$B$335:$B$343" noThreeD="1" sel="0" val="0"/>
</file>

<file path=xl/ctrlProps/ctrlProp135.xml><?xml version="1.0" encoding="utf-8"?>
<formControlPr xmlns="http://schemas.microsoft.com/office/spreadsheetml/2009/9/main" objectType="Drop" dropLines="6" dropStyle="combo" dx="31" fmlaLink="Sheet1!$J$338" fmlaRange="Sheet1!$B$335:$B$343" noThreeD="1" sel="0" val="0"/>
</file>

<file path=xl/ctrlProps/ctrlProp136.xml><?xml version="1.0" encoding="utf-8"?>
<formControlPr xmlns="http://schemas.microsoft.com/office/spreadsheetml/2009/9/main" objectType="Drop" dropLines="6" dropStyle="combo" dx="31" fmlaLink="Sheet1!$D$285" fmlaRange="Sheet1!$P$282:$P$299" noThreeD="1" sel="0" val="0"/>
</file>

<file path=xl/ctrlProps/ctrlProp137.xml><?xml version="1.0" encoding="utf-8"?>
<formControlPr xmlns="http://schemas.microsoft.com/office/spreadsheetml/2009/9/main" objectType="Drop" dropLines="6" dropStyle="combo" dx="31" fmlaLink="Sheet1!$E$285" fmlaRange="Sheet1!$P$282:$P$299" noThreeD="1" sel="0" val="0"/>
</file>

<file path=xl/ctrlProps/ctrlProp138.xml><?xml version="1.0" encoding="utf-8"?>
<formControlPr xmlns="http://schemas.microsoft.com/office/spreadsheetml/2009/9/main" objectType="Drop" dropLines="5" dropStyle="combo" dx="31" fmlaLink="Sheet1!$D$249" fmlaRange="Sheet1!$B$247:$B$251" noThreeD="1" sel="1" val="0"/>
</file>

<file path=xl/ctrlProps/ctrlProp139.xml><?xml version="1.0" encoding="utf-8"?>
<formControlPr xmlns="http://schemas.microsoft.com/office/spreadsheetml/2009/9/main" objectType="Drop" dropLines="6" dropStyle="combo" dx="31" fmlaLink="Sheet1!$K$338" fmlaRange="Sheet1!$B$335:$B$343" noThreeD="1" sel="0" val="0"/>
</file>

<file path=xl/ctrlProps/ctrlProp140.xml><?xml version="1.0" encoding="utf-8"?>
<formControlPr xmlns="http://schemas.microsoft.com/office/spreadsheetml/2009/9/main" objectType="Drop" dropLines="6" dropStyle="combo" dx="31" fmlaLink="Sheet1!$F$285" fmlaRange="Sheet1!$P$282:$P$299" noThreeD="1" sel="0" val="0"/>
</file>

<file path=xl/ctrlProps/ctrlProp141.xml><?xml version="1.0" encoding="utf-8"?>
<formControlPr xmlns="http://schemas.microsoft.com/office/spreadsheetml/2009/9/main" objectType="Drop" dropLines="6" dropStyle="combo" dx="31" fmlaLink="Sheet1!$G$285" fmlaRange="Sheet1!$P$282:$P$299" noThreeD="1" sel="0" val="0"/>
</file>

<file path=xl/ctrlProps/ctrlProp142.xml><?xml version="1.0" encoding="utf-8"?>
<formControlPr xmlns="http://schemas.microsoft.com/office/spreadsheetml/2009/9/main" objectType="Drop" dropLines="6" dropStyle="combo" dx="31" fmlaLink="Sheet1!$H$285" fmlaRange="Sheet1!$P$282:$P$299" noThreeD="1" sel="0" val="0"/>
</file>

<file path=xl/ctrlProps/ctrlProp143.xml><?xml version="1.0" encoding="utf-8"?>
<formControlPr xmlns="http://schemas.microsoft.com/office/spreadsheetml/2009/9/main" objectType="Drop" dropLines="6" dropStyle="combo" dx="31" fmlaLink="Sheet1!$I$285" fmlaRange="Sheet1!$P$282:$P$299" noThreeD="1" sel="0" val="0"/>
</file>

<file path=xl/ctrlProps/ctrlProp144.xml><?xml version="1.0" encoding="utf-8"?>
<formControlPr xmlns="http://schemas.microsoft.com/office/spreadsheetml/2009/9/main" objectType="Drop" dropLines="6" dropStyle="combo" dx="31" fmlaLink="Sheet1!$J$285" fmlaRange="Sheet1!$P$282:$P$299" noThreeD="1" sel="0" val="0"/>
</file>

<file path=xl/ctrlProps/ctrlProp145.xml><?xml version="1.0" encoding="utf-8"?>
<formControlPr xmlns="http://schemas.microsoft.com/office/spreadsheetml/2009/9/main" objectType="Drop" dropLines="6" dropStyle="combo" dx="31" fmlaLink="Sheet1!$K$285" fmlaRange="Sheet1!$P$282:$P$299" noThreeD="1" sel="0" val="0"/>
</file>

<file path=xl/ctrlProps/ctrlProp146.xml><?xml version="1.0" encoding="utf-8"?>
<formControlPr xmlns="http://schemas.microsoft.com/office/spreadsheetml/2009/9/main" objectType="Drop" dropLines="5" dropStyle="combo" dx="31" fmlaLink="Sheet1!$D$148" fmlaRange="Sheet1!$B$148:$B$187" noThreeD="1" sel="1" val="14"/>
</file>

<file path=xl/ctrlProps/ctrlProp147.xml><?xml version="1.0" encoding="utf-8"?>
<formControlPr xmlns="http://schemas.microsoft.com/office/spreadsheetml/2009/9/main" objectType="Drop" dropLines="2" dropStyle="combo" dx="31" fmlaLink="Sheet1!$D$268" fmlaRange="Sheet1!$B$264:$B$265" noThreeD="1" sel="0" val="0"/>
</file>

<file path=xl/ctrlProps/ctrlProp148.xml><?xml version="1.0" encoding="utf-8"?>
<formControlPr xmlns="http://schemas.microsoft.com/office/spreadsheetml/2009/9/main" objectType="Drop" dropLines="6" dropStyle="combo" dx="31" fmlaLink="Sheet1!$D$313" fmlaRange="Sheet1!$P$309:$P$327" noThreeD="1" sel="0" val="0"/>
</file>

<file path=xl/ctrlProps/ctrlProp149.xml><?xml version="1.0" encoding="utf-8"?>
<formControlPr xmlns="http://schemas.microsoft.com/office/spreadsheetml/2009/9/main" objectType="Drop" dropLines="6" dropStyle="combo" dx="31" fmlaLink="Sheet1!$E$313" fmlaRange="Sheet1!$P$309:$P$327" noThreeD="1" sel="0" val="0"/>
</file>

<file path=xl/ctrlProps/ctrlProp150.xml><?xml version="1.0" encoding="utf-8"?>
<formControlPr xmlns="http://schemas.microsoft.com/office/spreadsheetml/2009/9/main" objectType="Drop" dropLines="6" dropStyle="combo" dx="31" fmlaLink="Sheet1!$F$313" fmlaRange="Sheet1!$P$309:$P$327" noThreeD="1" sel="0" val="0"/>
</file>

<file path=xl/ctrlProps/ctrlProp151.xml><?xml version="1.0" encoding="utf-8"?>
<formControlPr xmlns="http://schemas.microsoft.com/office/spreadsheetml/2009/9/main" objectType="Drop" dropLines="6" dropStyle="combo" dx="31" fmlaLink="Sheet1!$G$313" fmlaRange="Sheet1!$P$309:$P$327" noThreeD="1" sel="0" val="0"/>
</file>

<file path=xl/ctrlProps/ctrlProp152.xml><?xml version="1.0" encoding="utf-8"?>
<formControlPr xmlns="http://schemas.microsoft.com/office/spreadsheetml/2009/9/main" objectType="Drop" dropLines="6" dropStyle="combo" dx="31" fmlaLink="Sheet1!$H$313" fmlaRange="Sheet1!$P$309:$P$327" noThreeD="1" sel="0" val="0"/>
</file>

<file path=xl/ctrlProps/ctrlProp153.xml><?xml version="1.0" encoding="utf-8"?>
<formControlPr xmlns="http://schemas.microsoft.com/office/spreadsheetml/2009/9/main" objectType="Drop" dropLines="6" dropStyle="combo" dx="31" fmlaLink="Sheet1!$I$313" fmlaRange="Sheet1!$P$309:$P$327" noThreeD="1" sel="0" val="0"/>
</file>

<file path=xl/ctrlProps/ctrlProp154.xml><?xml version="1.0" encoding="utf-8"?>
<formControlPr xmlns="http://schemas.microsoft.com/office/spreadsheetml/2009/9/main" objectType="Drop" dropLines="6" dropStyle="combo" dx="31" fmlaLink="Sheet1!$J$313" fmlaRange="Sheet1!$P$309:$P$327" noThreeD="1" sel="0" val="0"/>
</file>

<file path=xl/ctrlProps/ctrlProp155.xml><?xml version="1.0" encoding="utf-8"?>
<formControlPr xmlns="http://schemas.microsoft.com/office/spreadsheetml/2009/9/main" objectType="Drop" dropLines="6" dropStyle="combo" dx="31" fmlaLink="Sheet1!$K$313" fmlaRange="Sheet1!$P$309:$P$327" noThreeD="1" sel="0" val="0"/>
</file>

<file path=xl/ctrlProps/ctrlProp156.xml><?xml version="1.0" encoding="utf-8"?>
<formControlPr xmlns="http://schemas.microsoft.com/office/spreadsheetml/2009/9/main" objectType="Drop" dropLines="2" dropStyle="combo" dx="31" fmlaLink="Sheet1!$E$268" fmlaRange="Sheet1!$B$264:$B$265" noThreeD="1" sel="0" val="0"/>
</file>

<file path=xl/ctrlProps/ctrlProp157.xml><?xml version="1.0" encoding="utf-8"?>
<formControlPr xmlns="http://schemas.microsoft.com/office/spreadsheetml/2009/9/main" objectType="Drop" dropLines="2" dropStyle="combo" dx="31" fmlaLink="Sheet1!$F$268" fmlaRange="Sheet1!$B$264:$B$265" noThreeD="1" sel="0" val="0"/>
</file>

<file path=xl/ctrlProps/ctrlProp158.xml><?xml version="1.0" encoding="utf-8"?>
<formControlPr xmlns="http://schemas.microsoft.com/office/spreadsheetml/2009/9/main" objectType="Drop" dropLines="2" dropStyle="combo" dx="31" fmlaLink="Sheet1!$G$268" fmlaRange="Sheet1!$B$264:$B$265" noThreeD="1" sel="0" val="0"/>
</file>

<file path=xl/ctrlProps/ctrlProp159.xml><?xml version="1.0" encoding="utf-8"?>
<formControlPr xmlns="http://schemas.microsoft.com/office/spreadsheetml/2009/9/main" objectType="Drop" dropLines="2" dropStyle="combo" dx="31" fmlaLink="Sheet1!$H$268" fmlaRange="Sheet1!$B$264:$B$265" noThreeD="1" sel="0" val="0"/>
</file>

<file path=xl/ctrlProps/ctrlProp160.xml><?xml version="1.0" encoding="utf-8"?>
<formControlPr xmlns="http://schemas.microsoft.com/office/spreadsheetml/2009/9/main" objectType="Drop" dropLines="2" dropStyle="combo" dx="31" fmlaLink="Sheet1!$I$268" fmlaRange="Sheet1!$B$264:$B$265" noThreeD="1" sel="0" val="0"/>
</file>

<file path=xl/ctrlProps/ctrlProp161.xml><?xml version="1.0" encoding="utf-8"?>
<formControlPr xmlns="http://schemas.microsoft.com/office/spreadsheetml/2009/9/main" objectType="Drop" dropLines="2" dropStyle="combo" dx="31" fmlaLink="Sheet1!$J$268" fmlaRange="Sheet1!$B$264:$B$265" noThreeD="1" sel="0" val="0"/>
</file>

<file path=xl/ctrlProps/ctrlProp162.xml><?xml version="1.0" encoding="utf-8"?>
<formControlPr xmlns="http://schemas.microsoft.com/office/spreadsheetml/2009/9/main" objectType="Drop" dropLines="2" dropStyle="combo" dx="31" fmlaLink="Sheet1!$K$268" fmlaRange="Sheet1!$B$264:$B$265" noThreeD="1" sel="0" val="0"/>
</file>

<file path=xl/ctrlProps/ctrlProp163.xml><?xml version="1.0" encoding="utf-8"?>
<formControlPr xmlns="http://schemas.microsoft.com/office/spreadsheetml/2009/9/main" objectType="Drop" dropLines="6" dropStyle="combo" dx="31" fmlaLink="Sheet1!$D$339" fmlaRange="Sheet1!$B$335:$B$343" noThreeD="1" sel="0" val="0"/>
</file>

<file path=xl/ctrlProps/ctrlProp164.xml><?xml version="1.0" encoding="utf-8"?>
<formControlPr xmlns="http://schemas.microsoft.com/office/spreadsheetml/2009/9/main" objectType="Drop" dropLines="6" dropStyle="combo" dx="31" fmlaLink="Sheet1!$E$339" fmlaRange="Sheet1!$B$335:$B$343" noThreeD="1" sel="0" val="0"/>
</file>

<file path=xl/ctrlProps/ctrlProp165.xml><?xml version="1.0" encoding="utf-8"?>
<formControlPr xmlns="http://schemas.microsoft.com/office/spreadsheetml/2009/9/main" objectType="Drop" dropLines="6" dropStyle="combo" dx="31" fmlaLink="Sheet1!$F$339" fmlaRange="Sheet1!$B$335:$B$343" noThreeD="1" sel="0" val="0"/>
</file>

<file path=xl/ctrlProps/ctrlProp166.xml><?xml version="1.0" encoding="utf-8"?>
<formControlPr xmlns="http://schemas.microsoft.com/office/spreadsheetml/2009/9/main" objectType="Drop" dropLines="6" dropStyle="combo" dx="31" fmlaLink="Sheet1!$G$339" fmlaRange="Sheet1!$B$335:$B$343" noThreeD="1" sel="0" val="0"/>
</file>

<file path=xl/ctrlProps/ctrlProp167.xml><?xml version="1.0" encoding="utf-8"?>
<formControlPr xmlns="http://schemas.microsoft.com/office/spreadsheetml/2009/9/main" objectType="Drop" dropLines="6" dropStyle="combo" dx="31" fmlaLink="Sheet1!$H$339" fmlaRange="Sheet1!$B$335:$B$343" noThreeD="1" sel="0" val="0"/>
</file>

<file path=xl/ctrlProps/ctrlProp168.xml><?xml version="1.0" encoding="utf-8"?>
<formControlPr xmlns="http://schemas.microsoft.com/office/spreadsheetml/2009/9/main" objectType="Drop" dropLines="6" dropStyle="combo" dx="31" fmlaLink="Sheet1!$I$339" fmlaRange="Sheet1!$B$335:$B$343" noThreeD="1" sel="0" val="0"/>
</file>

<file path=xl/ctrlProps/ctrlProp169.xml><?xml version="1.0" encoding="utf-8"?>
<formControlPr xmlns="http://schemas.microsoft.com/office/spreadsheetml/2009/9/main" objectType="Drop" dropLines="6" dropStyle="combo" dx="31" fmlaLink="Sheet1!$J$339" fmlaRange="Sheet1!$B$335:$B$343" noThreeD="1" sel="0" val="0"/>
</file>

<file path=xl/ctrlProps/ctrlProp170.xml><?xml version="1.0" encoding="utf-8"?>
<formControlPr xmlns="http://schemas.microsoft.com/office/spreadsheetml/2009/9/main" objectType="Drop" dropLines="6" dropStyle="combo" dx="31" fmlaLink="Sheet1!$D$286" fmlaRange="Sheet1!$P$282:$P$299" noThreeD="1" sel="0" val="0"/>
</file>

<file path=xl/ctrlProps/ctrlProp171.xml><?xml version="1.0" encoding="utf-8"?>
<formControlPr xmlns="http://schemas.microsoft.com/office/spreadsheetml/2009/9/main" objectType="Drop" dropLines="6" dropStyle="combo" dx="31" fmlaLink="Sheet1!$E$286" fmlaRange="Sheet1!$P$282:$P$299" noThreeD="1" sel="0" val="0"/>
</file>

<file path=xl/ctrlProps/ctrlProp172.xml><?xml version="1.0" encoding="utf-8"?>
<formControlPr xmlns="http://schemas.microsoft.com/office/spreadsheetml/2009/9/main" objectType="Drop" dropLines="5" dropStyle="combo" dx="31" fmlaLink="Sheet1!$D$250" fmlaRange="Sheet1!$B$247:$B$251" noThreeD="1" sel="1" val="0"/>
</file>

<file path=xl/ctrlProps/ctrlProp173.xml><?xml version="1.0" encoding="utf-8"?>
<formControlPr xmlns="http://schemas.microsoft.com/office/spreadsheetml/2009/9/main" objectType="Drop" dropLines="6" dropStyle="combo" dx="31" fmlaLink="Sheet1!$K$339" fmlaRange="Sheet1!$B$335:$B$343" noThreeD="1" sel="0" val="0"/>
</file>

<file path=xl/ctrlProps/ctrlProp174.xml><?xml version="1.0" encoding="utf-8"?>
<formControlPr xmlns="http://schemas.microsoft.com/office/spreadsheetml/2009/9/main" objectType="Drop" dropLines="6" dropStyle="combo" dx="31" fmlaLink="Sheet1!$F$286" fmlaRange="Sheet1!$P$282:$P$299" noThreeD="1" sel="0" val="0"/>
</file>

<file path=xl/ctrlProps/ctrlProp175.xml><?xml version="1.0" encoding="utf-8"?>
<formControlPr xmlns="http://schemas.microsoft.com/office/spreadsheetml/2009/9/main" objectType="Drop" dropLines="6" dropStyle="combo" dx="31" fmlaLink="Sheet1!$G$286" fmlaRange="Sheet1!$P$282:$P$299" noThreeD="1" sel="0" val="0"/>
</file>

<file path=xl/ctrlProps/ctrlProp176.xml><?xml version="1.0" encoding="utf-8"?>
<formControlPr xmlns="http://schemas.microsoft.com/office/spreadsheetml/2009/9/main" objectType="Drop" dropLines="6" dropStyle="combo" dx="31" fmlaLink="Sheet1!$H$286" fmlaRange="Sheet1!$P$282:$P$299" noThreeD="1" sel="0" val="0"/>
</file>

<file path=xl/ctrlProps/ctrlProp177.xml><?xml version="1.0" encoding="utf-8"?>
<formControlPr xmlns="http://schemas.microsoft.com/office/spreadsheetml/2009/9/main" objectType="Drop" dropLines="6" dropStyle="combo" dx="31" fmlaLink="Sheet1!$I$286" fmlaRange="Sheet1!$P$282:$P$299" noThreeD="1" sel="0" val="0"/>
</file>

<file path=xl/ctrlProps/ctrlProp178.xml><?xml version="1.0" encoding="utf-8"?>
<formControlPr xmlns="http://schemas.microsoft.com/office/spreadsheetml/2009/9/main" objectType="Drop" dropLines="6" dropStyle="combo" dx="31" fmlaLink="Sheet1!$J$286" fmlaRange="Sheet1!$P$282:$P$299" noThreeD="1" sel="0" val="0"/>
</file>

<file path=xl/ctrlProps/ctrlProp179.xml><?xml version="1.0" encoding="utf-8"?>
<formControlPr xmlns="http://schemas.microsoft.com/office/spreadsheetml/2009/9/main" objectType="Drop" dropLines="6" dropStyle="combo" dx="31" fmlaLink="Sheet1!$K$286" fmlaRange="Sheet1!$P$282:$P$299" noThreeD="1" sel="0" val="0"/>
</file>

<file path=xl/ctrlProps/ctrlProp180.xml><?xml version="1.0" encoding="utf-8"?>
<formControlPr xmlns="http://schemas.microsoft.com/office/spreadsheetml/2009/9/main" objectType="Drop" dropLines="5" dropStyle="combo" dx="31" fmlaLink="Sheet1!$D$148" fmlaRange="Sheet1!$B$148:$B$187" noThreeD="1" sel="1" val="1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4</xdr:row>
          <xdr:rowOff>0</xdr:rowOff>
        </xdr:from>
        <xdr:to>
          <xdr:col>8</xdr:col>
          <xdr:colOff>464820</xdr:colOff>
          <xdr:row>5</xdr:row>
          <xdr:rowOff>45720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6</xdr:row>
          <xdr:rowOff>0</xdr:rowOff>
        </xdr:from>
        <xdr:to>
          <xdr:col>8</xdr:col>
          <xdr:colOff>464820</xdr:colOff>
          <xdr:row>7</xdr:row>
          <xdr:rowOff>45720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7</xdr:row>
          <xdr:rowOff>182880</xdr:rowOff>
        </xdr:from>
        <xdr:to>
          <xdr:col>6</xdr:col>
          <xdr:colOff>541020</xdr:colOff>
          <xdr:row>9</xdr:row>
          <xdr:rowOff>38100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9</xdr:row>
          <xdr:rowOff>182880</xdr:rowOff>
        </xdr:from>
        <xdr:to>
          <xdr:col>6</xdr:col>
          <xdr:colOff>541020</xdr:colOff>
          <xdr:row>11</xdr:row>
          <xdr:rowOff>38100</xdr:rowOff>
        </xdr:to>
        <xdr:sp macro="" textlink="">
          <xdr:nvSpPr>
            <xdr:cNvPr id="6150" name="Drop Down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11</xdr:row>
          <xdr:rowOff>182880</xdr:rowOff>
        </xdr:from>
        <xdr:to>
          <xdr:col>6</xdr:col>
          <xdr:colOff>541020</xdr:colOff>
          <xdr:row>13</xdr:row>
          <xdr:rowOff>38100</xdr:rowOff>
        </xdr:to>
        <xdr:sp macro="" textlink="">
          <xdr:nvSpPr>
            <xdr:cNvPr id="6152" name="Drop Down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16</xdr:row>
          <xdr:rowOff>144780</xdr:rowOff>
        </xdr:from>
        <xdr:to>
          <xdr:col>6</xdr:col>
          <xdr:colOff>541020</xdr:colOff>
          <xdr:row>18</xdr:row>
          <xdr:rowOff>7620</xdr:rowOff>
        </xdr:to>
        <xdr:sp macro="" textlink="">
          <xdr:nvSpPr>
            <xdr:cNvPr id="6158" name="Drop Down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19</xdr:row>
          <xdr:rowOff>144780</xdr:rowOff>
        </xdr:from>
        <xdr:to>
          <xdr:col>6</xdr:col>
          <xdr:colOff>541020</xdr:colOff>
          <xdr:row>21</xdr:row>
          <xdr:rowOff>7620</xdr:rowOff>
        </xdr:to>
        <xdr:sp macro="" textlink="">
          <xdr:nvSpPr>
            <xdr:cNvPr id="6159" name="Drop Down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28</xdr:row>
          <xdr:rowOff>160020</xdr:rowOff>
        </xdr:from>
        <xdr:to>
          <xdr:col>6</xdr:col>
          <xdr:colOff>541020</xdr:colOff>
          <xdr:row>30</xdr:row>
          <xdr:rowOff>30480</xdr:rowOff>
        </xdr:to>
        <xdr:sp macro="" textlink="">
          <xdr:nvSpPr>
            <xdr:cNvPr id="6160" name="Drop Down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37</xdr:row>
          <xdr:rowOff>152400</xdr:rowOff>
        </xdr:from>
        <xdr:to>
          <xdr:col>6</xdr:col>
          <xdr:colOff>541020</xdr:colOff>
          <xdr:row>39</xdr:row>
          <xdr:rowOff>7620</xdr:rowOff>
        </xdr:to>
        <xdr:sp macro="" textlink="">
          <xdr:nvSpPr>
            <xdr:cNvPr id="6161" name="Drop Down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46</xdr:row>
          <xdr:rowOff>152400</xdr:rowOff>
        </xdr:from>
        <xdr:to>
          <xdr:col>6</xdr:col>
          <xdr:colOff>541020</xdr:colOff>
          <xdr:row>48</xdr:row>
          <xdr:rowOff>7620</xdr:rowOff>
        </xdr:to>
        <xdr:sp macro="" textlink="">
          <xdr:nvSpPr>
            <xdr:cNvPr id="6162" name="Drop Down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13</xdr:row>
          <xdr:rowOff>182880</xdr:rowOff>
        </xdr:from>
        <xdr:to>
          <xdr:col>6</xdr:col>
          <xdr:colOff>541020</xdr:colOff>
          <xdr:row>15</xdr:row>
          <xdr:rowOff>38100</xdr:rowOff>
        </xdr:to>
        <xdr:sp macro="" textlink="">
          <xdr:nvSpPr>
            <xdr:cNvPr id="6163" name="Drop Down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160020</xdr:rowOff>
        </xdr:from>
        <xdr:to>
          <xdr:col>10</xdr:col>
          <xdr:colOff>495300</xdr:colOff>
          <xdr:row>25</xdr:row>
          <xdr:rowOff>22860</xdr:rowOff>
        </xdr:to>
        <xdr:sp macro="" textlink="">
          <xdr:nvSpPr>
            <xdr:cNvPr id="6164" name="Drop Down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25</xdr:row>
          <xdr:rowOff>175260</xdr:rowOff>
        </xdr:from>
        <xdr:to>
          <xdr:col>10</xdr:col>
          <xdr:colOff>487680</xdr:colOff>
          <xdr:row>27</xdr:row>
          <xdr:rowOff>30480</xdr:rowOff>
        </xdr:to>
        <xdr:sp macro="" textlink="">
          <xdr:nvSpPr>
            <xdr:cNvPr id="6165" name="Drop Down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32</xdr:row>
          <xdr:rowOff>175260</xdr:rowOff>
        </xdr:from>
        <xdr:to>
          <xdr:col>10</xdr:col>
          <xdr:colOff>464820</xdr:colOff>
          <xdr:row>34</xdr:row>
          <xdr:rowOff>30480</xdr:rowOff>
        </xdr:to>
        <xdr:sp macro="" textlink="">
          <xdr:nvSpPr>
            <xdr:cNvPr id="6166" name="Drop Down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41</xdr:row>
          <xdr:rowOff>160020</xdr:rowOff>
        </xdr:from>
        <xdr:to>
          <xdr:col>10</xdr:col>
          <xdr:colOff>457200</xdr:colOff>
          <xdr:row>43</xdr:row>
          <xdr:rowOff>22860</xdr:rowOff>
        </xdr:to>
        <xdr:sp macro="" textlink="">
          <xdr:nvSpPr>
            <xdr:cNvPr id="6167" name="Drop Down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601980</xdr:colOff>
          <xdr:row>50</xdr:row>
          <xdr:rowOff>160020</xdr:rowOff>
        </xdr:from>
        <xdr:to>
          <xdr:col>10</xdr:col>
          <xdr:colOff>449580</xdr:colOff>
          <xdr:row>52</xdr:row>
          <xdr:rowOff>22860</xdr:rowOff>
        </xdr:to>
        <xdr:sp macro="" textlink="">
          <xdr:nvSpPr>
            <xdr:cNvPr id="6168" name="Drop Down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175260</xdr:rowOff>
        </xdr:from>
        <xdr:to>
          <xdr:col>10</xdr:col>
          <xdr:colOff>457200</xdr:colOff>
          <xdr:row>36</xdr:row>
          <xdr:rowOff>30480</xdr:rowOff>
        </xdr:to>
        <xdr:sp macro="" textlink="">
          <xdr:nvSpPr>
            <xdr:cNvPr id="6169" name="Drop Down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601980</xdr:colOff>
          <xdr:row>43</xdr:row>
          <xdr:rowOff>160020</xdr:rowOff>
        </xdr:from>
        <xdr:to>
          <xdr:col>10</xdr:col>
          <xdr:colOff>449580</xdr:colOff>
          <xdr:row>45</xdr:row>
          <xdr:rowOff>30480</xdr:rowOff>
        </xdr:to>
        <xdr:sp macro="" textlink="">
          <xdr:nvSpPr>
            <xdr:cNvPr id="6170" name="Drop Down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601980</xdr:colOff>
          <xdr:row>52</xdr:row>
          <xdr:rowOff>160020</xdr:rowOff>
        </xdr:from>
        <xdr:to>
          <xdr:col>10</xdr:col>
          <xdr:colOff>449580</xdr:colOff>
          <xdr:row>54</xdr:row>
          <xdr:rowOff>30480</xdr:rowOff>
        </xdr:to>
        <xdr:sp macro="" textlink="">
          <xdr:nvSpPr>
            <xdr:cNvPr id="6171" name="Drop Down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14</xdr:row>
          <xdr:rowOff>7620</xdr:rowOff>
        </xdr:from>
        <xdr:to>
          <xdr:col>4</xdr:col>
          <xdr:colOff>30480</xdr:colOff>
          <xdr:row>15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152400</xdr:rowOff>
        </xdr:from>
        <xdr:to>
          <xdr:col>4</xdr:col>
          <xdr:colOff>7620</xdr:colOff>
          <xdr:row>13</xdr:row>
          <xdr:rowOff>7620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11</xdr:row>
          <xdr:rowOff>152400</xdr:rowOff>
        </xdr:from>
        <xdr:to>
          <xdr:col>5</xdr:col>
          <xdr:colOff>30480</xdr:colOff>
          <xdr:row>13</xdr:row>
          <xdr:rowOff>7620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152400</xdr:rowOff>
        </xdr:from>
        <xdr:to>
          <xdr:col>6</xdr:col>
          <xdr:colOff>30480</xdr:colOff>
          <xdr:row>13</xdr:row>
          <xdr:rowOff>7620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152400</xdr:rowOff>
        </xdr:from>
        <xdr:to>
          <xdr:col>7</xdr:col>
          <xdr:colOff>30480</xdr:colOff>
          <xdr:row>13</xdr:row>
          <xdr:rowOff>7620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11</xdr:row>
          <xdr:rowOff>152400</xdr:rowOff>
        </xdr:from>
        <xdr:to>
          <xdr:col>8</xdr:col>
          <xdr:colOff>30480</xdr:colOff>
          <xdr:row>13</xdr:row>
          <xdr:rowOff>7620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11</xdr:row>
          <xdr:rowOff>152400</xdr:rowOff>
        </xdr:from>
        <xdr:to>
          <xdr:col>9</xdr:col>
          <xdr:colOff>30480</xdr:colOff>
          <xdr:row>13</xdr:row>
          <xdr:rowOff>7620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11</xdr:row>
          <xdr:rowOff>152400</xdr:rowOff>
        </xdr:from>
        <xdr:to>
          <xdr:col>10</xdr:col>
          <xdr:colOff>30480</xdr:colOff>
          <xdr:row>13</xdr:row>
          <xdr:rowOff>7620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11</xdr:row>
          <xdr:rowOff>152400</xdr:rowOff>
        </xdr:from>
        <xdr:to>
          <xdr:col>11</xdr:col>
          <xdr:colOff>38100</xdr:colOff>
          <xdr:row>13</xdr:row>
          <xdr:rowOff>7620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14</xdr:row>
          <xdr:rowOff>7620</xdr:rowOff>
        </xdr:from>
        <xdr:to>
          <xdr:col>5</xdr:col>
          <xdr:colOff>30480</xdr:colOff>
          <xdr:row>15</xdr:row>
          <xdr:rowOff>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7620</xdr:rowOff>
        </xdr:from>
        <xdr:to>
          <xdr:col>6</xdr:col>
          <xdr:colOff>30480</xdr:colOff>
          <xdr:row>15</xdr:row>
          <xdr:rowOff>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14</xdr:row>
          <xdr:rowOff>7620</xdr:rowOff>
        </xdr:from>
        <xdr:to>
          <xdr:col>7</xdr:col>
          <xdr:colOff>38100</xdr:colOff>
          <xdr:row>15</xdr:row>
          <xdr:rowOff>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14</xdr:row>
          <xdr:rowOff>7620</xdr:rowOff>
        </xdr:from>
        <xdr:to>
          <xdr:col>8</xdr:col>
          <xdr:colOff>30480</xdr:colOff>
          <xdr:row>15</xdr:row>
          <xdr:rowOff>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14</xdr:row>
          <xdr:rowOff>7620</xdr:rowOff>
        </xdr:from>
        <xdr:to>
          <xdr:col>9</xdr:col>
          <xdr:colOff>30480</xdr:colOff>
          <xdr:row>15</xdr:row>
          <xdr:rowOff>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14</xdr:row>
          <xdr:rowOff>7620</xdr:rowOff>
        </xdr:from>
        <xdr:to>
          <xdr:col>10</xdr:col>
          <xdr:colOff>38100</xdr:colOff>
          <xdr:row>15</xdr:row>
          <xdr:rowOff>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14</xdr:row>
          <xdr:rowOff>7620</xdr:rowOff>
        </xdr:from>
        <xdr:to>
          <xdr:col>11</xdr:col>
          <xdr:colOff>38100</xdr:colOff>
          <xdr:row>15</xdr:row>
          <xdr:rowOff>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72</xdr:row>
          <xdr:rowOff>152400</xdr:rowOff>
        </xdr:from>
        <xdr:to>
          <xdr:col>4</xdr:col>
          <xdr:colOff>22860</xdr:colOff>
          <xdr:row>74</xdr:row>
          <xdr:rowOff>7620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72</xdr:row>
          <xdr:rowOff>152400</xdr:rowOff>
        </xdr:from>
        <xdr:to>
          <xdr:col>5</xdr:col>
          <xdr:colOff>30480</xdr:colOff>
          <xdr:row>74</xdr:row>
          <xdr:rowOff>7620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72</xdr:row>
          <xdr:rowOff>152400</xdr:rowOff>
        </xdr:from>
        <xdr:to>
          <xdr:col>6</xdr:col>
          <xdr:colOff>22860</xdr:colOff>
          <xdr:row>74</xdr:row>
          <xdr:rowOff>7620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72</xdr:row>
          <xdr:rowOff>152400</xdr:rowOff>
        </xdr:from>
        <xdr:to>
          <xdr:col>7</xdr:col>
          <xdr:colOff>22860</xdr:colOff>
          <xdr:row>74</xdr:row>
          <xdr:rowOff>7620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72</xdr:row>
          <xdr:rowOff>152400</xdr:rowOff>
        </xdr:from>
        <xdr:to>
          <xdr:col>8</xdr:col>
          <xdr:colOff>30480</xdr:colOff>
          <xdr:row>74</xdr:row>
          <xdr:rowOff>7620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72</xdr:row>
          <xdr:rowOff>152400</xdr:rowOff>
        </xdr:from>
        <xdr:to>
          <xdr:col>9</xdr:col>
          <xdr:colOff>30480</xdr:colOff>
          <xdr:row>74</xdr:row>
          <xdr:rowOff>7620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72</xdr:row>
          <xdr:rowOff>152400</xdr:rowOff>
        </xdr:from>
        <xdr:to>
          <xdr:col>10</xdr:col>
          <xdr:colOff>22860</xdr:colOff>
          <xdr:row>74</xdr:row>
          <xdr:rowOff>7620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72</xdr:row>
          <xdr:rowOff>152400</xdr:rowOff>
        </xdr:from>
        <xdr:to>
          <xdr:col>11</xdr:col>
          <xdr:colOff>30480</xdr:colOff>
          <xdr:row>74</xdr:row>
          <xdr:rowOff>7620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9</xdr:row>
          <xdr:rowOff>76200</xdr:rowOff>
        </xdr:from>
        <xdr:to>
          <xdr:col>4</xdr:col>
          <xdr:colOff>30480</xdr:colOff>
          <xdr:row>10</xdr:row>
          <xdr:rowOff>7620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105</xdr:row>
          <xdr:rowOff>22860</xdr:rowOff>
        </xdr:from>
        <xdr:to>
          <xdr:col>4</xdr:col>
          <xdr:colOff>38100</xdr:colOff>
          <xdr:row>106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102</xdr:row>
          <xdr:rowOff>152400</xdr:rowOff>
        </xdr:from>
        <xdr:to>
          <xdr:col>4</xdr:col>
          <xdr:colOff>30480</xdr:colOff>
          <xdr:row>104</xdr:row>
          <xdr:rowOff>22860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102</xdr:row>
          <xdr:rowOff>152400</xdr:rowOff>
        </xdr:from>
        <xdr:to>
          <xdr:col>5</xdr:col>
          <xdr:colOff>38100</xdr:colOff>
          <xdr:row>104</xdr:row>
          <xdr:rowOff>22860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102</xdr:row>
          <xdr:rowOff>152400</xdr:rowOff>
        </xdr:from>
        <xdr:to>
          <xdr:col>6</xdr:col>
          <xdr:colOff>45720</xdr:colOff>
          <xdr:row>104</xdr:row>
          <xdr:rowOff>22860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102</xdr:row>
          <xdr:rowOff>152400</xdr:rowOff>
        </xdr:from>
        <xdr:to>
          <xdr:col>7</xdr:col>
          <xdr:colOff>30480</xdr:colOff>
          <xdr:row>104</xdr:row>
          <xdr:rowOff>22860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3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102</xdr:row>
          <xdr:rowOff>152400</xdr:rowOff>
        </xdr:from>
        <xdr:to>
          <xdr:col>8</xdr:col>
          <xdr:colOff>38100</xdr:colOff>
          <xdr:row>104</xdr:row>
          <xdr:rowOff>22860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3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102</xdr:row>
          <xdr:rowOff>152400</xdr:rowOff>
        </xdr:from>
        <xdr:to>
          <xdr:col>9</xdr:col>
          <xdr:colOff>45720</xdr:colOff>
          <xdr:row>104</xdr:row>
          <xdr:rowOff>22860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3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102</xdr:row>
          <xdr:rowOff>152400</xdr:rowOff>
        </xdr:from>
        <xdr:to>
          <xdr:col>10</xdr:col>
          <xdr:colOff>38100</xdr:colOff>
          <xdr:row>104</xdr:row>
          <xdr:rowOff>22860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3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102</xdr:row>
          <xdr:rowOff>152400</xdr:rowOff>
        </xdr:from>
        <xdr:to>
          <xdr:col>11</xdr:col>
          <xdr:colOff>30480</xdr:colOff>
          <xdr:row>104</xdr:row>
          <xdr:rowOff>22860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3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105</xdr:row>
          <xdr:rowOff>22860</xdr:rowOff>
        </xdr:from>
        <xdr:to>
          <xdr:col>5</xdr:col>
          <xdr:colOff>30480</xdr:colOff>
          <xdr:row>106</xdr:row>
          <xdr:rowOff>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105</xdr:row>
          <xdr:rowOff>22860</xdr:rowOff>
        </xdr:from>
        <xdr:to>
          <xdr:col>6</xdr:col>
          <xdr:colOff>30480</xdr:colOff>
          <xdr:row>106</xdr:row>
          <xdr:rowOff>0</xdr:rowOff>
        </xdr:to>
        <xdr:sp macro="" textlink="">
          <xdr:nvSpPr>
            <xdr:cNvPr id="2059" name="Drop Dow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3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105</xdr:row>
          <xdr:rowOff>22860</xdr:rowOff>
        </xdr:from>
        <xdr:to>
          <xdr:col>7</xdr:col>
          <xdr:colOff>30480</xdr:colOff>
          <xdr:row>106</xdr:row>
          <xdr:rowOff>0</xdr:rowOff>
        </xdr:to>
        <xdr:sp macro="" textlink="">
          <xdr:nvSpPr>
            <xdr:cNvPr id="2060" name="Drop Dow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3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105</xdr:row>
          <xdr:rowOff>22860</xdr:rowOff>
        </xdr:from>
        <xdr:to>
          <xdr:col>8</xdr:col>
          <xdr:colOff>38100</xdr:colOff>
          <xdr:row>106</xdr:row>
          <xdr:rowOff>0</xdr:rowOff>
        </xdr:to>
        <xdr:sp macro="" textlink="">
          <xdr:nvSpPr>
            <xdr:cNvPr id="2061" name="Drop Down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3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105</xdr:row>
          <xdr:rowOff>22860</xdr:rowOff>
        </xdr:from>
        <xdr:to>
          <xdr:col>9</xdr:col>
          <xdr:colOff>45720</xdr:colOff>
          <xdr:row>106</xdr:row>
          <xdr:rowOff>0</xdr:rowOff>
        </xdr:to>
        <xdr:sp macro="" textlink="">
          <xdr:nvSpPr>
            <xdr:cNvPr id="2062" name="Drop Down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3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105</xdr:row>
          <xdr:rowOff>22860</xdr:rowOff>
        </xdr:from>
        <xdr:to>
          <xdr:col>10</xdr:col>
          <xdr:colOff>45720</xdr:colOff>
          <xdr:row>106</xdr:row>
          <xdr:rowOff>0</xdr:rowOff>
        </xdr:to>
        <xdr:sp macro="" textlink="">
          <xdr:nvSpPr>
            <xdr:cNvPr id="2063" name="Drop Dow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3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105</xdr:row>
          <xdr:rowOff>22860</xdr:rowOff>
        </xdr:from>
        <xdr:to>
          <xdr:col>11</xdr:col>
          <xdr:colOff>30480</xdr:colOff>
          <xdr:row>106</xdr:row>
          <xdr:rowOff>0</xdr:rowOff>
        </xdr:to>
        <xdr:sp macro="" textlink="">
          <xdr:nvSpPr>
            <xdr:cNvPr id="2064" name="Drop Down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3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163</xdr:row>
          <xdr:rowOff>152400</xdr:rowOff>
        </xdr:from>
        <xdr:to>
          <xdr:col>4</xdr:col>
          <xdr:colOff>38100</xdr:colOff>
          <xdr:row>165</xdr:row>
          <xdr:rowOff>0</xdr:rowOff>
        </xdr:to>
        <xdr:sp macro="" textlink="">
          <xdr:nvSpPr>
            <xdr:cNvPr id="2065" name="Drop Dow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3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163</xdr:row>
          <xdr:rowOff>152400</xdr:rowOff>
        </xdr:from>
        <xdr:to>
          <xdr:col>5</xdr:col>
          <xdr:colOff>22860</xdr:colOff>
          <xdr:row>165</xdr:row>
          <xdr:rowOff>0</xdr:rowOff>
        </xdr:to>
        <xdr:sp macro="" textlink="">
          <xdr:nvSpPr>
            <xdr:cNvPr id="2066" name="Drop Dow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3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163</xdr:row>
          <xdr:rowOff>152400</xdr:rowOff>
        </xdr:from>
        <xdr:to>
          <xdr:col>6</xdr:col>
          <xdr:colOff>38100</xdr:colOff>
          <xdr:row>165</xdr:row>
          <xdr:rowOff>0</xdr:rowOff>
        </xdr:to>
        <xdr:sp macro="" textlink="">
          <xdr:nvSpPr>
            <xdr:cNvPr id="2067" name="Drop Down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3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163</xdr:row>
          <xdr:rowOff>152400</xdr:rowOff>
        </xdr:from>
        <xdr:to>
          <xdr:col>7</xdr:col>
          <xdr:colOff>22860</xdr:colOff>
          <xdr:row>165</xdr:row>
          <xdr:rowOff>0</xdr:rowOff>
        </xdr:to>
        <xdr:sp macro="" textlink="">
          <xdr:nvSpPr>
            <xdr:cNvPr id="2068" name="Drop Down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3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163</xdr:row>
          <xdr:rowOff>152400</xdr:rowOff>
        </xdr:from>
        <xdr:to>
          <xdr:col>8</xdr:col>
          <xdr:colOff>30480</xdr:colOff>
          <xdr:row>165</xdr:row>
          <xdr:rowOff>0</xdr:rowOff>
        </xdr:to>
        <xdr:sp macro="" textlink="">
          <xdr:nvSpPr>
            <xdr:cNvPr id="2069" name="Drop Down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3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163</xdr:row>
          <xdr:rowOff>152400</xdr:rowOff>
        </xdr:from>
        <xdr:to>
          <xdr:col>9</xdr:col>
          <xdr:colOff>30480</xdr:colOff>
          <xdr:row>165</xdr:row>
          <xdr:rowOff>0</xdr:rowOff>
        </xdr:to>
        <xdr:sp macro="" textlink="">
          <xdr:nvSpPr>
            <xdr:cNvPr id="2070" name="Drop Down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3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163</xdr:row>
          <xdr:rowOff>152400</xdr:rowOff>
        </xdr:from>
        <xdr:to>
          <xdr:col>10</xdr:col>
          <xdr:colOff>30480</xdr:colOff>
          <xdr:row>165</xdr:row>
          <xdr:rowOff>0</xdr:rowOff>
        </xdr:to>
        <xdr:sp macro="" textlink="">
          <xdr:nvSpPr>
            <xdr:cNvPr id="2071" name="Drop Down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3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163</xdr:row>
          <xdr:rowOff>152400</xdr:rowOff>
        </xdr:from>
        <xdr:to>
          <xdr:col>11</xdr:col>
          <xdr:colOff>22860</xdr:colOff>
          <xdr:row>165</xdr:row>
          <xdr:rowOff>0</xdr:rowOff>
        </xdr:to>
        <xdr:sp macro="" textlink="">
          <xdr:nvSpPr>
            <xdr:cNvPr id="2072" name="Drop Down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3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152400</xdr:rowOff>
        </xdr:from>
        <xdr:to>
          <xdr:col>4</xdr:col>
          <xdr:colOff>30480</xdr:colOff>
          <xdr:row>12</xdr:row>
          <xdr:rowOff>182880</xdr:rowOff>
        </xdr:to>
        <xdr:sp macro="" textlink="">
          <xdr:nvSpPr>
            <xdr:cNvPr id="2073" name="Drop Down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3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11</xdr:row>
          <xdr:rowOff>152400</xdr:rowOff>
        </xdr:from>
        <xdr:to>
          <xdr:col>5</xdr:col>
          <xdr:colOff>38100</xdr:colOff>
          <xdr:row>12</xdr:row>
          <xdr:rowOff>182880</xdr:rowOff>
        </xdr:to>
        <xdr:sp macro="" textlink="">
          <xdr:nvSpPr>
            <xdr:cNvPr id="2074" name="Drop Down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3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11</xdr:row>
          <xdr:rowOff>152400</xdr:rowOff>
        </xdr:from>
        <xdr:to>
          <xdr:col>6</xdr:col>
          <xdr:colOff>30480</xdr:colOff>
          <xdr:row>12</xdr:row>
          <xdr:rowOff>182880</xdr:rowOff>
        </xdr:to>
        <xdr:sp macro="" textlink="">
          <xdr:nvSpPr>
            <xdr:cNvPr id="2075" name="Drop Down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3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11</xdr:row>
          <xdr:rowOff>152400</xdr:rowOff>
        </xdr:from>
        <xdr:to>
          <xdr:col>7</xdr:col>
          <xdr:colOff>30480</xdr:colOff>
          <xdr:row>12</xdr:row>
          <xdr:rowOff>182880</xdr:rowOff>
        </xdr:to>
        <xdr:sp macro="" textlink="">
          <xdr:nvSpPr>
            <xdr:cNvPr id="2076" name="Drop Down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3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11</xdr:row>
          <xdr:rowOff>152400</xdr:rowOff>
        </xdr:from>
        <xdr:to>
          <xdr:col>8</xdr:col>
          <xdr:colOff>30480</xdr:colOff>
          <xdr:row>12</xdr:row>
          <xdr:rowOff>182880</xdr:rowOff>
        </xdr:to>
        <xdr:sp macro="" textlink="">
          <xdr:nvSpPr>
            <xdr:cNvPr id="2077" name="Drop Down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3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11</xdr:row>
          <xdr:rowOff>152400</xdr:rowOff>
        </xdr:from>
        <xdr:to>
          <xdr:col>9</xdr:col>
          <xdr:colOff>30480</xdr:colOff>
          <xdr:row>12</xdr:row>
          <xdr:rowOff>182880</xdr:rowOff>
        </xdr:to>
        <xdr:sp macro="" textlink="">
          <xdr:nvSpPr>
            <xdr:cNvPr id="2078" name="Drop Down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3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11</xdr:row>
          <xdr:rowOff>152400</xdr:rowOff>
        </xdr:from>
        <xdr:to>
          <xdr:col>10</xdr:col>
          <xdr:colOff>38100</xdr:colOff>
          <xdr:row>12</xdr:row>
          <xdr:rowOff>182880</xdr:rowOff>
        </xdr:to>
        <xdr:sp macro="" textlink="">
          <xdr:nvSpPr>
            <xdr:cNvPr id="2079" name="Drop Down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3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11</xdr:row>
          <xdr:rowOff>152400</xdr:rowOff>
        </xdr:from>
        <xdr:to>
          <xdr:col>11</xdr:col>
          <xdr:colOff>22860</xdr:colOff>
          <xdr:row>12</xdr:row>
          <xdr:rowOff>182880</xdr:rowOff>
        </xdr:to>
        <xdr:sp macro="" textlink="">
          <xdr:nvSpPr>
            <xdr:cNvPr id="2080" name="Drop Down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3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170</xdr:row>
          <xdr:rowOff>144780</xdr:rowOff>
        </xdr:from>
        <xdr:to>
          <xdr:col>4</xdr:col>
          <xdr:colOff>45720</xdr:colOff>
          <xdr:row>172</xdr:row>
          <xdr:rowOff>7620</xdr:rowOff>
        </xdr:to>
        <xdr:sp macro="" textlink="">
          <xdr:nvSpPr>
            <xdr:cNvPr id="2081" name="Drop Down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3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9</xdr:row>
          <xdr:rowOff>68580</xdr:rowOff>
        </xdr:from>
        <xdr:to>
          <xdr:col>4</xdr:col>
          <xdr:colOff>22860</xdr:colOff>
          <xdr:row>10</xdr:row>
          <xdr:rowOff>0</xdr:rowOff>
        </xdr:to>
        <xdr:sp macro="" textlink="">
          <xdr:nvSpPr>
            <xdr:cNvPr id="2085" name="Drop Down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3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105</xdr:row>
          <xdr:rowOff>22860</xdr:rowOff>
        </xdr:from>
        <xdr:to>
          <xdr:col>4</xdr:col>
          <xdr:colOff>22860</xdr:colOff>
          <xdr:row>106</xdr:row>
          <xdr:rowOff>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102</xdr:row>
          <xdr:rowOff>152400</xdr:rowOff>
        </xdr:from>
        <xdr:to>
          <xdr:col>4</xdr:col>
          <xdr:colOff>22860</xdr:colOff>
          <xdr:row>104</xdr:row>
          <xdr:rowOff>22860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102</xdr:row>
          <xdr:rowOff>152400</xdr:rowOff>
        </xdr:from>
        <xdr:to>
          <xdr:col>5</xdr:col>
          <xdr:colOff>22860</xdr:colOff>
          <xdr:row>104</xdr:row>
          <xdr:rowOff>22860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102</xdr:row>
          <xdr:rowOff>152400</xdr:rowOff>
        </xdr:from>
        <xdr:to>
          <xdr:col>6</xdr:col>
          <xdr:colOff>22860</xdr:colOff>
          <xdr:row>104</xdr:row>
          <xdr:rowOff>22860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102</xdr:row>
          <xdr:rowOff>152400</xdr:rowOff>
        </xdr:from>
        <xdr:to>
          <xdr:col>7</xdr:col>
          <xdr:colOff>30480</xdr:colOff>
          <xdr:row>104</xdr:row>
          <xdr:rowOff>22860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102</xdr:row>
          <xdr:rowOff>152400</xdr:rowOff>
        </xdr:from>
        <xdr:to>
          <xdr:col>8</xdr:col>
          <xdr:colOff>22860</xdr:colOff>
          <xdr:row>104</xdr:row>
          <xdr:rowOff>22860</xdr:rowOff>
        </xdr:to>
        <xdr:sp macro="" textlink="">
          <xdr:nvSpPr>
            <xdr:cNvPr id="3079" name="Drop Dow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102</xdr:row>
          <xdr:rowOff>152400</xdr:rowOff>
        </xdr:from>
        <xdr:to>
          <xdr:col>9</xdr:col>
          <xdr:colOff>22860</xdr:colOff>
          <xdr:row>104</xdr:row>
          <xdr:rowOff>22860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102</xdr:row>
          <xdr:rowOff>152400</xdr:rowOff>
        </xdr:from>
        <xdr:to>
          <xdr:col>10</xdr:col>
          <xdr:colOff>22860</xdr:colOff>
          <xdr:row>104</xdr:row>
          <xdr:rowOff>22860</xdr:rowOff>
        </xdr:to>
        <xdr:sp macro="" textlink="">
          <xdr:nvSpPr>
            <xdr:cNvPr id="3081" name="Drop Dow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102</xdr:row>
          <xdr:rowOff>152400</xdr:rowOff>
        </xdr:from>
        <xdr:to>
          <xdr:col>11</xdr:col>
          <xdr:colOff>30480</xdr:colOff>
          <xdr:row>104</xdr:row>
          <xdr:rowOff>22860</xdr:rowOff>
        </xdr:to>
        <xdr:sp macro="" textlink="">
          <xdr:nvSpPr>
            <xdr:cNvPr id="3082" name="Drop Dow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105</xdr:row>
          <xdr:rowOff>22860</xdr:rowOff>
        </xdr:from>
        <xdr:to>
          <xdr:col>5</xdr:col>
          <xdr:colOff>22860</xdr:colOff>
          <xdr:row>106</xdr:row>
          <xdr:rowOff>0</xdr:rowOff>
        </xdr:to>
        <xdr:sp macro="" textlink="">
          <xdr:nvSpPr>
            <xdr:cNvPr id="3083" name="Drop Down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105</xdr:row>
          <xdr:rowOff>22860</xdr:rowOff>
        </xdr:from>
        <xdr:to>
          <xdr:col>6</xdr:col>
          <xdr:colOff>30480</xdr:colOff>
          <xdr:row>106</xdr:row>
          <xdr:rowOff>0</xdr:rowOff>
        </xdr:to>
        <xdr:sp macro="" textlink="">
          <xdr:nvSpPr>
            <xdr:cNvPr id="3084" name="Drop Down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105</xdr:row>
          <xdr:rowOff>22860</xdr:rowOff>
        </xdr:from>
        <xdr:to>
          <xdr:col>7</xdr:col>
          <xdr:colOff>30480</xdr:colOff>
          <xdr:row>106</xdr:row>
          <xdr:rowOff>0</xdr:rowOff>
        </xdr:to>
        <xdr:sp macro="" textlink="">
          <xdr:nvSpPr>
            <xdr:cNvPr id="3085" name="Drop Down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105</xdr:row>
          <xdr:rowOff>22860</xdr:rowOff>
        </xdr:from>
        <xdr:to>
          <xdr:col>8</xdr:col>
          <xdr:colOff>7620</xdr:colOff>
          <xdr:row>106</xdr:row>
          <xdr:rowOff>0</xdr:rowOff>
        </xdr:to>
        <xdr:sp macro="" textlink="">
          <xdr:nvSpPr>
            <xdr:cNvPr id="3086" name="Drop Down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105</xdr:row>
          <xdr:rowOff>22860</xdr:rowOff>
        </xdr:from>
        <xdr:to>
          <xdr:col>9</xdr:col>
          <xdr:colOff>22860</xdr:colOff>
          <xdr:row>106</xdr:row>
          <xdr:rowOff>0</xdr:rowOff>
        </xdr:to>
        <xdr:sp macro="" textlink="">
          <xdr:nvSpPr>
            <xdr:cNvPr id="3087" name="Drop Down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105</xdr:row>
          <xdr:rowOff>22860</xdr:rowOff>
        </xdr:from>
        <xdr:to>
          <xdr:col>10</xdr:col>
          <xdr:colOff>30480</xdr:colOff>
          <xdr:row>106</xdr:row>
          <xdr:rowOff>0</xdr:rowOff>
        </xdr:to>
        <xdr:sp macro="" textlink="">
          <xdr:nvSpPr>
            <xdr:cNvPr id="3088" name="Drop Down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105</xdr:row>
          <xdr:rowOff>22860</xdr:rowOff>
        </xdr:from>
        <xdr:to>
          <xdr:col>11</xdr:col>
          <xdr:colOff>38100</xdr:colOff>
          <xdr:row>106</xdr:row>
          <xdr:rowOff>0</xdr:rowOff>
        </xdr:to>
        <xdr:sp macro="" textlink="">
          <xdr:nvSpPr>
            <xdr:cNvPr id="3089" name="Drop Down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163</xdr:row>
          <xdr:rowOff>152400</xdr:rowOff>
        </xdr:from>
        <xdr:to>
          <xdr:col>4</xdr:col>
          <xdr:colOff>22860</xdr:colOff>
          <xdr:row>165</xdr:row>
          <xdr:rowOff>0</xdr:rowOff>
        </xdr:to>
        <xdr:sp macro="" textlink="">
          <xdr:nvSpPr>
            <xdr:cNvPr id="3090" name="Drop Down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163</xdr:row>
          <xdr:rowOff>152400</xdr:rowOff>
        </xdr:from>
        <xdr:to>
          <xdr:col>5</xdr:col>
          <xdr:colOff>22860</xdr:colOff>
          <xdr:row>165</xdr:row>
          <xdr:rowOff>0</xdr:rowOff>
        </xdr:to>
        <xdr:sp macro="" textlink="">
          <xdr:nvSpPr>
            <xdr:cNvPr id="3091" name="Drop Down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163</xdr:row>
          <xdr:rowOff>152400</xdr:rowOff>
        </xdr:from>
        <xdr:to>
          <xdr:col>6</xdr:col>
          <xdr:colOff>22860</xdr:colOff>
          <xdr:row>165</xdr:row>
          <xdr:rowOff>0</xdr:rowOff>
        </xdr:to>
        <xdr:sp macro="" textlink="">
          <xdr:nvSpPr>
            <xdr:cNvPr id="3092" name="Drop Down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163</xdr:row>
          <xdr:rowOff>152400</xdr:rowOff>
        </xdr:from>
        <xdr:to>
          <xdr:col>7</xdr:col>
          <xdr:colOff>30480</xdr:colOff>
          <xdr:row>165</xdr:row>
          <xdr:rowOff>0</xdr:rowOff>
        </xdr:to>
        <xdr:sp macro="" textlink="">
          <xdr:nvSpPr>
            <xdr:cNvPr id="3093" name="Drop Down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163</xdr:row>
          <xdr:rowOff>152400</xdr:rowOff>
        </xdr:from>
        <xdr:to>
          <xdr:col>8</xdr:col>
          <xdr:colOff>30480</xdr:colOff>
          <xdr:row>165</xdr:row>
          <xdr:rowOff>0</xdr:rowOff>
        </xdr:to>
        <xdr:sp macro="" textlink="">
          <xdr:nvSpPr>
            <xdr:cNvPr id="3094" name="Drop Down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163</xdr:row>
          <xdr:rowOff>152400</xdr:rowOff>
        </xdr:from>
        <xdr:to>
          <xdr:col>9</xdr:col>
          <xdr:colOff>30480</xdr:colOff>
          <xdr:row>165</xdr:row>
          <xdr:rowOff>0</xdr:rowOff>
        </xdr:to>
        <xdr:sp macro="" textlink="">
          <xdr:nvSpPr>
            <xdr:cNvPr id="3095" name="Drop Down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163</xdr:row>
          <xdr:rowOff>152400</xdr:rowOff>
        </xdr:from>
        <xdr:to>
          <xdr:col>10</xdr:col>
          <xdr:colOff>22860</xdr:colOff>
          <xdr:row>165</xdr:row>
          <xdr:rowOff>0</xdr:rowOff>
        </xdr:to>
        <xdr:sp macro="" textlink="">
          <xdr:nvSpPr>
            <xdr:cNvPr id="3096" name="Drop Down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163</xdr:row>
          <xdr:rowOff>152400</xdr:rowOff>
        </xdr:from>
        <xdr:to>
          <xdr:col>11</xdr:col>
          <xdr:colOff>22860</xdr:colOff>
          <xdr:row>165</xdr:row>
          <xdr:rowOff>0</xdr:rowOff>
        </xdr:to>
        <xdr:sp macro="" textlink="">
          <xdr:nvSpPr>
            <xdr:cNvPr id="3097" name="Drop Down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152400</xdr:rowOff>
        </xdr:from>
        <xdr:to>
          <xdr:col>4</xdr:col>
          <xdr:colOff>30480</xdr:colOff>
          <xdr:row>12</xdr:row>
          <xdr:rowOff>182880</xdr:rowOff>
        </xdr:to>
        <xdr:sp macro="" textlink="">
          <xdr:nvSpPr>
            <xdr:cNvPr id="3098" name="Drop Down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11</xdr:row>
          <xdr:rowOff>152400</xdr:rowOff>
        </xdr:from>
        <xdr:to>
          <xdr:col>5</xdr:col>
          <xdr:colOff>38100</xdr:colOff>
          <xdr:row>12</xdr:row>
          <xdr:rowOff>182880</xdr:rowOff>
        </xdr:to>
        <xdr:sp macro="" textlink="">
          <xdr:nvSpPr>
            <xdr:cNvPr id="3099" name="Drop Down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11</xdr:row>
          <xdr:rowOff>152400</xdr:rowOff>
        </xdr:from>
        <xdr:to>
          <xdr:col>6</xdr:col>
          <xdr:colOff>30480</xdr:colOff>
          <xdr:row>12</xdr:row>
          <xdr:rowOff>182880</xdr:rowOff>
        </xdr:to>
        <xdr:sp macro="" textlink="">
          <xdr:nvSpPr>
            <xdr:cNvPr id="3100" name="Drop Down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11</xdr:row>
          <xdr:rowOff>152400</xdr:rowOff>
        </xdr:from>
        <xdr:to>
          <xdr:col>7</xdr:col>
          <xdr:colOff>30480</xdr:colOff>
          <xdr:row>12</xdr:row>
          <xdr:rowOff>182880</xdr:rowOff>
        </xdr:to>
        <xdr:sp macro="" textlink="">
          <xdr:nvSpPr>
            <xdr:cNvPr id="3101" name="Drop Down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11</xdr:row>
          <xdr:rowOff>152400</xdr:rowOff>
        </xdr:from>
        <xdr:to>
          <xdr:col>8</xdr:col>
          <xdr:colOff>30480</xdr:colOff>
          <xdr:row>12</xdr:row>
          <xdr:rowOff>182880</xdr:rowOff>
        </xdr:to>
        <xdr:sp macro="" textlink="">
          <xdr:nvSpPr>
            <xdr:cNvPr id="3102" name="Drop Down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11</xdr:row>
          <xdr:rowOff>152400</xdr:rowOff>
        </xdr:from>
        <xdr:to>
          <xdr:col>9</xdr:col>
          <xdr:colOff>30480</xdr:colOff>
          <xdr:row>12</xdr:row>
          <xdr:rowOff>182880</xdr:rowOff>
        </xdr:to>
        <xdr:sp macro="" textlink="">
          <xdr:nvSpPr>
            <xdr:cNvPr id="3103" name="Drop Down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11</xdr:row>
          <xdr:rowOff>152400</xdr:rowOff>
        </xdr:from>
        <xdr:to>
          <xdr:col>10</xdr:col>
          <xdr:colOff>38100</xdr:colOff>
          <xdr:row>12</xdr:row>
          <xdr:rowOff>182880</xdr:rowOff>
        </xdr:to>
        <xdr:sp macro="" textlink="">
          <xdr:nvSpPr>
            <xdr:cNvPr id="3104" name="Drop Down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11</xdr:row>
          <xdr:rowOff>152400</xdr:rowOff>
        </xdr:from>
        <xdr:to>
          <xdr:col>11</xdr:col>
          <xdr:colOff>30480</xdr:colOff>
          <xdr:row>12</xdr:row>
          <xdr:rowOff>182880</xdr:rowOff>
        </xdr:to>
        <xdr:sp macro="" textlink="">
          <xdr:nvSpPr>
            <xdr:cNvPr id="3105" name="Drop Down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170</xdr:row>
          <xdr:rowOff>152400</xdr:rowOff>
        </xdr:from>
        <xdr:to>
          <xdr:col>4</xdr:col>
          <xdr:colOff>38100</xdr:colOff>
          <xdr:row>172</xdr:row>
          <xdr:rowOff>22860</xdr:rowOff>
        </xdr:to>
        <xdr:sp macro="" textlink="">
          <xdr:nvSpPr>
            <xdr:cNvPr id="3106" name="Drop Down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9</xdr:row>
          <xdr:rowOff>68580</xdr:rowOff>
        </xdr:from>
        <xdr:to>
          <xdr:col>4</xdr:col>
          <xdr:colOff>30480</xdr:colOff>
          <xdr:row>9</xdr:row>
          <xdr:rowOff>259080</xdr:rowOff>
        </xdr:to>
        <xdr:sp macro="" textlink="">
          <xdr:nvSpPr>
            <xdr:cNvPr id="3107" name="Drop Down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105</xdr:row>
          <xdr:rowOff>22860</xdr:rowOff>
        </xdr:from>
        <xdr:to>
          <xdr:col>4</xdr:col>
          <xdr:colOff>38100</xdr:colOff>
          <xdr:row>106</xdr:row>
          <xdr:rowOff>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5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102</xdr:row>
          <xdr:rowOff>152400</xdr:rowOff>
        </xdr:from>
        <xdr:to>
          <xdr:col>4</xdr:col>
          <xdr:colOff>30480</xdr:colOff>
          <xdr:row>104</xdr:row>
          <xdr:rowOff>22860</xdr:rowOff>
        </xdr:to>
        <xdr:sp macro="" textlink="">
          <xdr:nvSpPr>
            <xdr:cNvPr id="4099" name="Drop Down 25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5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102</xdr:row>
          <xdr:rowOff>152400</xdr:rowOff>
        </xdr:from>
        <xdr:to>
          <xdr:col>5</xdr:col>
          <xdr:colOff>38100</xdr:colOff>
          <xdr:row>104</xdr:row>
          <xdr:rowOff>22860</xdr:rowOff>
        </xdr:to>
        <xdr:sp macro="" textlink="">
          <xdr:nvSpPr>
            <xdr:cNvPr id="4100" name="Drop Down 28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5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102</xdr:row>
          <xdr:rowOff>152400</xdr:rowOff>
        </xdr:from>
        <xdr:to>
          <xdr:col>6</xdr:col>
          <xdr:colOff>45720</xdr:colOff>
          <xdr:row>104</xdr:row>
          <xdr:rowOff>22860</xdr:rowOff>
        </xdr:to>
        <xdr:sp macro="" textlink="">
          <xdr:nvSpPr>
            <xdr:cNvPr id="4101" name="Drop Down 29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5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102</xdr:row>
          <xdr:rowOff>152400</xdr:rowOff>
        </xdr:from>
        <xdr:to>
          <xdr:col>7</xdr:col>
          <xdr:colOff>30480</xdr:colOff>
          <xdr:row>104</xdr:row>
          <xdr:rowOff>22860</xdr:rowOff>
        </xdr:to>
        <xdr:sp macro="" textlink="">
          <xdr:nvSpPr>
            <xdr:cNvPr id="4102" name="Drop Down 30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5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102</xdr:row>
          <xdr:rowOff>152400</xdr:rowOff>
        </xdr:from>
        <xdr:to>
          <xdr:col>8</xdr:col>
          <xdr:colOff>38100</xdr:colOff>
          <xdr:row>104</xdr:row>
          <xdr:rowOff>22860</xdr:rowOff>
        </xdr:to>
        <xdr:sp macro="" textlink="">
          <xdr:nvSpPr>
            <xdr:cNvPr id="4103" name="Drop Down 31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5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102</xdr:row>
          <xdr:rowOff>152400</xdr:rowOff>
        </xdr:from>
        <xdr:to>
          <xdr:col>9</xdr:col>
          <xdr:colOff>45720</xdr:colOff>
          <xdr:row>104</xdr:row>
          <xdr:rowOff>22860</xdr:rowOff>
        </xdr:to>
        <xdr:sp macro="" textlink="">
          <xdr:nvSpPr>
            <xdr:cNvPr id="4104" name="Drop Down 32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5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102</xdr:row>
          <xdr:rowOff>152400</xdr:rowOff>
        </xdr:from>
        <xdr:to>
          <xdr:col>10</xdr:col>
          <xdr:colOff>38100</xdr:colOff>
          <xdr:row>104</xdr:row>
          <xdr:rowOff>22860</xdr:rowOff>
        </xdr:to>
        <xdr:sp macro="" textlink="">
          <xdr:nvSpPr>
            <xdr:cNvPr id="4105" name="Drop Down 33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5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102</xdr:row>
          <xdr:rowOff>152400</xdr:rowOff>
        </xdr:from>
        <xdr:to>
          <xdr:col>11</xdr:col>
          <xdr:colOff>30480</xdr:colOff>
          <xdr:row>104</xdr:row>
          <xdr:rowOff>22860</xdr:rowOff>
        </xdr:to>
        <xdr:sp macro="" textlink="">
          <xdr:nvSpPr>
            <xdr:cNvPr id="4106" name="Drop Down 35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5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105</xdr:row>
          <xdr:rowOff>22860</xdr:rowOff>
        </xdr:from>
        <xdr:to>
          <xdr:col>5</xdr:col>
          <xdr:colOff>30480</xdr:colOff>
          <xdr:row>106</xdr:row>
          <xdr:rowOff>0</xdr:rowOff>
        </xdr:to>
        <xdr:sp macro="" textlink="">
          <xdr:nvSpPr>
            <xdr:cNvPr id="4107" name="Drop Down 37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5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105</xdr:row>
          <xdr:rowOff>22860</xdr:rowOff>
        </xdr:from>
        <xdr:to>
          <xdr:col>6</xdr:col>
          <xdr:colOff>30480</xdr:colOff>
          <xdr:row>106</xdr:row>
          <xdr:rowOff>0</xdr:rowOff>
        </xdr:to>
        <xdr:sp macro="" textlink="">
          <xdr:nvSpPr>
            <xdr:cNvPr id="4108" name="Drop Down 38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5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105</xdr:row>
          <xdr:rowOff>22860</xdr:rowOff>
        </xdr:from>
        <xdr:to>
          <xdr:col>7</xdr:col>
          <xdr:colOff>30480</xdr:colOff>
          <xdr:row>106</xdr:row>
          <xdr:rowOff>0</xdr:rowOff>
        </xdr:to>
        <xdr:sp macro="" textlink="">
          <xdr:nvSpPr>
            <xdr:cNvPr id="4109" name="Drop Down 39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5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105</xdr:row>
          <xdr:rowOff>22860</xdr:rowOff>
        </xdr:from>
        <xdr:to>
          <xdr:col>8</xdr:col>
          <xdr:colOff>38100</xdr:colOff>
          <xdr:row>106</xdr:row>
          <xdr:rowOff>0</xdr:rowOff>
        </xdr:to>
        <xdr:sp macro="" textlink="">
          <xdr:nvSpPr>
            <xdr:cNvPr id="4110" name="Drop Down 40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5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105</xdr:row>
          <xdr:rowOff>22860</xdr:rowOff>
        </xdr:from>
        <xdr:to>
          <xdr:col>9</xdr:col>
          <xdr:colOff>45720</xdr:colOff>
          <xdr:row>106</xdr:row>
          <xdr:rowOff>0</xdr:rowOff>
        </xdr:to>
        <xdr:sp macro="" textlink="">
          <xdr:nvSpPr>
            <xdr:cNvPr id="4111" name="Drop Down 41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5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105</xdr:row>
          <xdr:rowOff>22860</xdr:rowOff>
        </xdr:from>
        <xdr:to>
          <xdr:col>10</xdr:col>
          <xdr:colOff>45720</xdr:colOff>
          <xdr:row>106</xdr:row>
          <xdr:rowOff>0</xdr:rowOff>
        </xdr:to>
        <xdr:sp macro="" textlink="">
          <xdr:nvSpPr>
            <xdr:cNvPr id="4112" name="Drop Down 42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5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105</xdr:row>
          <xdr:rowOff>22860</xdr:rowOff>
        </xdr:from>
        <xdr:to>
          <xdr:col>11</xdr:col>
          <xdr:colOff>30480</xdr:colOff>
          <xdr:row>106</xdr:row>
          <xdr:rowOff>0</xdr:rowOff>
        </xdr:to>
        <xdr:sp macro="" textlink="">
          <xdr:nvSpPr>
            <xdr:cNvPr id="4113" name="Drop Down 44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5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163</xdr:row>
          <xdr:rowOff>152400</xdr:rowOff>
        </xdr:from>
        <xdr:to>
          <xdr:col>4</xdr:col>
          <xdr:colOff>38100</xdr:colOff>
          <xdr:row>165</xdr:row>
          <xdr:rowOff>0</xdr:rowOff>
        </xdr:to>
        <xdr:sp macro="" textlink="">
          <xdr:nvSpPr>
            <xdr:cNvPr id="4114" name="Drop Down 46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5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163</xdr:row>
          <xdr:rowOff>152400</xdr:rowOff>
        </xdr:from>
        <xdr:to>
          <xdr:col>5</xdr:col>
          <xdr:colOff>22860</xdr:colOff>
          <xdr:row>165</xdr:row>
          <xdr:rowOff>0</xdr:rowOff>
        </xdr:to>
        <xdr:sp macro="" textlink="">
          <xdr:nvSpPr>
            <xdr:cNvPr id="4115" name="Drop Down 47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5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163</xdr:row>
          <xdr:rowOff>152400</xdr:rowOff>
        </xdr:from>
        <xdr:to>
          <xdr:col>6</xdr:col>
          <xdr:colOff>38100</xdr:colOff>
          <xdr:row>165</xdr:row>
          <xdr:rowOff>0</xdr:rowOff>
        </xdr:to>
        <xdr:sp macro="" textlink="">
          <xdr:nvSpPr>
            <xdr:cNvPr id="4116" name="Drop Down 48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5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163</xdr:row>
          <xdr:rowOff>152400</xdr:rowOff>
        </xdr:from>
        <xdr:to>
          <xdr:col>7</xdr:col>
          <xdr:colOff>22860</xdr:colOff>
          <xdr:row>165</xdr:row>
          <xdr:rowOff>0</xdr:rowOff>
        </xdr:to>
        <xdr:sp macro="" textlink="">
          <xdr:nvSpPr>
            <xdr:cNvPr id="4117" name="Drop Down 49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5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163</xdr:row>
          <xdr:rowOff>152400</xdr:rowOff>
        </xdr:from>
        <xdr:to>
          <xdr:col>8</xdr:col>
          <xdr:colOff>30480</xdr:colOff>
          <xdr:row>165</xdr:row>
          <xdr:rowOff>0</xdr:rowOff>
        </xdr:to>
        <xdr:sp macro="" textlink="">
          <xdr:nvSpPr>
            <xdr:cNvPr id="4118" name="Drop Down 50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5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163</xdr:row>
          <xdr:rowOff>152400</xdr:rowOff>
        </xdr:from>
        <xdr:to>
          <xdr:col>9</xdr:col>
          <xdr:colOff>30480</xdr:colOff>
          <xdr:row>165</xdr:row>
          <xdr:rowOff>0</xdr:rowOff>
        </xdr:to>
        <xdr:sp macro="" textlink="">
          <xdr:nvSpPr>
            <xdr:cNvPr id="4119" name="Drop Down 51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5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163</xdr:row>
          <xdr:rowOff>152400</xdr:rowOff>
        </xdr:from>
        <xdr:to>
          <xdr:col>10</xdr:col>
          <xdr:colOff>30480</xdr:colOff>
          <xdr:row>165</xdr:row>
          <xdr:rowOff>0</xdr:rowOff>
        </xdr:to>
        <xdr:sp macro="" textlink="">
          <xdr:nvSpPr>
            <xdr:cNvPr id="4120" name="Drop Down 52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5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152400</xdr:rowOff>
        </xdr:from>
        <xdr:to>
          <xdr:col>4</xdr:col>
          <xdr:colOff>30480</xdr:colOff>
          <xdr:row>12</xdr:row>
          <xdr:rowOff>182880</xdr:rowOff>
        </xdr:to>
        <xdr:sp macro="" textlink="">
          <xdr:nvSpPr>
            <xdr:cNvPr id="4121" name="Drop Down 5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5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11</xdr:row>
          <xdr:rowOff>152400</xdr:rowOff>
        </xdr:from>
        <xdr:to>
          <xdr:col>5</xdr:col>
          <xdr:colOff>38100</xdr:colOff>
          <xdr:row>12</xdr:row>
          <xdr:rowOff>182880</xdr:rowOff>
        </xdr:to>
        <xdr:sp macro="" textlink="">
          <xdr:nvSpPr>
            <xdr:cNvPr id="4122" name="Drop Down 5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5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170</xdr:row>
          <xdr:rowOff>144780</xdr:rowOff>
        </xdr:from>
        <xdr:to>
          <xdr:col>4</xdr:col>
          <xdr:colOff>45720</xdr:colOff>
          <xdr:row>172</xdr:row>
          <xdr:rowOff>7620</xdr:rowOff>
        </xdr:to>
        <xdr:sp macro="" textlink="">
          <xdr:nvSpPr>
            <xdr:cNvPr id="4123" name="Drop Down 83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5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163</xdr:row>
          <xdr:rowOff>152400</xdr:rowOff>
        </xdr:from>
        <xdr:to>
          <xdr:col>11</xdr:col>
          <xdr:colOff>22860</xdr:colOff>
          <xdr:row>165</xdr:row>
          <xdr:rowOff>0</xdr:rowOff>
        </xdr:to>
        <xdr:sp macro="" textlink="">
          <xdr:nvSpPr>
            <xdr:cNvPr id="4126" name="Drop Down 54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5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11</xdr:row>
          <xdr:rowOff>152400</xdr:rowOff>
        </xdr:from>
        <xdr:to>
          <xdr:col>6</xdr:col>
          <xdr:colOff>45720</xdr:colOff>
          <xdr:row>12</xdr:row>
          <xdr:rowOff>182880</xdr:rowOff>
        </xdr:to>
        <xdr:sp macro="" textlink="">
          <xdr:nvSpPr>
            <xdr:cNvPr id="4127" name="Drop Down 57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5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152400</xdr:rowOff>
        </xdr:from>
        <xdr:to>
          <xdr:col>7</xdr:col>
          <xdr:colOff>38100</xdr:colOff>
          <xdr:row>12</xdr:row>
          <xdr:rowOff>182880</xdr:rowOff>
        </xdr:to>
        <xdr:sp macro="" textlink="">
          <xdr:nvSpPr>
            <xdr:cNvPr id="4128" name="Drop Down 58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5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11</xdr:row>
          <xdr:rowOff>152400</xdr:rowOff>
        </xdr:from>
        <xdr:to>
          <xdr:col>8</xdr:col>
          <xdr:colOff>22860</xdr:colOff>
          <xdr:row>12</xdr:row>
          <xdr:rowOff>182880</xdr:rowOff>
        </xdr:to>
        <xdr:sp macro="" textlink="">
          <xdr:nvSpPr>
            <xdr:cNvPr id="4129" name="Drop Down 59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5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11</xdr:row>
          <xdr:rowOff>152400</xdr:rowOff>
        </xdr:from>
        <xdr:to>
          <xdr:col>9</xdr:col>
          <xdr:colOff>7620</xdr:colOff>
          <xdr:row>12</xdr:row>
          <xdr:rowOff>182880</xdr:rowOff>
        </xdr:to>
        <xdr:sp macro="" textlink="">
          <xdr:nvSpPr>
            <xdr:cNvPr id="4130" name="Drop Down 60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5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152400</xdr:rowOff>
        </xdr:from>
        <xdr:to>
          <xdr:col>10</xdr:col>
          <xdr:colOff>22860</xdr:colOff>
          <xdr:row>12</xdr:row>
          <xdr:rowOff>182880</xdr:rowOff>
        </xdr:to>
        <xdr:sp macro="" textlink="">
          <xdr:nvSpPr>
            <xdr:cNvPr id="4131" name="Drop Down 61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5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11</xdr:row>
          <xdr:rowOff>152400</xdr:rowOff>
        </xdr:from>
        <xdr:to>
          <xdr:col>11</xdr:col>
          <xdr:colOff>22860</xdr:colOff>
          <xdr:row>12</xdr:row>
          <xdr:rowOff>182880</xdr:rowOff>
        </xdr:to>
        <xdr:sp macro="" textlink="">
          <xdr:nvSpPr>
            <xdr:cNvPr id="4132" name="Drop Down 64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5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9</xdr:row>
          <xdr:rowOff>68580</xdr:rowOff>
        </xdr:from>
        <xdr:to>
          <xdr:col>4</xdr:col>
          <xdr:colOff>22860</xdr:colOff>
          <xdr:row>9</xdr:row>
          <xdr:rowOff>259080</xdr:rowOff>
        </xdr:to>
        <xdr:sp macro="" textlink="">
          <xdr:nvSpPr>
            <xdr:cNvPr id="4133" name="Drop Down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5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105</xdr:row>
          <xdr:rowOff>22860</xdr:rowOff>
        </xdr:from>
        <xdr:to>
          <xdr:col>4</xdr:col>
          <xdr:colOff>38100</xdr:colOff>
          <xdr:row>106</xdr:row>
          <xdr:rowOff>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6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102</xdr:row>
          <xdr:rowOff>152400</xdr:rowOff>
        </xdr:from>
        <xdr:to>
          <xdr:col>4</xdr:col>
          <xdr:colOff>30480</xdr:colOff>
          <xdr:row>104</xdr:row>
          <xdr:rowOff>22860</xdr:rowOff>
        </xdr:to>
        <xdr:sp macro="" textlink="">
          <xdr:nvSpPr>
            <xdr:cNvPr id="5123" name="Drop Down 25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6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102</xdr:row>
          <xdr:rowOff>152400</xdr:rowOff>
        </xdr:from>
        <xdr:to>
          <xdr:col>5</xdr:col>
          <xdr:colOff>38100</xdr:colOff>
          <xdr:row>104</xdr:row>
          <xdr:rowOff>22860</xdr:rowOff>
        </xdr:to>
        <xdr:sp macro="" textlink="">
          <xdr:nvSpPr>
            <xdr:cNvPr id="5124" name="Drop Down 28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6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102</xdr:row>
          <xdr:rowOff>152400</xdr:rowOff>
        </xdr:from>
        <xdr:to>
          <xdr:col>6</xdr:col>
          <xdr:colOff>45720</xdr:colOff>
          <xdr:row>104</xdr:row>
          <xdr:rowOff>22860</xdr:rowOff>
        </xdr:to>
        <xdr:sp macro="" textlink="">
          <xdr:nvSpPr>
            <xdr:cNvPr id="5125" name="Drop Down 29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6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102</xdr:row>
          <xdr:rowOff>152400</xdr:rowOff>
        </xdr:from>
        <xdr:to>
          <xdr:col>7</xdr:col>
          <xdr:colOff>30480</xdr:colOff>
          <xdr:row>104</xdr:row>
          <xdr:rowOff>22860</xdr:rowOff>
        </xdr:to>
        <xdr:sp macro="" textlink="">
          <xdr:nvSpPr>
            <xdr:cNvPr id="5126" name="Drop Down 30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6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102</xdr:row>
          <xdr:rowOff>152400</xdr:rowOff>
        </xdr:from>
        <xdr:to>
          <xdr:col>8</xdr:col>
          <xdr:colOff>38100</xdr:colOff>
          <xdr:row>104</xdr:row>
          <xdr:rowOff>22860</xdr:rowOff>
        </xdr:to>
        <xdr:sp macro="" textlink="">
          <xdr:nvSpPr>
            <xdr:cNvPr id="5127" name="Drop Down 31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6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102</xdr:row>
          <xdr:rowOff>152400</xdr:rowOff>
        </xdr:from>
        <xdr:to>
          <xdr:col>9</xdr:col>
          <xdr:colOff>45720</xdr:colOff>
          <xdr:row>104</xdr:row>
          <xdr:rowOff>22860</xdr:rowOff>
        </xdr:to>
        <xdr:sp macro="" textlink="">
          <xdr:nvSpPr>
            <xdr:cNvPr id="5128" name="Drop Down 32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6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102</xdr:row>
          <xdr:rowOff>152400</xdr:rowOff>
        </xdr:from>
        <xdr:to>
          <xdr:col>10</xdr:col>
          <xdr:colOff>38100</xdr:colOff>
          <xdr:row>104</xdr:row>
          <xdr:rowOff>22860</xdr:rowOff>
        </xdr:to>
        <xdr:sp macro="" textlink="">
          <xdr:nvSpPr>
            <xdr:cNvPr id="5129" name="Drop Down 33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6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102</xdr:row>
          <xdr:rowOff>152400</xdr:rowOff>
        </xdr:from>
        <xdr:to>
          <xdr:col>11</xdr:col>
          <xdr:colOff>30480</xdr:colOff>
          <xdr:row>104</xdr:row>
          <xdr:rowOff>22860</xdr:rowOff>
        </xdr:to>
        <xdr:sp macro="" textlink="">
          <xdr:nvSpPr>
            <xdr:cNvPr id="5130" name="Drop Down 35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6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105</xdr:row>
          <xdr:rowOff>22860</xdr:rowOff>
        </xdr:from>
        <xdr:to>
          <xdr:col>5</xdr:col>
          <xdr:colOff>30480</xdr:colOff>
          <xdr:row>106</xdr:row>
          <xdr:rowOff>0</xdr:rowOff>
        </xdr:to>
        <xdr:sp macro="" textlink="">
          <xdr:nvSpPr>
            <xdr:cNvPr id="5131" name="Drop Down 37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6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105</xdr:row>
          <xdr:rowOff>22860</xdr:rowOff>
        </xdr:from>
        <xdr:to>
          <xdr:col>6</xdr:col>
          <xdr:colOff>30480</xdr:colOff>
          <xdr:row>106</xdr:row>
          <xdr:rowOff>0</xdr:rowOff>
        </xdr:to>
        <xdr:sp macro="" textlink="">
          <xdr:nvSpPr>
            <xdr:cNvPr id="5132" name="Drop Down 38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6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105</xdr:row>
          <xdr:rowOff>22860</xdr:rowOff>
        </xdr:from>
        <xdr:to>
          <xdr:col>7</xdr:col>
          <xdr:colOff>30480</xdr:colOff>
          <xdr:row>106</xdr:row>
          <xdr:rowOff>0</xdr:rowOff>
        </xdr:to>
        <xdr:sp macro="" textlink="">
          <xdr:nvSpPr>
            <xdr:cNvPr id="5133" name="Drop Down 39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6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105</xdr:row>
          <xdr:rowOff>22860</xdr:rowOff>
        </xdr:from>
        <xdr:to>
          <xdr:col>8</xdr:col>
          <xdr:colOff>38100</xdr:colOff>
          <xdr:row>106</xdr:row>
          <xdr:rowOff>0</xdr:rowOff>
        </xdr:to>
        <xdr:sp macro="" textlink="">
          <xdr:nvSpPr>
            <xdr:cNvPr id="5134" name="Drop Down 40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6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105</xdr:row>
          <xdr:rowOff>22860</xdr:rowOff>
        </xdr:from>
        <xdr:to>
          <xdr:col>9</xdr:col>
          <xdr:colOff>45720</xdr:colOff>
          <xdr:row>106</xdr:row>
          <xdr:rowOff>0</xdr:rowOff>
        </xdr:to>
        <xdr:sp macro="" textlink="">
          <xdr:nvSpPr>
            <xdr:cNvPr id="5135" name="Drop Down 41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6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105</xdr:row>
          <xdr:rowOff>22860</xdr:rowOff>
        </xdr:from>
        <xdr:to>
          <xdr:col>10</xdr:col>
          <xdr:colOff>45720</xdr:colOff>
          <xdr:row>106</xdr:row>
          <xdr:rowOff>0</xdr:rowOff>
        </xdr:to>
        <xdr:sp macro="" textlink="">
          <xdr:nvSpPr>
            <xdr:cNvPr id="5136" name="Drop Down 42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6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105</xdr:row>
          <xdr:rowOff>22860</xdr:rowOff>
        </xdr:from>
        <xdr:to>
          <xdr:col>11</xdr:col>
          <xdr:colOff>30480</xdr:colOff>
          <xdr:row>106</xdr:row>
          <xdr:rowOff>0</xdr:rowOff>
        </xdr:to>
        <xdr:sp macro="" textlink="">
          <xdr:nvSpPr>
            <xdr:cNvPr id="5137" name="Drop Down 44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6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163</xdr:row>
          <xdr:rowOff>152400</xdr:rowOff>
        </xdr:from>
        <xdr:to>
          <xdr:col>4</xdr:col>
          <xdr:colOff>38100</xdr:colOff>
          <xdr:row>165</xdr:row>
          <xdr:rowOff>0</xdr:rowOff>
        </xdr:to>
        <xdr:sp macro="" textlink="">
          <xdr:nvSpPr>
            <xdr:cNvPr id="5138" name="Drop Down 46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6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163</xdr:row>
          <xdr:rowOff>152400</xdr:rowOff>
        </xdr:from>
        <xdr:to>
          <xdr:col>5</xdr:col>
          <xdr:colOff>22860</xdr:colOff>
          <xdr:row>165</xdr:row>
          <xdr:rowOff>0</xdr:rowOff>
        </xdr:to>
        <xdr:sp macro="" textlink="">
          <xdr:nvSpPr>
            <xdr:cNvPr id="5139" name="Drop Down 47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6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163</xdr:row>
          <xdr:rowOff>152400</xdr:rowOff>
        </xdr:from>
        <xdr:to>
          <xdr:col>6</xdr:col>
          <xdr:colOff>38100</xdr:colOff>
          <xdr:row>165</xdr:row>
          <xdr:rowOff>0</xdr:rowOff>
        </xdr:to>
        <xdr:sp macro="" textlink="">
          <xdr:nvSpPr>
            <xdr:cNvPr id="5140" name="Drop Down 48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6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163</xdr:row>
          <xdr:rowOff>152400</xdr:rowOff>
        </xdr:from>
        <xdr:to>
          <xdr:col>7</xdr:col>
          <xdr:colOff>22860</xdr:colOff>
          <xdr:row>165</xdr:row>
          <xdr:rowOff>0</xdr:rowOff>
        </xdr:to>
        <xdr:sp macro="" textlink="">
          <xdr:nvSpPr>
            <xdr:cNvPr id="5141" name="Drop Down 49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6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163</xdr:row>
          <xdr:rowOff>152400</xdr:rowOff>
        </xdr:from>
        <xdr:to>
          <xdr:col>8</xdr:col>
          <xdr:colOff>30480</xdr:colOff>
          <xdr:row>165</xdr:row>
          <xdr:rowOff>0</xdr:rowOff>
        </xdr:to>
        <xdr:sp macro="" textlink="">
          <xdr:nvSpPr>
            <xdr:cNvPr id="5142" name="Drop Down 50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6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163</xdr:row>
          <xdr:rowOff>152400</xdr:rowOff>
        </xdr:from>
        <xdr:to>
          <xdr:col>9</xdr:col>
          <xdr:colOff>30480</xdr:colOff>
          <xdr:row>165</xdr:row>
          <xdr:rowOff>0</xdr:rowOff>
        </xdr:to>
        <xdr:sp macro="" textlink="">
          <xdr:nvSpPr>
            <xdr:cNvPr id="5143" name="Drop Down 51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6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163</xdr:row>
          <xdr:rowOff>152400</xdr:rowOff>
        </xdr:from>
        <xdr:to>
          <xdr:col>10</xdr:col>
          <xdr:colOff>30480</xdr:colOff>
          <xdr:row>165</xdr:row>
          <xdr:rowOff>0</xdr:rowOff>
        </xdr:to>
        <xdr:sp macro="" textlink="">
          <xdr:nvSpPr>
            <xdr:cNvPr id="5144" name="Drop Down 52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6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152400</xdr:rowOff>
        </xdr:from>
        <xdr:to>
          <xdr:col>4</xdr:col>
          <xdr:colOff>30480</xdr:colOff>
          <xdr:row>12</xdr:row>
          <xdr:rowOff>182880</xdr:rowOff>
        </xdr:to>
        <xdr:sp macro="" textlink="">
          <xdr:nvSpPr>
            <xdr:cNvPr id="5145" name="Drop Down 5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6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11</xdr:row>
          <xdr:rowOff>152400</xdr:rowOff>
        </xdr:from>
        <xdr:to>
          <xdr:col>5</xdr:col>
          <xdr:colOff>38100</xdr:colOff>
          <xdr:row>12</xdr:row>
          <xdr:rowOff>182880</xdr:rowOff>
        </xdr:to>
        <xdr:sp macro="" textlink="">
          <xdr:nvSpPr>
            <xdr:cNvPr id="5146" name="Drop Down 5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6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170</xdr:row>
          <xdr:rowOff>144780</xdr:rowOff>
        </xdr:from>
        <xdr:to>
          <xdr:col>4</xdr:col>
          <xdr:colOff>45720</xdr:colOff>
          <xdr:row>172</xdr:row>
          <xdr:rowOff>7620</xdr:rowOff>
        </xdr:to>
        <xdr:sp macro="" textlink="">
          <xdr:nvSpPr>
            <xdr:cNvPr id="5147" name="Drop Down 83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6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163</xdr:row>
          <xdr:rowOff>152400</xdr:rowOff>
        </xdr:from>
        <xdr:to>
          <xdr:col>11</xdr:col>
          <xdr:colOff>22860</xdr:colOff>
          <xdr:row>165</xdr:row>
          <xdr:rowOff>0</xdr:rowOff>
        </xdr:to>
        <xdr:sp macro="" textlink="">
          <xdr:nvSpPr>
            <xdr:cNvPr id="5150" name="Drop Down 54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6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11</xdr:row>
          <xdr:rowOff>160020</xdr:rowOff>
        </xdr:from>
        <xdr:to>
          <xdr:col>6</xdr:col>
          <xdr:colOff>30480</xdr:colOff>
          <xdr:row>13</xdr:row>
          <xdr:rowOff>0</xdr:rowOff>
        </xdr:to>
        <xdr:sp macro="" textlink="">
          <xdr:nvSpPr>
            <xdr:cNvPr id="5151" name="Drop Down 57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6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12</xdr:row>
          <xdr:rowOff>0</xdr:rowOff>
        </xdr:from>
        <xdr:to>
          <xdr:col>7</xdr:col>
          <xdr:colOff>30480</xdr:colOff>
          <xdr:row>13</xdr:row>
          <xdr:rowOff>7620</xdr:rowOff>
        </xdr:to>
        <xdr:sp macro="" textlink="">
          <xdr:nvSpPr>
            <xdr:cNvPr id="5152" name="Drop Down 58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6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12</xdr:row>
          <xdr:rowOff>0</xdr:rowOff>
        </xdr:from>
        <xdr:to>
          <xdr:col>8</xdr:col>
          <xdr:colOff>7620</xdr:colOff>
          <xdr:row>13</xdr:row>
          <xdr:rowOff>7620</xdr:rowOff>
        </xdr:to>
        <xdr:sp macro="" textlink="">
          <xdr:nvSpPr>
            <xdr:cNvPr id="5153" name="Drop Down 59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6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12</xdr:row>
          <xdr:rowOff>0</xdr:rowOff>
        </xdr:from>
        <xdr:to>
          <xdr:col>9</xdr:col>
          <xdr:colOff>7620</xdr:colOff>
          <xdr:row>13</xdr:row>
          <xdr:rowOff>7620</xdr:rowOff>
        </xdr:to>
        <xdr:sp macro="" textlink="">
          <xdr:nvSpPr>
            <xdr:cNvPr id="5154" name="Drop Down 60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6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11</xdr:row>
          <xdr:rowOff>160020</xdr:rowOff>
        </xdr:from>
        <xdr:to>
          <xdr:col>10</xdr:col>
          <xdr:colOff>38100</xdr:colOff>
          <xdr:row>13</xdr:row>
          <xdr:rowOff>0</xdr:rowOff>
        </xdr:to>
        <xdr:sp macro="" textlink="">
          <xdr:nvSpPr>
            <xdr:cNvPr id="5155" name="Drop Down 61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6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12</xdr:row>
          <xdr:rowOff>0</xdr:rowOff>
        </xdr:from>
        <xdr:to>
          <xdr:col>11</xdr:col>
          <xdr:colOff>30480</xdr:colOff>
          <xdr:row>13</xdr:row>
          <xdr:rowOff>7620</xdr:rowOff>
        </xdr:to>
        <xdr:sp macro="" textlink="">
          <xdr:nvSpPr>
            <xdr:cNvPr id="5156" name="Drop Down 64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6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9</xdr:row>
          <xdr:rowOff>76200</xdr:rowOff>
        </xdr:from>
        <xdr:to>
          <xdr:col>4</xdr:col>
          <xdr:colOff>22860</xdr:colOff>
          <xdr:row>10</xdr:row>
          <xdr:rowOff>7620</xdr:rowOff>
        </xdr:to>
        <xdr:sp macro="" textlink="">
          <xdr:nvSpPr>
            <xdr:cNvPr id="5157" name="Drop Down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6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ATOOLver104R8MAR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ATOOLver104R8MAR19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1"/>
      <sheetName val="Dialog2"/>
      <sheetName val="Sheet1"/>
      <sheetName val="Factors"/>
      <sheetName val="MainMenu"/>
      <sheetName val="Terms"/>
      <sheetName val="StatusQuo"/>
      <sheetName val="AlternativeA"/>
      <sheetName val="AlternativeB"/>
      <sheetName val="AlternativeC"/>
      <sheetName val="AlternativeD"/>
      <sheetName val="Processing"/>
      <sheetName val="CostDisplayA"/>
      <sheetName val="CostDisplayC"/>
      <sheetName val="CostDisplayD"/>
      <sheetName val="CostDisplayB"/>
      <sheetName val="Discount"/>
      <sheetName val="Inflation"/>
      <sheetName val="DataSave"/>
      <sheetName val="ComparisonOfAlternative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</sheetNames>
    <sheetDataSet>
      <sheetData sheetId="0" refreshError="1"/>
      <sheetData sheetId="1" refreshError="1"/>
      <sheetData sheetId="2">
        <row r="56">
          <cell r="A56">
            <v>1</v>
          </cell>
        </row>
        <row r="82">
          <cell r="G82">
            <v>1</v>
          </cell>
          <cell r="H82">
            <v>2004</v>
          </cell>
          <cell r="I82" t="str">
            <v/>
          </cell>
        </row>
        <row r="83">
          <cell r="G83">
            <v>2</v>
          </cell>
          <cell r="H83">
            <v>2005</v>
          </cell>
          <cell r="I83" t="str">
            <v/>
          </cell>
        </row>
        <row r="84">
          <cell r="G84">
            <v>3</v>
          </cell>
          <cell r="H84">
            <v>2006</v>
          </cell>
          <cell r="I84" t="str">
            <v/>
          </cell>
        </row>
        <row r="85">
          <cell r="G85">
            <v>4</v>
          </cell>
          <cell r="H85">
            <v>2007</v>
          </cell>
          <cell r="I85" t="str">
            <v/>
          </cell>
        </row>
        <row r="86">
          <cell r="G86">
            <v>5</v>
          </cell>
          <cell r="H86">
            <v>2008</v>
          </cell>
          <cell r="I86" t="str">
            <v/>
          </cell>
        </row>
        <row r="87">
          <cell r="G87">
            <v>6</v>
          </cell>
          <cell r="H87">
            <v>2009</v>
          </cell>
          <cell r="I87" t="str">
            <v/>
          </cell>
        </row>
        <row r="88">
          <cell r="G88">
            <v>7</v>
          </cell>
          <cell r="H88">
            <v>2010</v>
          </cell>
          <cell r="I88" t="str">
            <v/>
          </cell>
        </row>
        <row r="89">
          <cell r="G89">
            <v>8</v>
          </cell>
          <cell r="H89">
            <v>2011</v>
          </cell>
          <cell r="I89" t="str">
            <v/>
          </cell>
        </row>
        <row r="90">
          <cell r="G90">
            <v>9</v>
          </cell>
          <cell r="H90">
            <v>2012</v>
          </cell>
          <cell r="I90">
            <v>1</v>
          </cell>
        </row>
        <row r="91">
          <cell r="G91">
            <v>10</v>
          </cell>
          <cell r="H91">
            <v>2013</v>
          </cell>
          <cell r="I91">
            <v>2</v>
          </cell>
        </row>
        <row r="92">
          <cell r="G92">
            <v>11</v>
          </cell>
          <cell r="H92">
            <v>2014</v>
          </cell>
          <cell r="I92">
            <v>3</v>
          </cell>
        </row>
        <row r="93">
          <cell r="G93">
            <v>12</v>
          </cell>
          <cell r="H93">
            <v>2015</v>
          </cell>
          <cell r="I93">
            <v>4</v>
          </cell>
        </row>
        <row r="94">
          <cell r="G94">
            <v>13</v>
          </cell>
          <cell r="H94">
            <v>2016</v>
          </cell>
          <cell r="I94">
            <v>5</v>
          </cell>
        </row>
        <row r="95">
          <cell r="G95">
            <v>14</v>
          </cell>
          <cell r="H95">
            <v>2017</v>
          </cell>
          <cell r="I95">
            <v>6</v>
          </cell>
        </row>
        <row r="96">
          <cell r="G96">
            <v>15</v>
          </cell>
          <cell r="H96">
            <v>2018</v>
          </cell>
          <cell r="I96">
            <v>7</v>
          </cell>
        </row>
        <row r="97">
          <cell r="G97">
            <v>16</v>
          </cell>
          <cell r="H97">
            <v>2019</v>
          </cell>
          <cell r="I97">
            <v>8</v>
          </cell>
        </row>
        <row r="98">
          <cell r="G98">
            <v>17</v>
          </cell>
          <cell r="H98">
            <v>2020</v>
          </cell>
          <cell r="I98">
            <v>9</v>
          </cell>
        </row>
        <row r="99">
          <cell r="G99">
            <v>18</v>
          </cell>
          <cell r="H99">
            <v>2021</v>
          </cell>
          <cell r="I99">
            <v>10</v>
          </cell>
        </row>
        <row r="100">
          <cell r="G100">
            <v>19</v>
          </cell>
          <cell r="H100">
            <v>2022</v>
          </cell>
          <cell r="I100">
            <v>11</v>
          </cell>
        </row>
        <row r="101">
          <cell r="G101">
            <v>20</v>
          </cell>
          <cell r="H101">
            <v>2023</v>
          </cell>
          <cell r="I101">
            <v>12</v>
          </cell>
        </row>
        <row r="102">
          <cell r="G102">
            <v>21</v>
          </cell>
          <cell r="H102">
            <v>2024</v>
          </cell>
          <cell r="I102">
            <v>13</v>
          </cell>
        </row>
        <row r="103">
          <cell r="G103">
            <v>22</v>
          </cell>
          <cell r="H103">
            <v>2025</v>
          </cell>
          <cell r="I103">
            <v>14</v>
          </cell>
        </row>
        <row r="104">
          <cell r="G104">
            <v>23</v>
          </cell>
          <cell r="H104">
            <v>2026</v>
          </cell>
          <cell r="I104">
            <v>15</v>
          </cell>
        </row>
        <row r="105">
          <cell r="G105">
            <v>24</v>
          </cell>
          <cell r="H105">
            <v>2027</v>
          </cell>
          <cell r="I105">
            <v>16</v>
          </cell>
        </row>
        <row r="106">
          <cell r="G106">
            <v>25</v>
          </cell>
          <cell r="H106">
            <v>2028</v>
          </cell>
          <cell r="I106">
            <v>17</v>
          </cell>
        </row>
        <row r="107">
          <cell r="G107">
            <v>26</v>
          </cell>
          <cell r="H107">
            <v>2029</v>
          </cell>
          <cell r="I107" t="str">
            <v/>
          </cell>
        </row>
        <row r="108">
          <cell r="G108">
            <v>27</v>
          </cell>
          <cell r="H108">
            <v>2030</v>
          </cell>
          <cell r="I108" t="str">
            <v/>
          </cell>
        </row>
        <row r="109">
          <cell r="G109">
            <v>28</v>
          </cell>
          <cell r="H109">
            <v>2031</v>
          </cell>
          <cell r="I109" t="str">
            <v/>
          </cell>
        </row>
        <row r="110">
          <cell r="G110">
            <v>29</v>
          </cell>
          <cell r="H110">
            <v>2032</v>
          </cell>
          <cell r="I110" t="str">
            <v/>
          </cell>
        </row>
        <row r="111">
          <cell r="G111">
            <v>30</v>
          </cell>
          <cell r="H111">
            <v>2033</v>
          </cell>
          <cell r="I111" t="str">
            <v/>
          </cell>
        </row>
        <row r="112">
          <cell r="G112">
            <v>31</v>
          </cell>
          <cell r="H112">
            <v>2034</v>
          </cell>
          <cell r="I112" t="str">
            <v/>
          </cell>
        </row>
        <row r="113">
          <cell r="G113">
            <v>32</v>
          </cell>
          <cell r="H113">
            <v>2035</v>
          </cell>
          <cell r="I113" t="str">
            <v/>
          </cell>
        </row>
        <row r="114">
          <cell r="G114">
            <v>33</v>
          </cell>
          <cell r="H114">
            <v>2036</v>
          </cell>
          <cell r="I114" t="str">
            <v/>
          </cell>
        </row>
        <row r="115">
          <cell r="G115">
            <v>34</v>
          </cell>
          <cell r="H115">
            <v>2037</v>
          </cell>
          <cell r="I115" t="str">
            <v/>
          </cell>
        </row>
        <row r="116">
          <cell r="G116">
            <v>35</v>
          </cell>
          <cell r="H116">
            <v>2038</v>
          </cell>
          <cell r="I116" t="str">
            <v/>
          </cell>
        </row>
        <row r="117">
          <cell r="G117">
            <v>36</v>
          </cell>
          <cell r="H117">
            <v>2039</v>
          </cell>
          <cell r="I117" t="str">
            <v/>
          </cell>
        </row>
        <row r="118">
          <cell r="G118">
            <v>37</v>
          </cell>
          <cell r="H118">
            <v>2040</v>
          </cell>
          <cell r="I118" t="str">
            <v/>
          </cell>
        </row>
        <row r="119">
          <cell r="G119">
            <v>38</v>
          </cell>
          <cell r="H119">
            <v>2041</v>
          </cell>
          <cell r="I119" t="str">
            <v/>
          </cell>
        </row>
        <row r="120">
          <cell r="G120">
            <v>39</v>
          </cell>
          <cell r="H120">
            <v>2042</v>
          </cell>
          <cell r="I120" t="str">
            <v/>
          </cell>
        </row>
        <row r="121">
          <cell r="G121">
            <v>40</v>
          </cell>
          <cell r="H121">
            <v>2043</v>
          </cell>
          <cell r="I121" t="str">
            <v/>
          </cell>
        </row>
        <row r="122">
          <cell r="G122">
            <v>41</v>
          </cell>
          <cell r="H122">
            <v>2044</v>
          </cell>
          <cell r="I122" t="str">
            <v/>
          </cell>
        </row>
        <row r="123">
          <cell r="G123">
            <v>42</v>
          </cell>
          <cell r="H123">
            <v>2045</v>
          </cell>
          <cell r="I123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1">
          <cell r="E61">
            <v>0</v>
          </cell>
        </row>
      </sheetData>
      <sheetData sheetId="13">
        <row r="61">
          <cell r="E61">
            <v>0</v>
          </cell>
        </row>
      </sheetData>
      <sheetData sheetId="14">
        <row r="61">
          <cell r="E61">
            <v>0</v>
          </cell>
        </row>
      </sheetData>
      <sheetData sheetId="15">
        <row r="61">
          <cell r="E61">
            <v>0</v>
          </cell>
        </row>
      </sheetData>
      <sheetData sheetId="16">
        <row r="9">
          <cell r="B9">
            <v>0</v>
          </cell>
          <cell r="C9">
            <v>4</v>
          </cell>
          <cell r="D9">
            <v>6</v>
          </cell>
          <cell r="E9">
            <v>8</v>
          </cell>
          <cell r="F9">
            <v>15</v>
          </cell>
          <cell r="G9">
            <v>25</v>
          </cell>
        </row>
        <row r="10">
          <cell r="B10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</row>
        <row r="11">
          <cell r="B11">
            <v>-8.0000000000000002E-3</v>
          </cell>
          <cell r="C11">
            <v>-6.0000000000000001E-3</v>
          </cell>
          <cell r="D11">
            <v>-3.0000000000000001E-3</v>
          </cell>
          <cell r="E11">
            <v>-1E-3</v>
          </cell>
          <cell r="F11">
            <v>2E-3</v>
          </cell>
          <cell r="G11">
            <v>6.0000000000000001E-3</v>
          </cell>
        </row>
        <row r="27">
          <cell r="A27">
            <v>1</v>
          </cell>
          <cell r="B27">
            <v>1.0040241611281235</v>
          </cell>
          <cell r="C27">
            <v>1.0030135678562992</v>
          </cell>
          <cell r="D27">
            <v>1.0015033834597085</v>
          </cell>
          <cell r="E27">
            <v>1.0005003753127737</v>
          </cell>
          <cell r="F27">
            <v>0.99900149750436706</v>
          </cell>
          <cell r="G27">
            <v>0.99701343285247179</v>
          </cell>
        </row>
        <row r="28">
          <cell r="A28">
            <v>2</v>
          </cell>
          <cell r="B28">
            <v>1.0121211301694795</v>
          </cell>
          <cell r="C28">
            <v>1.0090679757105627</v>
          </cell>
          <cell r="D28">
            <v>1.004516934262496</v>
          </cell>
          <cell r="E28">
            <v>1.0015018771899638</v>
          </cell>
          <cell r="F28">
            <v>0.9970074825392885</v>
          </cell>
          <cell r="G28">
            <v>0.99106703066846102</v>
          </cell>
        </row>
        <row r="29">
          <cell r="A29">
            <v>3</v>
          </cell>
          <cell r="B29">
            <v>1.0202833973482655</v>
          </cell>
          <cell r="C29">
            <v>1.0151589292862804</v>
          </cell>
          <cell r="D29">
            <v>1.0075395529212596</v>
          </cell>
          <cell r="E29">
            <v>1.0025043815715353</v>
          </cell>
          <cell r="F29">
            <v>0.99501744764400046</v>
          </cell>
          <cell r="G29">
            <v>0.98515609410383809</v>
          </cell>
        </row>
        <row r="30">
          <cell r="A30">
            <v>4</v>
          </cell>
          <cell r="B30">
            <v>1.0285114892623646</v>
          </cell>
          <cell r="C30">
            <v>1.0212866491813686</v>
          </cell>
          <cell r="D30">
            <v>1.0105712667214239</v>
          </cell>
          <cell r="E30">
            <v>1.0035078894609961</v>
          </cell>
          <cell r="F30">
            <v>0.99303138487425213</v>
          </cell>
          <cell r="G30">
            <v>0.9792804116340339</v>
          </cell>
        </row>
        <row r="31">
          <cell r="A31">
            <v>5</v>
          </cell>
          <cell r="B31">
            <v>1.036805936756416</v>
          </cell>
          <cell r="C31">
            <v>1.0274513573253203</v>
          </cell>
          <cell r="D31">
            <v>1.0136121030305154</v>
          </cell>
          <cell r="E31">
            <v>1.0045124018628591</v>
          </cell>
          <cell r="F31">
            <v>0.99104928630164868</v>
          </cell>
          <cell r="G31">
            <v>0.97343977299605744</v>
          </cell>
        </row>
        <row r="32">
          <cell r="A32">
            <v>6</v>
          </cell>
          <cell r="B32">
            <v>1.0451672749560643</v>
          </cell>
          <cell r="C32">
            <v>1.033653276987244</v>
          </cell>
          <cell r="D32">
            <v>1.0166620892984108</v>
          </cell>
          <cell r="E32">
            <v>1.0055179197826416</v>
          </cell>
          <cell r="F32">
            <v>0.98907114401362139</v>
          </cell>
          <cell r="G32">
            <v>0.96763396918097155</v>
          </cell>
        </row>
        <row r="33">
          <cell r="A33">
            <v>7</v>
          </cell>
          <cell r="B33">
            <v>1.0535960433024842</v>
          </cell>
          <cell r="C33">
            <v>1.0398926327839475</v>
          </cell>
          <cell r="D33">
            <v>1.0197212530575834</v>
          </cell>
          <cell r="E33">
            <v>1.0065244442268686</v>
          </cell>
          <cell r="F33">
            <v>0.9870969501133946</v>
          </cell>
          <cell r="G33">
            <v>0.96186279242641315</v>
          </cell>
        </row>
        <row r="34">
          <cell r="A34">
            <v>8</v>
          </cell>
          <cell r="B34">
            <v>1.0620927855871818</v>
          </cell>
          <cell r="C34">
            <v>1.046169650688076</v>
          </cell>
          <cell r="D34">
            <v>1.0227896219233537</v>
          </cell>
          <cell r="E34">
            <v>1.0075319762030717</v>
          </cell>
          <cell r="F34">
            <v>0.98512669671995479</v>
          </cell>
          <cell r="G34">
            <v>0.95612603620915815</v>
          </cell>
        </row>
        <row r="35">
          <cell r="A35">
            <v>9</v>
          </cell>
          <cell r="B35">
            <v>1.0706580499870784</v>
          </cell>
          <cell r="C35">
            <v>1.0524845580362938</v>
          </cell>
          <cell r="D35">
            <v>1.025867223594136</v>
          </cell>
          <cell r="E35">
            <v>1.0085405167197914</v>
          </cell>
          <cell r="F35">
            <v>0.98316037596801886</v>
          </cell>
          <cell r="G35">
            <v>0.95042349523773173</v>
          </cell>
        </row>
        <row r="36">
          <cell r="A36">
            <v>10</v>
          </cell>
          <cell r="B36">
            <v>1.0792923890998773</v>
          </cell>
          <cell r="C36">
            <v>1.0588375835375188</v>
          </cell>
          <cell r="D36">
            <v>1.028954085851691</v>
          </cell>
          <cell r="E36">
            <v>1.009550066786578</v>
          </cell>
          <cell r="F36">
            <v>0.98119798000800285</v>
          </cell>
          <cell r="G36">
            <v>0.94475496544506143</v>
          </cell>
        </row>
        <row r="37">
          <cell r="A37">
            <v>11</v>
          </cell>
          <cell r="B37">
            <v>1.0879963599797151</v>
          </cell>
          <cell r="C37">
            <v>1.0652289572812061</v>
          </cell>
          <cell r="D37">
            <v>1.0320502365613751</v>
          </cell>
          <cell r="E37">
            <v>1.010560627413992</v>
          </cell>
          <cell r="F37">
            <v>0.97923950100599078</v>
          </cell>
          <cell r="G37">
            <v>0.93912024398117433</v>
          </cell>
        </row>
        <row r="38">
          <cell r="A38">
            <v>12</v>
          </cell>
          <cell r="B38">
            <v>1.0967705241730998</v>
          </cell>
          <cell r="C38">
            <v>1.0716589107456802</v>
          </cell>
          <cell r="D38">
            <v>1.0351557036723924</v>
          </cell>
          <cell r="E38">
            <v>1.0115721996136056</v>
          </cell>
          <cell r="F38">
            <v>0.97728493114370329</v>
          </cell>
          <cell r="G38">
            <v>0.93351912920593871</v>
          </cell>
        </row>
        <row r="39">
          <cell r="A39">
            <v>13</v>
          </cell>
          <cell r="B39">
            <v>1.105615447755141</v>
          </cell>
          <cell r="C39">
            <v>1.0781276768065193</v>
          </cell>
          <cell r="D39">
            <v>1.0382705152180465</v>
          </cell>
          <cell r="E39">
            <v>1.0125847843980036</v>
          </cell>
          <cell r="F39">
            <v>0.97533426261846645</v>
          </cell>
          <cell r="G39">
            <v>0.92795142068184766</v>
          </cell>
        </row>
        <row r="40">
          <cell r="A40">
            <v>14</v>
          </cell>
          <cell r="B40">
            <v>1.1145317013660696</v>
          </cell>
          <cell r="C40">
            <v>1.0846354897449895</v>
          </cell>
          <cell r="D40">
            <v>1.0413946993159946</v>
          </cell>
          <cell r="E40">
            <v>1.0135983827807844</v>
          </cell>
          <cell r="F40">
            <v>0.97338748764318006</v>
          </cell>
          <cell r="G40">
            <v>0.92241691916684654</v>
          </cell>
        </row>
        <row r="41">
          <cell r="A41">
            <v>15</v>
          </cell>
          <cell r="B41">
            <v>1.1235198602480541</v>
          </cell>
          <cell r="C41">
            <v>1.0911825852565284</v>
          </cell>
          <cell r="D41">
            <v>1.0445282841685</v>
          </cell>
          <cell r="E41">
            <v>1.0146129957765611</v>
          </cell>
          <cell r="F41">
            <v>0.9714445984462875</v>
          </cell>
          <cell r="G41">
            <v>0.91691542660720338</v>
          </cell>
        </row>
        <row r="42">
          <cell r="A42">
            <v>16</v>
          </cell>
          <cell r="B42">
            <v>1.1325805042823125</v>
          </cell>
          <cell r="C42">
            <v>1.0977692004592843</v>
          </cell>
          <cell r="D42">
            <v>1.0476712980626879</v>
          </cell>
          <cell r="E42">
            <v>1.015628624400962</v>
          </cell>
          <cell r="F42">
            <v>0.96950558727174407</v>
          </cell>
          <cell r="G42">
            <v>0.91144674613042087</v>
          </cell>
        </row>
        <row r="43">
          <cell r="A43">
            <v>17</v>
          </cell>
          <cell r="B43">
            <v>1.1417142180265247</v>
          </cell>
          <cell r="C43">
            <v>1.1043955739027003</v>
          </cell>
          <cell r="D43">
            <v>1.0508237693708005</v>
          </cell>
          <cell r="E43">
            <v>1.0166452696706325</v>
          </cell>
          <cell r="F43">
            <v>0.96757044637898593</v>
          </cell>
          <cell r="G43">
            <v>0.90601068203819168</v>
          </cell>
        </row>
        <row r="44">
          <cell r="A44">
            <v>18</v>
          </cell>
          <cell r="B44">
            <v>1.1509215907525452</v>
          </cell>
          <cell r="C44">
            <v>1.1110619455761575</v>
          </cell>
          <cell r="D44">
            <v>1.053985726550452</v>
          </cell>
          <cell r="E44">
            <v>1.0176629326032358</v>
          </cell>
          <cell r="F44">
            <v>0.96563916804290029</v>
          </cell>
          <cell r="G44">
            <v>0.90060703979939527</v>
          </cell>
        </row>
        <row r="45">
          <cell r="A45">
            <v>19</v>
          </cell>
          <cell r="B45">
            <v>1.1602032164844205</v>
          </cell>
          <cell r="C45">
            <v>1.1177685569176632</v>
          </cell>
          <cell r="D45">
            <v>1.0571571981448864</v>
          </cell>
          <cell r="E45">
            <v>1.0186816142174533</v>
          </cell>
          <cell r="F45">
            <v>0.96371174455379272</v>
          </cell>
          <cell r="G45">
            <v>0.89523562604313633</v>
          </cell>
        </row>
        <row r="46">
          <cell r="A46">
            <v>20</v>
          </cell>
          <cell r="B46">
            <v>1.1695596940367141</v>
          </cell>
          <cell r="C46">
            <v>1.1245156508225989</v>
          </cell>
          <cell r="D46">
            <v>1.0603382127832361</v>
          </cell>
          <cell r="E46">
            <v>1.0197013155329862</v>
          </cell>
          <cell r="F46">
            <v>0.96178816821735802</v>
          </cell>
          <cell r="G46">
            <v>0.88989624855182559</v>
          </cell>
        </row>
        <row r="47">
          <cell r="A47">
            <v>21</v>
          </cell>
          <cell r="B47">
            <v>1.1789916270531393</v>
          </cell>
          <cell r="C47">
            <v>1.1313034716525141</v>
          </cell>
          <cell r="D47">
            <v>1.0635287991807785</v>
          </cell>
          <cell r="E47">
            <v>1.0207220375705568</v>
          </cell>
          <cell r="F47">
            <v>0.95986843135464872</v>
          </cell>
          <cell r="G47">
            <v>0.88458871625429969</v>
          </cell>
        </row>
        <row r="48">
          <cell r="A48">
            <v>22</v>
          </cell>
          <cell r="B48">
            <v>1.1884996240455035</v>
          </cell>
          <cell r="C48">
            <v>1.1381322652439778</v>
          </cell>
          <cell r="D48">
            <v>1.0667289861391962</v>
          </cell>
          <cell r="E48">
            <v>1.0217437813519086</v>
          </cell>
          <cell r="F48">
            <v>0.95795252630204442</v>
          </cell>
          <cell r="G48">
            <v>0.87931283921898573</v>
          </cell>
        </row>
        <row r="49">
          <cell r="A49">
            <v>23</v>
          </cell>
          <cell r="B49">
            <v>1.1980842984329672</v>
          </cell>
          <cell r="C49">
            <v>1.1450022789174827</v>
          </cell>
          <cell r="D49">
            <v>1.0699388025468366</v>
          </cell>
          <cell r="E49">
            <v>1.0227665478998085</v>
          </cell>
          <cell r="F49">
            <v>0.95604044541122213</v>
          </cell>
          <cell r="G49">
            <v>0.8740684286471031</v>
          </cell>
        </row>
        <row r="50">
          <cell r="A50">
            <v>24</v>
          </cell>
          <cell r="B50">
            <v>1.20774626858162</v>
          </cell>
          <cell r="C50">
            <v>1.1519137614864012</v>
          </cell>
          <cell r="D50">
            <v>1.0731582773789736</v>
          </cell>
          <cell r="E50">
            <v>1.0237903382380467</v>
          </cell>
          <cell r="F50">
            <v>0.9541321810491239</v>
          </cell>
          <cell r="G50">
            <v>0.86885529686590779</v>
          </cell>
        </row>
        <row r="51">
          <cell r="A51">
            <v>25</v>
          </cell>
          <cell r="B51">
            <v>1.217486157844375</v>
          </cell>
          <cell r="C51">
            <v>1.1588669632659971</v>
          </cell>
          <cell r="D51">
            <v>1.0763874396980677</v>
          </cell>
          <cell r="E51">
            <v>1.024815153391438</v>
          </cell>
          <cell r="F51">
            <v>0.9522277255979279</v>
          </cell>
          <cell r="G51">
            <v>0.86367325732197597</v>
          </cell>
        </row>
        <row r="52">
          <cell r="A52">
            <v>26</v>
          </cell>
          <cell r="B52">
            <v>1.2273045946011847</v>
          </cell>
          <cell r="C52">
            <v>1.1658621360824921</v>
          </cell>
          <cell r="D52">
            <v>1.0796263186540298</v>
          </cell>
          <cell r="E52">
            <v>1.0258409943858238</v>
          </cell>
          <cell r="F52">
            <v>0.95032707145501782</v>
          </cell>
          <cell r="G52">
            <v>0.85852212457452859</v>
          </cell>
        </row>
        <row r="53">
          <cell r="A53">
            <v>27</v>
          </cell>
          <cell r="B53">
            <v>1.2372022122995812</v>
          </cell>
          <cell r="C53">
            <v>1.1728995332821852</v>
          </cell>
          <cell r="D53">
            <v>1.0828749434844833</v>
          </cell>
          <cell r="E53">
            <v>1.026867862248072</v>
          </cell>
          <cell r="F53">
            <v>0.94843021103295211</v>
          </cell>
          <cell r="G53">
            <v>0.85340171428879597</v>
          </cell>
        </row>
        <row r="54">
          <cell r="A54">
            <v>28</v>
          </cell>
          <cell r="B54">
            <v>1.2471796494955456</v>
          </cell>
          <cell r="C54">
            <v>1.1799794097406291</v>
          </cell>
          <cell r="D54">
            <v>1.0861333435150284</v>
          </cell>
          <cell r="E54">
            <v>1.0278957580060779</v>
          </cell>
          <cell r="F54">
            <v>0.94653713675943307</v>
          </cell>
          <cell r="G54">
            <v>0.84831184322941933</v>
          </cell>
        </row>
        <row r="55">
          <cell r="A55">
            <v>29</v>
          </cell>
          <cell r="B55">
            <v>1.2572375498947033</v>
          </cell>
          <cell r="C55">
            <v>1.1871020218718602</v>
          </cell>
          <cell r="D55">
            <v>1.089401548159507</v>
          </cell>
          <cell r="E55">
            <v>1.0289246826887666</v>
          </cell>
          <cell r="F55">
            <v>0.94464784107727862</v>
          </cell>
          <cell r="G55">
            <v>0.84325232925389593</v>
          </cell>
        </row>
        <row r="56">
          <cell r="A56">
            <v>30</v>
          </cell>
          <cell r="B56">
            <v>1.267376562393854</v>
          </cell>
          <cell r="C56">
            <v>1.1942676276376865</v>
          </cell>
          <cell r="D56">
            <v>1.0926795869202677</v>
          </cell>
          <cell r="E56">
            <v>1.0299546373260928</v>
          </cell>
          <cell r="F56">
            <v>0.94276231644438979</v>
          </cell>
          <cell r="G56">
            <v>0.83822299130605971</v>
          </cell>
        </row>
        <row r="57">
          <cell r="A57">
            <v>31</v>
          </cell>
          <cell r="B57">
            <v>1.2775973411228367</v>
          </cell>
          <cell r="C57">
            <v>1.2014764865570284</v>
          </cell>
          <cell r="D57">
            <v>1.095967489388433</v>
          </cell>
          <cell r="E57">
            <v>1.0309856229490419</v>
          </cell>
          <cell r="F57">
            <v>0.94088055533372239</v>
          </cell>
          <cell r="G57">
            <v>0.83322364940960203</v>
          </cell>
        </row>
        <row r="58">
          <cell r="A58">
            <v>32</v>
          </cell>
          <cell r="B58">
            <v>1.2879005454867307</v>
          </cell>
          <cell r="C58">
            <v>1.2087288597153205</v>
          </cell>
          <cell r="D58">
            <v>1.0992652852441656</v>
          </cell>
          <cell r="E58">
            <v>1.0320176405896315</v>
          </cell>
          <cell r="F58">
            <v>0.93900255023325585</v>
          </cell>
          <cell r="G58">
            <v>0.82825412466163217</v>
          </cell>
        </row>
        <row r="59">
          <cell r="A59">
            <v>33</v>
          </cell>
          <cell r="B59">
            <v>1.2982868402083978</v>
          </cell>
          <cell r="C59">
            <v>1.2160250097739642</v>
          </cell>
          <cell r="D59">
            <v>1.1025730042569364</v>
          </cell>
          <cell r="E59">
            <v>1.0330506912809125</v>
          </cell>
          <cell r="F59">
            <v>0.93712829364596384</v>
          </cell>
          <cell r="G59">
            <v>0.82331423922627445</v>
          </cell>
        </row>
        <row r="60">
          <cell r="A60">
            <v>34</v>
          </cell>
          <cell r="B60">
            <v>1.3087568953713686</v>
          </cell>
          <cell r="C60">
            <v>1.2233652009798432</v>
          </cell>
          <cell r="D60">
            <v>1.1058906762857936</v>
          </cell>
          <cell r="E60">
            <v>1.0340847760569694</v>
          </cell>
          <cell r="F60">
            <v>0.93525777808978428</v>
          </cell>
          <cell r="G60">
            <v>0.81840381632830472</v>
          </cell>
        </row>
        <row r="61">
          <cell r="A61">
            <v>35</v>
          </cell>
          <cell r="B61">
            <v>1.3193113864630734</v>
          </cell>
          <cell r="C61">
            <v>1.2307496991748927</v>
          </cell>
          <cell r="D61">
            <v>1.1092183312796327</v>
          </cell>
          <cell r="E61">
            <v>1.0351198959529222</v>
          </cell>
          <cell r="F61">
            <v>0.93339099609758913</v>
          </cell>
          <cell r="G61">
            <v>0.81352268024682373</v>
          </cell>
        </row>
        <row r="62">
          <cell r="A62">
            <v>36</v>
          </cell>
          <cell r="B62">
            <v>1.3299509944184209</v>
          </cell>
          <cell r="C62">
            <v>1.2381787718057271</v>
          </cell>
          <cell r="D62">
            <v>1.1125559992774652</v>
          </cell>
          <cell r="E62">
            <v>1.0361560520049273</v>
          </cell>
          <cell r="F62">
            <v>0.9315279402171549</v>
          </cell>
          <cell r="G62">
            <v>0.80867065630896995</v>
          </cell>
        </row>
        <row r="63">
          <cell r="A63">
            <v>37</v>
          </cell>
          <cell r="B63">
            <v>1.3406764056637306</v>
          </cell>
          <cell r="C63">
            <v>1.245652687933327</v>
          </cell>
          <cell r="D63">
            <v>1.1159037104086911</v>
          </cell>
          <cell r="E63">
            <v>1.0371932452501773</v>
          </cell>
          <cell r="F63">
            <v>0.92966860301113252</v>
          </cell>
          <cell r="G63">
            <v>0.80384757088366798</v>
          </cell>
        </row>
        <row r="64">
          <cell r="A64">
            <v>38</v>
          </cell>
          <cell r="B64">
            <v>1.3514883121610188</v>
          </cell>
          <cell r="C64">
            <v>1.2531717182427837</v>
          </cell>
          <cell r="D64">
            <v>1.1192614948933712</v>
          </cell>
          <cell r="E64">
            <v>1.0382314767269043</v>
          </cell>
          <cell r="F64">
            <v>0.9278129770570186</v>
          </cell>
          <cell r="G64">
            <v>0.7990532513754155</v>
          </cell>
        </row>
        <row r="65">
          <cell r="A65">
            <v>39</v>
          </cell>
          <cell r="B65">
            <v>1.36238741145264</v>
          </cell>
          <cell r="C65">
            <v>1.2607361350531023</v>
          </cell>
          <cell r="D65">
            <v>1.1226293830424987</v>
          </cell>
          <cell r="E65">
            <v>1.0392707474743788</v>
          </cell>
          <cell r="F65">
            <v>0.92596105494712444</v>
          </cell>
          <cell r="G65">
            <v>0.79428752621810683</v>
          </cell>
        </row>
        <row r="66">
          <cell r="A66">
            <v>40</v>
          </cell>
          <cell r="B66">
            <v>1.3733744067062903</v>
          </cell>
          <cell r="C66">
            <v>1.2683462123270648</v>
          </cell>
          <cell r="D66">
            <v>1.1260074052582736</v>
          </cell>
          <cell r="E66">
            <v>1.0403110585329116</v>
          </cell>
          <cell r="F66">
            <v>0.9241128292885471</v>
          </cell>
          <cell r="G66">
            <v>0.78955022486889348</v>
          </cell>
        </row>
        <row r="67">
          <cell r="A67">
            <v>41</v>
          </cell>
          <cell r="B67">
            <v>1.3844500067603733</v>
          </cell>
          <cell r="C67">
            <v>1.2760022256811516</v>
          </cell>
          <cell r="D67">
            <v>1.1293955920343766</v>
          </cell>
          <cell r="E67">
            <v>1.0413524109438554</v>
          </cell>
          <cell r="F67">
            <v>0.92226829270314092</v>
          </cell>
          <cell r="G67">
            <v>0.78484117780208096</v>
          </cell>
        </row>
        <row r="68">
          <cell r="A68">
            <v>42</v>
          </cell>
          <cell r="B68">
            <v>1.395614926169731</v>
          </cell>
          <cell r="C68">
            <v>1.2837044523955248</v>
          </cell>
          <cell r="D68">
            <v>1.1327939739562454</v>
          </cell>
          <cell r="E68">
            <v>1.0423948057496051</v>
          </cell>
          <cell r="F68">
            <v>0.92042743782748593</v>
          </cell>
          <cell r="G68">
            <v>0.78016021650306266</v>
          </cell>
        </row>
        <row r="69">
          <cell r="A69">
            <v>43</v>
          </cell>
          <cell r="B69">
            <v>1.4068698852517449</v>
          </cell>
          <cell r="C69">
            <v>1.2914531714240693</v>
          </cell>
          <cell r="D69">
            <v>1.1362025817013495</v>
          </cell>
          <cell r="E69">
            <v>1.0434382439935987</v>
          </cell>
          <cell r="F69">
            <v>0.91859025731286026</v>
          </cell>
          <cell r="G69">
            <v>0.77550717346228892</v>
          </cell>
        </row>
        <row r="70">
          <cell r="A70">
            <v>44</v>
          </cell>
          <cell r="B70">
            <v>1.4182156101328074</v>
          </cell>
          <cell r="C70">
            <v>1.2992486634044962</v>
          </cell>
          <cell r="D70">
            <v>1.1396214460394678</v>
          </cell>
          <cell r="E70">
            <v>1.0444827267203189</v>
          </cell>
          <cell r="F70">
            <v>0.91675674382520989</v>
          </cell>
          <cell r="G70">
            <v>0.77088188216927311</v>
          </cell>
        </row>
        <row r="71">
          <cell r="A71">
            <v>45</v>
          </cell>
          <cell r="B71">
            <v>1.429652832795169</v>
          </cell>
          <cell r="C71">
            <v>1.3070912106685071</v>
          </cell>
          <cell r="D71">
            <v>1.1430505978329668</v>
          </cell>
          <cell r="E71">
            <v>1.0455282549752942</v>
          </cell>
          <cell r="F71">
            <v>0.91492689004511962</v>
          </cell>
          <cell r="G71">
            <v>0.76628417710663332</v>
          </cell>
        </row>
        <row r="72">
          <cell r="A72">
            <v>46</v>
          </cell>
          <cell r="B72">
            <v>1.4411822911241623</v>
          </cell>
          <cell r="C72">
            <v>1.3149810972520195</v>
          </cell>
          <cell r="D72">
            <v>1.146490068037078</v>
          </cell>
          <cell r="E72">
            <v>1.0465748298050994</v>
          </cell>
          <cell r="F72">
            <v>0.91310068866778404</v>
          </cell>
          <cell r="G72">
            <v>0.76171389374416831</v>
          </cell>
        </row>
        <row r="73">
          <cell r="A73">
            <v>47</v>
          </cell>
          <cell r="B73">
            <v>1.4528047289558086</v>
          </cell>
          <cell r="C73">
            <v>1.3229186089054521</v>
          </cell>
          <cell r="D73">
            <v>1.1499398877001785</v>
          </cell>
          <cell r="E73">
            <v>1.0476224522573567</v>
          </cell>
          <cell r="F73">
            <v>0.91127813240297806</v>
          </cell>
          <cell r="G73">
            <v>0.75717086853297066</v>
          </cell>
        </row>
        <row r="74">
          <cell r="A74">
            <v>48</v>
          </cell>
          <cell r="B74">
            <v>1.4645208961248073</v>
          </cell>
          <cell r="C74">
            <v>1.3309040331040767</v>
          </cell>
          <cell r="D74">
            <v>1.1534000879640709</v>
          </cell>
          <cell r="E74">
            <v>1.0486711233807375</v>
          </cell>
          <cell r="F74">
            <v>0.90945921397502794</v>
          </cell>
          <cell r="G74">
            <v>0.75265493889957313</v>
          </cell>
        </row>
        <row r="75">
          <cell r="A75">
            <v>49</v>
          </cell>
          <cell r="B75">
            <v>1.4763315485129105</v>
          </cell>
          <cell r="C75">
            <v>1.3389376590584272</v>
          </cell>
          <cell r="D75">
            <v>1.1568707000642635</v>
          </cell>
          <cell r="E75">
            <v>1.0497208442249626</v>
          </cell>
          <cell r="F75">
            <v>0.90764392612278255</v>
          </cell>
          <cell r="G75">
            <v>0.74816594324013219</v>
          </cell>
        </row>
        <row r="76">
          <cell r="A76">
            <v>50</v>
          </cell>
          <cell r="B76">
            <v>1.4882374480976921</v>
          </cell>
          <cell r="C76">
            <v>1.3470197777247759</v>
          </cell>
          <cell r="D76">
            <v>1.1603517553302543</v>
          </cell>
          <cell r="E76">
            <v>1.0507716158408031</v>
          </cell>
          <cell r="F76">
            <v>0.9058322615995833</v>
          </cell>
          <cell r="G76">
            <v>0.74370372091464443</v>
          </cell>
        </row>
        <row r="77">
          <cell r="A77">
            <v>51</v>
          </cell>
          <cell r="B77">
            <v>1.5002393630017057</v>
          </cell>
          <cell r="C77">
            <v>1.35515068181567</v>
          </cell>
          <cell r="D77">
            <v>1.1638432851858118</v>
          </cell>
          <cell r="E77">
            <v>1.0518234392800834</v>
          </cell>
          <cell r="F77">
            <v>0.90402421317323678</v>
          </cell>
          <cell r="G77">
            <v>0.73926811224119726</v>
          </cell>
        </row>
        <row r="78">
          <cell r="A78">
            <v>52</v>
          </cell>
          <cell r="B78">
            <v>1.5123380675420419</v>
          </cell>
          <cell r="C78">
            <v>1.3633306658105331</v>
          </cell>
          <cell r="D78">
            <v>1.1673453211492595</v>
          </cell>
          <cell r="E78">
            <v>1.0528763155956788</v>
          </cell>
          <cell r="F78">
            <v>0.90221977362598493</v>
          </cell>
          <cell r="G78">
            <v>0.73485895849025573</v>
          </cell>
        </row>
        <row r="79">
          <cell r="A79">
            <v>53</v>
          </cell>
          <cell r="B79">
            <v>1.5245343422802844</v>
          </cell>
          <cell r="C79">
            <v>1.371560025966331</v>
          </cell>
          <cell r="D79">
            <v>1.1708578948337609</v>
          </cell>
          <cell r="E79">
            <v>1.0539302458415205</v>
          </cell>
          <cell r="F79">
            <v>0.90041893575447574</v>
          </cell>
          <cell r="G79">
            <v>0.73047610187898171</v>
          </cell>
        </row>
        <row r="80">
          <cell r="A80">
            <v>54</v>
          </cell>
          <cell r="B80">
            <v>1.5368289740728673</v>
          </cell>
          <cell r="C80">
            <v>1.3798390603283008</v>
          </cell>
          <cell r="D80">
            <v>1.1743810379476036</v>
          </cell>
          <cell r="E80">
            <v>1.0549852310725931</v>
          </cell>
          <cell r="F80">
            <v>0.89862169236973644</v>
          </cell>
          <cell r="G80">
            <v>0.7261193855655883</v>
          </cell>
        </row>
        <row r="81">
          <cell r="A81">
            <v>55</v>
          </cell>
          <cell r="B81">
            <v>1.5492227561218419</v>
          </cell>
          <cell r="C81">
            <v>1.3881680687407454</v>
          </cell>
          <cell r="D81">
            <v>1.1779147822944871</v>
          </cell>
          <cell r="E81">
            <v>1.0560412723449382</v>
          </cell>
          <cell r="F81">
            <v>0.89682803629714214</v>
          </cell>
          <cell r="G81">
            <v>0.72178865364372591</v>
          </cell>
        </row>
        <row r="82">
          <cell r="A82">
            <v>56</v>
          </cell>
          <cell r="B82">
            <v>1.5617164880260506</v>
          </cell>
          <cell r="C82">
            <v>1.3965473528578927</v>
          </cell>
          <cell r="D82">
            <v>1.1814591597738084</v>
          </cell>
          <cell r="E82">
            <v>1.0570983707156538</v>
          </cell>
          <cell r="F82">
            <v>0.89503796037638927</v>
          </cell>
          <cell r="G82">
            <v>0.71748375113690455</v>
          </cell>
        </row>
        <row r="83">
          <cell r="A83">
            <v>57</v>
          </cell>
          <cell r="B83">
            <v>1.5743109758327121</v>
          </cell>
          <cell r="C83">
            <v>1.4049772161548215</v>
          </cell>
          <cell r="D83">
            <v>1.1850142023809513</v>
          </cell>
          <cell r="E83">
            <v>1.0581565272428965</v>
          </cell>
          <cell r="F83">
            <v>0.89325145746146628</v>
          </cell>
          <cell r="G83">
            <v>0.71320452399294676</v>
          </cell>
        </row>
        <row r="84">
          <cell r="A84">
            <v>58</v>
          </cell>
          <cell r="B84">
            <v>1.5870070320894276</v>
          </cell>
          <cell r="C84">
            <v>1.4134579639384524</v>
          </cell>
          <cell r="D84">
            <v>1.188579942207574</v>
          </cell>
          <cell r="E84">
            <v>1.0592157429858824</v>
          </cell>
          <cell r="F84">
            <v>0.89146852042062519</v>
          </cell>
          <cell r="G84">
            <v>0.70895081907847601</v>
          </cell>
        </row>
        <row r="85">
          <cell r="A85">
            <v>59</v>
          </cell>
          <cell r="B85">
            <v>1.5998054758966003</v>
          </cell>
          <cell r="C85">
            <v>1.4219899033586041</v>
          </cell>
          <cell r="D85">
            <v>1.1921564114418997</v>
          </cell>
          <cell r="E85">
            <v>1.0602760190048874</v>
          </cell>
          <cell r="F85">
            <v>0.88968914213635242</v>
          </cell>
          <cell r="G85">
            <v>0.7047224841734353</v>
          </cell>
        </row>
        <row r="86">
          <cell r="A86">
            <v>60</v>
          </cell>
          <cell r="B86">
            <v>1.6127071329602827</v>
          </cell>
          <cell r="C86">
            <v>1.4305733434191188</v>
          </cell>
          <cell r="D86">
            <v>1.1957436423690067</v>
          </cell>
          <cell r="E86">
            <v>1.0613373563612487</v>
          </cell>
          <cell r="F86">
            <v>0.8879133155053418</v>
          </cell>
          <cell r="G86">
            <v>0.70051936796564152</v>
          </cell>
        </row>
      </sheetData>
      <sheetData sheetId="17">
        <row r="9">
          <cell r="H9">
            <v>0</v>
          </cell>
          <cell r="I9" t="str">
            <v>n/a</v>
          </cell>
          <cell r="J9" t="str">
            <v>n/a</v>
          </cell>
        </row>
        <row r="10">
          <cell r="H10">
            <v>2012</v>
          </cell>
          <cell r="I10">
            <v>0.89487881506658262</v>
          </cell>
          <cell r="J10">
            <v>0.90883837178367355</v>
          </cell>
        </row>
        <row r="11">
          <cell r="H11">
            <v>2013</v>
          </cell>
          <cell r="I11">
            <v>0.90830199729258132</v>
          </cell>
          <cell r="J11">
            <v>0.92426941282561126</v>
          </cell>
        </row>
        <row r="12">
          <cell r="H12">
            <v>2014</v>
          </cell>
          <cell r="I12">
            <v>0.92192652725197</v>
          </cell>
          <cell r="J12">
            <v>0.94253056044909844</v>
          </cell>
        </row>
        <row r="13">
          <cell r="H13">
            <v>2015</v>
          </cell>
          <cell r="I13">
            <v>0.93206771905174157</v>
          </cell>
          <cell r="J13">
            <v>0.95849497882770474</v>
          </cell>
        </row>
        <row r="14">
          <cell r="H14">
            <v>2016</v>
          </cell>
          <cell r="I14">
            <v>0.94325253168036249</v>
          </cell>
          <cell r="J14">
            <v>0.96810706518674527</v>
          </cell>
        </row>
        <row r="15">
          <cell r="H15">
            <v>2017</v>
          </cell>
          <cell r="I15">
            <v>0.95928782471892859</v>
          </cell>
          <cell r="J15">
            <v>0.98795662792315853</v>
          </cell>
        </row>
        <row r="16">
          <cell r="H16">
            <v>2018</v>
          </cell>
          <cell r="I16">
            <v>0.98039215686274506</v>
          </cell>
          <cell r="J16">
            <v>1.0051321923848282</v>
          </cell>
        </row>
        <row r="17">
          <cell r="H17">
            <v>2019</v>
          </cell>
          <cell r="I17">
            <v>1</v>
          </cell>
          <cell r="J17">
            <v>1.0206234922359168</v>
          </cell>
        </row>
        <row r="18">
          <cell r="H18">
            <v>2020</v>
          </cell>
          <cell r="I18">
            <v>1.02</v>
          </cell>
          <cell r="J18">
            <v>1.0428264165899419</v>
          </cell>
        </row>
        <row r="19">
          <cell r="H19">
            <v>2021</v>
          </cell>
          <cell r="I19">
            <v>1.0404</v>
          </cell>
          <cell r="J19">
            <v>1.0636829449217409</v>
          </cell>
        </row>
        <row r="20">
          <cell r="H20">
            <v>2022</v>
          </cell>
          <cell r="I20">
            <v>1.0612079999999999</v>
          </cell>
          <cell r="J20">
            <v>1.0849566038201754</v>
          </cell>
        </row>
        <row r="21">
          <cell r="H21">
            <v>2023</v>
          </cell>
          <cell r="I21">
            <v>1.08243216</v>
          </cell>
          <cell r="J21">
            <v>1.106655735896579</v>
          </cell>
        </row>
        <row r="22">
          <cell r="H22">
            <v>2024</v>
          </cell>
          <cell r="I22">
            <v>1.1040808032</v>
          </cell>
          <cell r="J22">
            <v>1.1287888506145107</v>
          </cell>
        </row>
        <row r="23">
          <cell r="H23">
            <v>2025</v>
          </cell>
          <cell r="I23">
            <v>1.1261624192640001</v>
          </cell>
          <cell r="J23">
            <v>1.151364627626801</v>
          </cell>
        </row>
        <row r="24">
          <cell r="H24">
            <v>2026</v>
          </cell>
          <cell r="I24">
            <v>1.14868566764928</v>
          </cell>
          <cell r="J24">
            <v>1.1743919201793371</v>
          </cell>
        </row>
        <row r="25">
          <cell r="H25">
            <v>2027</v>
          </cell>
          <cell r="I25">
            <v>1.1716593810022657</v>
          </cell>
          <cell r="J25">
            <v>1.1978797585829239</v>
          </cell>
        </row>
        <row r="26">
          <cell r="H26">
            <v>2028</v>
          </cell>
          <cell r="I26">
            <v>1.1950925686223111</v>
          </cell>
          <cell r="J26">
            <v>1.2218373537545824</v>
          </cell>
        </row>
        <row r="27">
          <cell r="H27">
            <v>2029</v>
          </cell>
          <cell r="I27">
            <v>1.2189944199947573</v>
          </cell>
          <cell r="J27">
            <v>1.2462741008296743</v>
          </cell>
        </row>
        <row r="28">
          <cell r="H28">
            <v>2030</v>
          </cell>
          <cell r="I28">
            <v>1.2433743083946525</v>
          </cell>
          <cell r="J28">
            <v>1.2711995828462677</v>
          </cell>
        </row>
        <row r="29">
          <cell r="H29">
            <v>2031</v>
          </cell>
          <cell r="I29">
            <v>1.2682417945625455</v>
          </cell>
          <cell r="J29">
            <v>1.2966235745031929</v>
          </cell>
        </row>
        <row r="30">
          <cell r="H30">
            <v>2032</v>
          </cell>
          <cell r="I30">
            <v>1.2936066304537963</v>
          </cell>
          <cell r="J30">
            <v>1.3225560459932568</v>
          </cell>
        </row>
        <row r="31">
          <cell r="H31">
            <v>2033</v>
          </cell>
          <cell r="I31">
            <v>1.3194787630628724</v>
          </cell>
          <cell r="J31">
            <v>1.3490071669131221</v>
          </cell>
        </row>
        <row r="32">
          <cell r="H32">
            <v>2034</v>
          </cell>
          <cell r="I32">
            <v>1.3458683383241299</v>
          </cell>
          <cell r="J32">
            <v>1.3759873102513847</v>
          </cell>
        </row>
        <row r="33">
          <cell r="H33">
            <v>2035</v>
          </cell>
          <cell r="I33">
            <v>1.3727857050906125</v>
          </cell>
          <cell r="J33">
            <v>1.4035070564564123</v>
          </cell>
        </row>
        <row r="34">
          <cell r="H34">
            <v>2036</v>
          </cell>
          <cell r="I34">
            <v>1.4002414191924248</v>
          </cell>
          <cell r="J34">
            <v>1.4315771975855407</v>
          </cell>
        </row>
        <row r="35">
          <cell r="H35">
            <v>2037</v>
          </cell>
          <cell r="I35">
            <v>1.4282462475762734</v>
          </cell>
          <cell r="J35">
            <v>1.4602087415372513</v>
          </cell>
        </row>
        <row r="36">
          <cell r="H36">
            <v>2038</v>
          </cell>
          <cell r="I36">
            <v>1.4568111725277988</v>
          </cell>
          <cell r="J36">
            <v>1.4894129163679966</v>
          </cell>
        </row>
        <row r="37">
          <cell r="H37">
            <v>2039</v>
          </cell>
          <cell r="I37">
            <v>1.4859473959783549</v>
          </cell>
          <cell r="J37">
            <v>1.5192011746953564</v>
          </cell>
        </row>
        <row r="38">
          <cell r="H38">
            <v>2040</v>
          </cell>
          <cell r="I38">
            <v>1.5156663438979221</v>
          </cell>
          <cell r="J38">
            <v>1.5495851981892634</v>
          </cell>
        </row>
        <row r="39">
          <cell r="H39">
            <v>2041</v>
          </cell>
          <cell r="I39">
            <v>1.5459796707758806</v>
          </cell>
          <cell r="J39">
            <v>1.5805769021530487</v>
          </cell>
        </row>
        <row r="40">
          <cell r="H40">
            <v>2042</v>
          </cell>
          <cell r="I40">
            <v>1.5768992641913981</v>
          </cell>
          <cell r="J40">
            <v>1.6121884401961102</v>
          </cell>
        </row>
        <row r="41">
          <cell r="H41">
            <v>2043</v>
          </cell>
          <cell r="I41">
            <v>1.6084372494752261</v>
          </cell>
          <cell r="J41">
            <v>1.6444322090000321</v>
          </cell>
        </row>
        <row r="42">
          <cell r="H42">
            <v>2044</v>
          </cell>
          <cell r="I42">
            <v>1.6406059944647307</v>
          </cell>
          <cell r="J42">
            <v>1.6773208531800323</v>
          </cell>
        </row>
        <row r="43">
          <cell r="H43">
            <v>2045</v>
          </cell>
          <cell r="I43">
            <v>1.6734181143540252</v>
          </cell>
          <cell r="J43">
            <v>1.7108672702436334</v>
          </cell>
        </row>
        <row r="44">
          <cell r="H44">
            <v>2046</v>
          </cell>
          <cell r="I44">
            <v>1.7068864766411058</v>
          </cell>
          <cell r="J44">
            <v>1.745084615648506</v>
          </cell>
        </row>
        <row r="45">
          <cell r="H45">
            <v>2047</v>
          </cell>
          <cell r="I45">
            <v>1.7410242061739281</v>
          </cell>
          <cell r="J45">
            <v>1.7799863079614762</v>
          </cell>
        </row>
        <row r="46">
          <cell r="H46">
            <v>2048</v>
          </cell>
          <cell r="I46">
            <v>1.7758446902974065</v>
          </cell>
          <cell r="J46">
            <v>1.8155860341207057</v>
          </cell>
        </row>
        <row r="47">
          <cell r="H47">
            <v>2049</v>
          </cell>
          <cell r="I47">
            <v>1.8113615841033548</v>
          </cell>
          <cell r="J47">
            <v>1.8518977548031201</v>
          </cell>
        </row>
        <row r="48">
          <cell r="H48">
            <v>2050</v>
          </cell>
          <cell r="I48">
            <v>1.8475888157854219</v>
          </cell>
          <cell r="J48">
            <v>1.8889357098991826</v>
          </cell>
        </row>
        <row r="49">
          <cell r="H49">
            <v>2051</v>
          </cell>
          <cell r="I49">
            <v>1.8845405921011305</v>
          </cell>
          <cell r="J49">
            <v>1.9267144240971661</v>
          </cell>
        </row>
        <row r="50">
          <cell r="H50">
            <v>2052</v>
          </cell>
          <cell r="I50">
            <v>1.9222314039431532</v>
          </cell>
          <cell r="J50">
            <v>1.9652487125791098</v>
          </cell>
        </row>
        <row r="51">
          <cell r="H51">
            <v>2053</v>
          </cell>
          <cell r="I51">
            <v>1.9606760320220162</v>
          </cell>
          <cell r="J51">
            <v>2.0045536868306915</v>
          </cell>
        </row>
        <row r="52">
          <cell r="H52">
            <v>2054</v>
          </cell>
          <cell r="I52">
            <v>1.9998895526624565</v>
          </cell>
          <cell r="J52">
            <v>2.0446447605673055</v>
          </cell>
        </row>
        <row r="53">
          <cell r="H53">
            <v>2055</v>
          </cell>
          <cell r="I53">
            <v>2.0398873437157055</v>
          </cell>
          <cell r="J53">
            <v>2.0855376557786522</v>
          </cell>
        </row>
        <row r="54">
          <cell r="H54">
            <v>2056</v>
          </cell>
          <cell r="I54">
            <v>2.0806850905900198</v>
          </cell>
          <cell r="J54">
            <v>2.127248408894225</v>
          </cell>
        </row>
        <row r="55">
          <cell r="H55">
            <v>2057</v>
          </cell>
          <cell r="I55">
            <v>2.1222987924018204</v>
          </cell>
          <cell r="J55">
            <v>2.1697933770721098</v>
          </cell>
        </row>
        <row r="56">
          <cell r="H56">
            <v>2058</v>
          </cell>
          <cell r="I56">
            <v>2.1647447682498568</v>
          </cell>
          <cell r="J56">
            <v>2.2131892446135519</v>
          </cell>
        </row>
        <row r="57">
          <cell r="H57">
            <v>2059</v>
          </cell>
          <cell r="I57">
            <v>2.208039663614854</v>
          </cell>
          <cell r="J57">
            <v>2.2574530295058226</v>
          </cell>
        </row>
        <row r="58">
          <cell r="H58">
            <v>2060</v>
          </cell>
          <cell r="I58">
            <v>2.252200456887151</v>
          </cell>
          <cell r="J58">
            <v>2.3026020900959394</v>
          </cell>
        </row>
        <row r="59">
          <cell r="H59">
            <v>2061</v>
          </cell>
          <cell r="I59">
            <v>2.2972444660248938</v>
          </cell>
          <cell r="J59">
            <v>2.3486541318978582</v>
          </cell>
        </row>
        <row r="60">
          <cell r="H60">
            <v>2062</v>
          </cell>
          <cell r="I60">
            <v>2.343189355345392</v>
          </cell>
          <cell r="J60">
            <v>2.3956272145358155</v>
          </cell>
        </row>
        <row r="61">
          <cell r="H61">
            <v>2063</v>
          </cell>
          <cell r="I61">
            <v>2.3900531424522997</v>
          </cell>
          <cell r="J61">
            <v>2.4435397588265313</v>
          </cell>
        </row>
        <row r="62">
          <cell r="H62">
            <v>2064</v>
          </cell>
          <cell r="I62">
            <v>2.4378542053013459</v>
          </cell>
          <cell r="J62">
            <v>2.4924105540030617</v>
          </cell>
        </row>
        <row r="63">
          <cell r="H63">
            <v>2065</v>
          </cell>
          <cell r="I63">
            <v>2.4866112894073726</v>
          </cell>
          <cell r="J63">
            <v>2.542258765083123</v>
          </cell>
        </row>
        <row r="64">
          <cell r="H64">
            <v>2066</v>
          </cell>
          <cell r="I64">
            <v>2.53634351519552</v>
          </cell>
          <cell r="J64">
            <v>2.5931039403847858</v>
          </cell>
        </row>
        <row r="65">
          <cell r="H65">
            <v>2067</v>
          </cell>
          <cell r="I65">
            <v>2.5870703854994304</v>
          </cell>
          <cell r="J65">
            <v>2.6449660191924811</v>
          </cell>
        </row>
        <row r="66">
          <cell r="H66">
            <v>2068</v>
          </cell>
          <cell r="I66">
            <v>2.6388117932094191</v>
          </cell>
          <cell r="J66">
            <v>2.6978653395763308</v>
          </cell>
        </row>
        <row r="67">
          <cell r="H67">
            <v>2069</v>
          </cell>
          <cell r="I67">
            <v>2.6915880290736074</v>
          </cell>
          <cell r="J67">
            <v>2.7518226463678577</v>
          </cell>
        </row>
        <row r="68">
          <cell r="H68">
            <v>2070</v>
          </cell>
          <cell r="I68">
            <v>2.7454197896550796</v>
          </cell>
          <cell r="J68">
            <v>2.8068590992952145</v>
          </cell>
        </row>
        <row r="69">
          <cell r="H69">
            <v>2071</v>
          </cell>
          <cell r="I69">
            <v>2.8003281854481812</v>
          </cell>
          <cell r="J69">
            <v>2.8629962812811192</v>
          </cell>
        </row>
        <row r="70">
          <cell r="H70">
            <v>2072</v>
          </cell>
          <cell r="I70">
            <v>2.8563347491571447</v>
          </cell>
          <cell r="J70">
            <v>2.9202562069067417</v>
          </cell>
        </row>
        <row r="71">
          <cell r="H71">
            <v>2073</v>
          </cell>
          <cell r="I71">
            <v>2.9134614441402875</v>
          </cell>
          <cell r="J71">
            <v>2.9786613310448757</v>
          </cell>
        </row>
        <row r="72">
          <cell r="H72">
            <v>2074</v>
          </cell>
          <cell r="I72">
            <v>2.9717306730230932</v>
          </cell>
          <cell r="J72">
            <v>3.0382345576657737</v>
          </cell>
        </row>
        <row r="73">
          <cell r="H73">
            <v>2075</v>
          </cell>
          <cell r="I73">
            <v>3.0311652864835552</v>
          </cell>
          <cell r="J73">
            <v>3.0989992488190889</v>
          </cell>
        </row>
        <row r="74">
          <cell r="H74">
            <v>2076</v>
          </cell>
          <cell r="I74">
            <v>3.0917885922132262</v>
          </cell>
          <cell r="J74">
            <v>3.1609792337954707</v>
          </cell>
        </row>
        <row r="75">
          <cell r="H75">
            <v>2077</v>
          </cell>
          <cell r="I75">
            <v>3.1536243640574906</v>
          </cell>
          <cell r="J75">
            <v>3.2241988184713808</v>
          </cell>
        </row>
        <row r="76">
          <cell r="H76">
            <v>2078</v>
          </cell>
          <cell r="I76">
            <v>3.2166968513386403</v>
          </cell>
          <cell r="J76">
            <v>3.2886827948408075</v>
          </cell>
        </row>
        <row r="77">
          <cell r="H77">
            <v>2079</v>
          </cell>
          <cell r="I77">
            <v>3.2810307883654133</v>
          </cell>
          <cell r="J77" t="str">
            <v>not applicable - not enough compound indicies</v>
          </cell>
        </row>
        <row r="78">
          <cell r="H78">
            <v>2080</v>
          </cell>
          <cell r="I78">
            <v>3.3466514041327216</v>
          </cell>
          <cell r="J78" t="str">
            <v>not applicable - not enough compound indicies</v>
          </cell>
        </row>
        <row r="79">
          <cell r="H79">
            <v>2081</v>
          </cell>
          <cell r="I79">
            <v>3.4135844322153761</v>
          </cell>
          <cell r="J79" t="str">
            <v>not applicable - not enough compound indicies</v>
          </cell>
        </row>
        <row r="80">
          <cell r="H80">
            <v>2082</v>
          </cell>
          <cell r="I80">
            <v>3.4818561208596837</v>
          </cell>
          <cell r="J80" t="str">
            <v>not applicable - not enough compound indicies</v>
          </cell>
        </row>
        <row r="81">
          <cell r="H81">
            <v>2083</v>
          </cell>
          <cell r="I81">
            <v>3.5514932432768775</v>
          </cell>
          <cell r="J81" t="str">
            <v>not applicable - not enough compound indicies</v>
          </cell>
        </row>
        <row r="82">
          <cell r="H82">
            <v>2084</v>
          </cell>
          <cell r="I82">
            <v>3.6225231081424152</v>
          </cell>
          <cell r="J82" t="str">
            <v>not applicable - not enough compound indicies</v>
          </cell>
        </row>
        <row r="88">
          <cell r="H88">
            <v>0</v>
          </cell>
          <cell r="I88" t="str">
            <v>n/a</v>
          </cell>
          <cell r="J88" t="str">
            <v>n/a</v>
          </cell>
        </row>
        <row r="89">
          <cell r="H89">
            <v>2012</v>
          </cell>
          <cell r="I89">
            <v>0.89487881506658262</v>
          </cell>
          <cell r="J89">
            <v>0.91623904374455145</v>
          </cell>
        </row>
        <row r="90">
          <cell r="H90">
            <v>2013</v>
          </cell>
          <cell r="I90">
            <v>0.90830199729258132</v>
          </cell>
          <cell r="J90">
            <v>0.93275500973883674</v>
          </cell>
        </row>
        <row r="91">
          <cell r="H91">
            <v>2014</v>
          </cell>
          <cell r="I91">
            <v>0.92192652725197</v>
          </cell>
          <cell r="J91">
            <v>0.94719769520619301</v>
          </cell>
        </row>
        <row r="92">
          <cell r="H92">
            <v>2015</v>
          </cell>
          <cell r="I92">
            <v>0.93206771905174157</v>
          </cell>
          <cell r="J92">
            <v>0.96206794930308903</v>
          </cell>
        </row>
        <row r="93">
          <cell r="H93">
            <v>2016</v>
          </cell>
          <cell r="I93">
            <v>0.94325253168036249</v>
          </cell>
          <cell r="J93">
            <v>0.97496415188647512</v>
          </cell>
        </row>
        <row r="94">
          <cell r="H94">
            <v>2017</v>
          </cell>
          <cell r="I94">
            <v>0.95928782471892859</v>
          </cell>
          <cell r="J94">
            <v>0.9949602158485592</v>
          </cell>
        </row>
        <row r="95">
          <cell r="H95">
            <v>2018</v>
          </cell>
          <cell r="I95">
            <v>0.98039215686274506</v>
          </cell>
          <cell r="J95">
            <v>1.0156084032584283</v>
          </cell>
        </row>
        <row r="96">
          <cell r="H96">
            <v>2019</v>
          </cell>
          <cell r="I96">
            <v>1</v>
          </cell>
          <cell r="J96">
            <v>1.0379813753235969</v>
          </cell>
        </row>
        <row r="97">
          <cell r="H97">
            <v>2020</v>
          </cell>
          <cell r="I97">
            <v>1.02</v>
          </cell>
          <cell r="J97">
            <v>1.0584667977918636</v>
          </cell>
        </row>
        <row r="98">
          <cell r="H98">
            <v>2021</v>
          </cell>
          <cell r="I98">
            <v>1.0404</v>
          </cell>
          <cell r="J98">
            <v>1.079636133747701</v>
          </cell>
        </row>
        <row r="99">
          <cell r="H99">
            <v>2022</v>
          </cell>
          <cell r="I99">
            <v>1.0612079999999999</v>
          </cell>
          <cell r="J99">
            <v>1.1012288564226551</v>
          </cell>
        </row>
        <row r="100">
          <cell r="H100">
            <v>2023</v>
          </cell>
          <cell r="I100">
            <v>1.08243216</v>
          </cell>
          <cell r="J100">
            <v>1.1232534335511084</v>
          </cell>
        </row>
        <row r="101">
          <cell r="H101">
            <v>2024</v>
          </cell>
          <cell r="I101">
            <v>1.1040808032</v>
          </cell>
          <cell r="J101">
            <v>1.1457185022221303</v>
          </cell>
        </row>
        <row r="102">
          <cell r="H102">
            <v>2025</v>
          </cell>
          <cell r="I102">
            <v>1.1261624192640001</v>
          </cell>
          <cell r="J102">
            <v>1.1686328722665731</v>
          </cell>
        </row>
        <row r="103">
          <cell r="H103">
            <v>2026</v>
          </cell>
          <cell r="I103">
            <v>1.14868566764928</v>
          </cell>
          <cell r="J103">
            <v>1.1920055297119043</v>
          </cell>
        </row>
        <row r="104">
          <cell r="H104">
            <v>2027</v>
          </cell>
          <cell r="I104">
            <v>1.1716593810022657</v>
          </cell>
          <cell r="J104">
            <v>1.2158456403061426</v>
          </cell>
        </row>
        <row r="105">
          <cell r="H105">
            <v>2028</v>
          </cell>
          <cell r="I105">
            <v>1.1950925686223111</v>
          </cell>
          <cell r="J105">
            <v>1.2401625531122655</v>
          </cell>
        </row>
        <row r="106">
          <cell r="H106">
            <v>2029</v>
          </cell>
          <cell r="I106">
            <v>1.2189944199947573</v>
          </cell>
          <cell r="J106">
            <v>1.2649658041745107</v>
          </cell>
        </row>
        <row r="107">
          <cell r="H107">
            <v>2030</v>
          </cell>
          <cell r="I107">
            <v>1.2433743083946525</v>
          </cell>
          <cell r="J107">
            <v>1.2902651202580009</v>
          </cell>
        </row>
        <row r="108">
          <cell r="H108">
            <v>2031</v>
          </cell>
          <cell r="I108">
            <v>1.2682417945625455</v>
          </cell>
          <cell r="J108">
            <v>1.3160704226631612</v>
          </cell>
        </row>
        <row r="109">
          <cell r="H109">
            <v>2032</v>
          </cell>
          <cell r="I109">
            <v>1.2936066304537963</v>
          </cell>
          <cell r="J109">
            <v>1.3423918311164242</v>
          </cell>
        </row>
        <row r="110">
          <cell r="H110">
            <v>2033</v>
          </cell>
          <cell r="I110">
            <v>1.3194787630628724</v>
          </cell>
          <cell r="J110">
            <v>1.3692396677387528</v>
          </cell>
        </row>
        <row r="111">
          <cell r="H111">
            <v>2034</v>
          </cell>
          <cell r="I111">
            <v>1.3458683383241299</v>
          </cell>
          <cell r="J111">
            <v>1.3966244610935279</v>
          </cell>
        </row>
        <row r="112">
          <cell r="H112">
            <v>2035</v>
          </cell>
          <cell r="I112">
            <v>1.3727857050906125</v>
          </cell>
          <cell r="J112">
            <v>1.4245569503153988</v>
          </cell>
        </row>
        <row r="113">
          <cell r="H113">
            <v>2036</v>
          </cell>
          <cell r="I113">
            <v>1.4002414191924248</v>
          </cell>
          <cell r="J113">
            <v>1.4530480893217068</v>
          </cell>
        </row>
        <row r="114">
          <cell r="H114">
            <v>2037</v>
          </cell>
          <cell r="I114">
            <v>1.4282462475762734</v>
          </cell>
          <cell r="J114">
            <v>1.4821090511081407</v>
          </cell>
        </row>
        <row r="115">
          <cell r="H115">
            <v>2038</v>
          </cell>
          <cell r="I115">
            <v>1.4568111725277988</v>
          </cell>
          <cell r="J115">
            <v>1.5117512321303037</v>
          </cell>
        </row>
        <row r="116">
          <cell r="H116">
            <v>2039</v>
          </cell>
          <cell r="I116">
            <v>1.4859473959783549</v>
          </cell>
          <cell r="J116">
            <v>1.5419862567729097</v>
          </cell>
        </row>
        <row r="117">
          <cell r="H117">
            <v>2040</v>
          </cell>
          <cell r="I117">
            <v>1.5156663438979221</v>
          </cell>
          <cell r="J117">
            <v>1.5728259819083681</v>
          </cell>
        </row>
        <row r="118">
          <cell r="H118">
            <v>2041</v>
          </cell>
          <cell r="I118">
            <v>1.5459796707758806</v>
          </cell>
          <cell r="J118">
            <v>1.6042825015465354</v>
          </cell>
        </row>
        <row r="119">
          <cell r="H119">
            <v>2042</v>
          </cell>
          <cell r="I119">
            <v>1.5768992641913981</v>
          </cell>
          <cell r="J119">
            <v>1.6363681515774664</v>
          </cell>
        </row>
        <row r="120">
          <cell r="H120">
            <v>2043</v>
          </cell>
          <cell r="I120">
            <v>1.6084372494752261</v>
          </cell>
          <cell r="J120">
            <v>1.6690955146090154</v>
          </cell>
        </row>
        <row r="121">
          <cell r="H121">
            <v>2044</v>
          </cell>
          <cell r="I121">
            <v>1.6406059944647307</v>
          </cell>
          <cell r="J121">
            <v>1.7024774249011958</v>
          </cell>
        </row>
        <row r="122">
          <cell r="H122">
            <v>2045</v>
          </cell>
          <cell r="I122">
            <v>1.6734181143540252</v>
          </cell>
          <cell r="J122">
            <v>1.7365269733992195</v>
          </cell>
        </row>
        <row r="123">
          <cell r="H123">
            <v>2046</v>
          </cell>
          <cell r="I123">
            <v>1.7068864766411058</v>
          </cell>
          <cell r="J123">
            <v>1.7712575128672041</v>
          </cell>
        </row>
        <row r="124">
          <cell r="H124">
            <v>2047</v>
          </cell>
          <cell r="I124">
            <v>1.7410242061739281</v>
          </cell>
          <cell r="J124">
            <v>1.8066826631245483</v>
          </cell>
        </row>
        <row r="125">
          <cell r="H125">
            <v>2048</v>
          </cell>
          <cell r="I125">
            <v>1.7758446902974065</v>
          </cell>
          <cell r="J125">
            <v>1.8428163163870397</v>
          </cell>
        </row>
        <row r="126">
          <cell r="H126">
            <v>2049</v>
          </cell>
          <cell r="I126">
            <v>1.8113615841033548</v>
          </cell>
          <cell r="J126">
            <v>1.8796726427147801</v>
          </cell>
        </row>
        <row r="127">
          <cell r="H127">
            <v>2050</v>
          </cell>
          <cell r="I127">
            <v>1.8475888157854219</v>
          </cell>
          <cell r="J127">
            <v>1.9172660955690757</v>
          </cell>
        </row>
        <row r="128">
          <cell r="H128">
            <v>2051</v>
          </cell>
          <cell r="I128">
            <v>1.8845405921011305</v>
          </cell>
          <cell r="J128">
            <v>1.9556114174804573</v>
          </cell>
        </row>
        <row r="129">
          <cell r="H129">
            <v>2052</v>
          </cell>
          <cell r="I129">
            <v>1.9222314039431532</v>
          </cell>
          <cell r="J129">
            <v>1.9947236458300666</v>
          </cell>
        </row>
        <row r="130">
          <cell r="H130">
            <v>2053</v>
          </cell>
          <cell r="I130">
            <v>1.9606760320220162</v>
          </cell>
          <cell r="J130">
            <v>2.0346181187466676</v>
          </cell>
        </row>
        <row r="131">
          <cell r="H131">
            <v>2054</v>
          </cell>
          <cell r="I131">
            <v>1.9998895526624565</v>
          </cell>
          <cell r="J131">
            <v>2.0753104811216012</v>
          </cell>
        </row>
        <row r="132">
          <cell r="H132">
            <v>2055</v>
          </cell>
          <cell r="I132">
            <v>2.0398873437157055</v>
          </cell>
          <cell r="J132">
            <v>2.1168166907440336</v>
          </cell>
        </row>
        <row r="133">
          <cell r="H133">
            <v>2056</v>
          </cell>
          <cell r="I133">
            <v>2.0806850905900198</v>
          </cell>
          <cell r="J133">
            <v>2.1591530245589143</v>
          </cell>
        </row>
        <row r="134">
          <cell r="H134">
            <v>2057</v>
          </cell>
          <cell r="I134">
            <v>2.1222987924018204</v>
          </cell>
          <cell r="J134">
            <v>2.2023360850500922</v>
          </cell>
        </row>
        <row r="135">
          <cell r="H135">
            <v>2058</v>
          </cell>
          <cell r="I135">
            <v>2.1647447682498568</v>
          </cell>
          <cell r="J135">
            <v>2.246382806751094</v>
          </cell>
        </row>
        <row r="136">
          <cell r="H136">
            <v>2059</v>
          </cell>
          <cell r="I136">
            <v>2.208039663614854</v>
          </cell>
          <cell r="J136">
            <v>2.2913104628861163</v>
          </cell>
        </row>
        <row r="137">
          <cell r="H137">
            <v>2060</v>
          </cell>
          <cell r="I137">
            <v>2.252200456887151</v>
          </cell>
          <cell r="J137">
            <v>2.3371366721438389</v>
          </cell>
        </row>
        <row r="138">
          <cell r="H138">
            <v>2061</v>
          </cell>
          <cell r="I138">
            <v>2.2972444660248938</v>
          </cell>
          <cell r="J138">
            <v>2.3838794055867156</v>
          </cell>
        </row>
        <row r="139">
          <cell r="H139">
            <v>2062</v>
          </cell>
          <cell r="I139">
            <v>2.343189355345392</v>
          </cell>
          <cell r="J139">
            <v>2.4315569936984494</v>
          </cell>
        </row>
        <row r="140">
          <cell r="H140">
            <v>2063</v>
          </cell>
          <cell r="I140">
            <v>2.3900531424522997</v>
          </cell>
          <cell r="J140">
            <v>2.4801881335724185</v>
          </cell>
        </row>
        <row r="141">
          <cell r="H141">
            <v>2064</v>
          </cell>
          <cell r="I141">
            <v>2.4378542053013459</v>
          </cell>
          <cell r="J141">
            <v>2.5297918962438666</v>
          </cell>
        </row>
        <row r="142">
          <cell r="H142">
            <v>2065</v>
          </cell>
          <cell r="I142">
            <v>2.4866112894073726</v>
          </cell>
          <cell r="J142">
            <v>2.580387734168744</v>
          </cell>
        </row>
        <row r="143">
          <cell r="H143">
            <v>2066</v>
          </cell>
          <cell r="I143">
            <v>2.53634351519552</v>
          </cell>
          <cell r="J143">
            <v>2.6319954888521186</v>
          </cell>
        </row>
        <row r="144">
          <cell r="H144">
            <v>2067</v>
          </cell>
          <cell r="I144">
            <v>2.5870703854994304</v>
          </cell>
          <cell r="J144">
            <v>2.6846353986291609</v>
          </cell>
        </row>
        <row r="145">
          <cell r="H145">
            <v>2068</v>
          </cell>
          <cell r="I145">
            <v>2.6388117932094191</v>
          </cell>
          <cell r="J145">
            <v>2.7383281066017449</v>
          </cell>
        </row>
        <row r="146">
          <cell r="H146">
            <v>2069</v>
          </cell>
          <cell r="I146">
            <v>2.6915880290736074</v>
          </cell>
          <cell r="J146">
            <v>2.7930946687337794</v>
          </cell>
        </row>
        <row r="147">
          <cell r="H147">
            <v>2070</v>
          </cell>
          <cell r="I147">
            <v>2.7454197896550796</v>
          </cell>
          <cell r="J147">
            <v>2.8489565621084552</v>
          </cell>
        </row>
        <row r="148">
          <cell r="H148">
            <v>2071</v>
          </cell>
          <cell r="I148">
            <v>2.8003281854481812</v>
          </cell>
          <cell r="J148">
            <v>2.905935693350624</v>
          </cell>
        </row>
        <row r="149">
          <cell r="H149">
            <v>2072</v>
          </cell>
          <cell r="I149">
            <v>2.8563347491571447</v>
          </cell>
          <cell r="J149">
            <v>2.964054407217636</v>
          </cell>
        </row>
        <row r="150">
          <cell r="H150">
            <v>2073</v>
          </cell>
          <cell r="I150">
            <v>2.9134614441402875</v>
          </cell>
          <cell r="J150">
            <v>3.0233354953619891</v>
          </cell>
        </row>
        <row r="151">
          <cell r="H151">
            <v>2074</v>
          </cell>
          <cell r="I151">
            <v>2.9717306730230932</v>
          </cell>
          <cell r="J151">
            <v>3.0838022052692287</v>
          </cell>
        </row>
        <row r="152">
          <cell r="H152">
            <v>2075</v>
          </cell>
          <cell r="I152">
            <v>3.0311652864835552</v>
          </cell>
          <cell r="J152">
            <v>3.1454782493746136</v>
          </cell>
        </row>
        <row r="153">
          <cell r="H153">
            <v>2076</v>
          </cell>
          <cell r="I153">
            <v>3.0917885922132262</v>
          </cell>
          <cell r="J153">
            <v>3.2083878143621054</v>
          </cell>
        </row>
        <row r="154">
          <cell r="H154">
            <v>2077</v>
          </cell>
          <cell r="I154">
            <v>3.1536243640574906</v>
          </cell>
          <cell r="J154">
            <v>3.2725555706493479</v>
          </cell>
        </row>
        <row r="155">
          <cell r="H155">
            <v>2078</v>
          </cell>
          <cell r="I155">
            <v>3.2166968513386403</v>
          </cell>
          <cell r="J155">
            <v>3.3091858882139538</v>
          </cell>
        </row>
        <row r="156">
          <cell r="H156">
            <v>2079</v>
          </cell>
          <cell r="I156">
            <v>3.2810307883654133</v>
          </cell>
          <cell r="J156" t="str">
            <v>not applicable - not enough compound indicies</v>
          </cell>
        </row>
        <row r="157">
          <cell r="H157">
            <v>2080</v>
          </cell>
          <cell r="I157">
            <v>3.3466514041327216</v>
          </cell>
          <cell r="J157" t="str">
            <v>not applicable - not enough compound indicies</v>
          </cell>
        </row>
        <row r="158">
          <cell r="H158">
            <v>2081</v>
          </cell>
          <cell r="I158">
            <v>3.4135844322153761</v>
          </cell>
          <cell r="J158" t="str">
            <v>not applicable - not enough compound indicies</v>
          </cell>
        </row>
        <row r="159">
          <cell r="H159">
            <v>2082</v>
          </cell>
          <cell r="I159">
            <v>3.4818561208596837</v>
          </cell>
          <cell r="J159" t="str">
            <v>not applicable - not enough compound indicies</v>
          </cell>
        </row>
        <row r="160">
          <cell r="H160">
            <v>2083</v>
          </cell>
          <cell r="I160">
            <v>3.5514932432768775</v>
          </cell>
          <cell r="J160" t="str">
            <v>not applicable - not enough compound indicies</v>
          </cell>
        </row>
        <row r="161">
          <cell r="H161">
            <v>2084</v>
          </cell>
          <cell r="I161">
            <v>3.6225231081424152</v>
          </cell>
          <cell r="J161" t="str">
            <v>not applicable - not enough compound indicies</v>
          </cell>
        </row>
        <row r="167">
          <cell r="H167">
            <v>0</v>
          </cell>
          <cell r="I167" t="str">
            <v>n/a</v>
          </cell>
          <cell r="J167" t="str">
            <v>n/a</v>
          </cell>
        </row>
        <row r="168">
          <cell r="H168">
            <v>2012</v>
          </cell>
          <cell r="I168">
            <v>0.89487881506658262</v>
          </cell>
          <cell r="J168">
            <v>0.91625388706777888</v>
          </cell>
        </row>
        <row r="169">
          <cell r="H169">
            <v>2013</v>
          </cell>
          <cell r="I169">
            <v>0.90830199729258132</v>
          </cell>
          <cell r="J169">
            <v>0.93627138956685163</v>
          </cell>
        </row>
        <row r="170">
          <cell r="H170">
            <v>2014</v>
          </cell>
          <cell r="I170">
            <v>0.92192652725197</v>
          </cell>
          <cell r="J170">
            <v>0.9453586310483606</v>
          </cell>
        </row>
        <row r="171">
          <cell r="H171">
            <v>2015</v>
          </cell>
          <cell r="I171">
            <v>0.93206771905174157</v>
          </cell>
          <cell r="J171">
            <v>0.95897546456102978</v>
          </cell>
        </row>
        <row r="172">
          <cell r="H172">
            <v>2016</v>
          </cell>
          <cell r="I172">
            <v>0.94325253168036249</v>
          </cell>
          <cell r="J172">
            <v>0.9779466564903625</v>
          </cell>
        </row>
        <row r="173">
          <cell r="H173">
            <v>2017</v>
          </cell>
          <cell r="I173">
            <v>0.95928782471892859</v>
          </cell>
          <cell r="J173">
            <v>0.99798869715582572</v>
          </cell>
        </row>
        <row r="174">
          <cell r="H174">
            <v>2018</v>
          </cell>
          <cell r="I174">
            <v>0.98039215686274506</v>
          </cell>
          <cell r="J174">
            <v>1.0177336673692312</v>
          </cell>
        </row>
        <row r="175">
          <cell r="H175">
            <v>2019</v>
          </cell>
          <cell r="I175">
            <v>1</v>
          </cell>
          <cell r="J175">
            <v>1.0380883407166157</v>
          </cell>
        </row>
        <row r="176">
          <cell r="H176">
            <v>2020</v>
          </cell>
          <cell r="I176">
            <v>1.02</v>
          </cell>
          <cell r="J176">
            <v>1.0588501075309482</v>
          </cell>
        </row>
        <row r="177">
          <cell r="H177">
            <v>2021</v>
          </cell>
          <cell r="I177">
            <v>1.0404</v>
          </cell>
          <cell r="J177">
            <v>1.0800271096815668</v>
          </cell>
        </row>
        <row r="178">
          <cell r="H178">
            <v>2022</v>
          </cell>
          <cell r="I178">
            <v>1.0612079999999999</v>
          </cell>
          <cell r="J178">
            <v>1.1016276518751982</v>
          </cell>
        </row>
        <row r="179">
          <cell r="H179">
            <v>2023</v>
          </cell>
          <cell r="I179">
            <v>1.08243216</v>
          </cell>
          <cell r="J179">
            <v>1.1236602049127025</v>
          </cell>
        </row>
        <row r="180">
          <cell r="H180">
            <v>2024</v>
          </cell>
          <cell r="I180">
            <v>1.1040808032</v>
          </cell>
          <cell r="J180">
            <v>1.1461334090109565</v>
          </cell>
        </row>
        <row r="181">
          <cell r="H181">
            <v>2025</v>
          </cell>
          <cell r="I181">
            <v>1.1261624192640001</v>
          </cell>
          <cell r="J181">
            <v>1.1690560771911755</v>
          </cell>
        </row>
        <row r="182">
          <cell r="H182">
            <v>2026</v>
          </cell>
          <cell r="I182">
            <v>1.14868566764928</v>
          </cell>
          <cell r="J182">
            <v>1.1924371987349993</v>
          </cell>
        </row>
        <row r="183">
          <cell r="H183">
            <v>2027</v>
          </cell>
          <cell r="I183">
            <v>1.1716593810022657</v>
          </cell>
          <cell r="J183">
            <v>1.216285942709699</v>
          </cell>
        </row>
        <row r="184">
          <cell r="H184">
            <v>2028</v>
          </cell>
          <cell r="I184">
            <v>1.1950925686223111</v>
          </cell>
          <cell r="J184">
            <v>1.2406116615638929</v>
          </cell>
        </row>
        <row r="185">
          <cell r="H185">
            <v>2029</v>
          </cell>
          <cell r="I185">
            <v>1.2189944199947573</v>
          </cell>
          <cell r="J185">
            <v>1.2654238947951706</v>
          </cell>
        </row>
        <row r="186">
          <cell r="H186">
            <v>2030</v>
          </cell>
          <cell r="I186">
            <v>1.2433743083946525</v>
          </cell>
          <cell r="J186">
            <v>1.2907323726910744</v>
          </cell>
        </row>
        <row r="187">
          <cell r="H187">
            <v>2031</v>
          </cell>
          <cell r="I187">
            <v>1.2682417945625455</v>
          </cell>
          <cell r="J187">
            <v>1.3165470201448959</v>
          </cell>
        </row>
        <row r="188">
          <cell r="H188">
            <v>2032</v>
          </cell>
          <cell r="I188">
            <v>1.2936066304537963</v>
          </cell>
          <cell r="J188">
            <v>1.3428779605477941</v>
          </cell>
        </row>
        <row r="189">
          <cell r="H189">
            <v>2033</v>
          </cell>
          <cell r="I189">
            <v>1.3194787630628724</v>
          </cell>
          <cell r="J189">
            <v>1.3697355197587497</v>
          </cell>
        </row>
        <row r="190">
          <cell r="H190">
            <v>2034</v>
          </cell>
          <cell r="I190">
            <v>1.3458683383241299</v>
          </cell>
          <cell r="J190">
            <v>1.3971302301539248</v>
          </cell>
        </row>
        <row r="191">
          <cell r="H191">
            <v>2035</v>
          </cell>
          <cell r="I191">
            <v>1.3727857050906125</v>
          </cell>
          <cell r="J191">
            <v>1.4250728347570036</v>
          </cell>
        </row>
        <row r="192">
          <cell r="H192">
            <v>2036</v>
          </cell>
          <cell r="I192">
            <v>1.4002414191924248</v>
          </cell>
          <cell r="J192">
            <v>1.4535742914521437</v>
          </cell>
        </row>
        <row r="193">
          <cell r="H193">
            <v>2037</v>
          </cell>
          <cell r="I193">
            <v>1.4282462475762734</v>
          </cell>
          <cell r="J193">
            <v>1.4826457772811863</v>
          </cell>
        </row>
        <row r="194">
          <cell r="H194">
            <v>2038</v>
          </cell>
          <cell r="I194">
            <v>1.4568111725277988</v>
          </cell>
          <cell r="J194">
            <v>1.5122986928268103</v>
          </cell>
        </row>
        <row r="195">
          <cell r="H195">
            <v>2039</v>
          </cell>
          <cell r="I195">
            <v>1.4859473959783549</v>
          </cell>
          <cell r="J195">
            <v>1.5425446666833462</v>
          </cell>
        </row>
        <row r="196">
          <cell r="H196">
            <v>2040</v>
          </cell>
          <cell r="I196">
            <v>1.5156663438979221</v>
          </cell>
          <cell r="J196">
            <v>1.5733955600170133</v>
          </cell>
        </row>
        <row r="197">
          <cell r="H197">
            <v>2041</v>
          </cell>
          <cell r="I197">
            <v>1.5459796707758806</v>
          </cell>
          <cell r="J197">
            <v>1.604863471217354</v>
          </cell>
        </row>
        <row r="198">
          <cell r="H198">
            <v>2042</v>
          </cell>
          <cell r="I198">
            <v>1.5768992641913981</v>
          </cell>
          <cell r="J198">
            <v>1.6369607406417011</v>
          </cell>
        </row>
        <row r="199">
          <cell r="H199">
            <v>2043</v>
          </cell>
          <cell r="I199">
            <v>1.6084372494752261</v>
          </cell>
          <cell r="J199">
            <v>1.6696999554545349</v>
          </cell>
        </row>
        <row r="200">
          <cell r="H200">
            <v>2044</v>
          </cell>
          <cell r="I200">
            <v>1.6406059944647307</v>
          </cell>
          <cell r="J200">
            <v>1.7030939545636254</v>
          </cell>
        </row>
        <row r="201">
          <cell r="H201">
            <v>2045</v>
          </cell>
          <cell r="I201">
            <v>1.6734181143540252</v>
          </cell>
          <cell r="J201">
            <v>1.737155833654898</v>
          </cell>
        </row>
        <row r="202">
          <cell r="H202">
            <v>2046</v>
          </cell>
          <cell r="I202">
            <v>1.7068864766411058</v>
          </cell>
          <cell r="J202">
            <v>1.7718989503279963</v>
          </cell>
        </row>
        <row r="203">
          <cell r="H203">
            <v>2047</v>
          </cell>
          <cell r="I203">
            <v>1.7410242061739281</v>
          </cell>
          <cell r="J203">
            <v>1.807336929334556</v>
          </cell>
        </row>
        <row r="204">
          <cell r="H204">
            <v>2048</v>
          </cell>
          <cell r="I204">
            <v>1.7758446902974065</v>
          </cell>
          <cell r="J204">
            <v>1.843483667921247</v>
          </cell>
        </row>
        <row r="205">
          <cell r="H205">
            <v>2049</v>
          </cell>
          <cell r="I205">
            <v>1.8113615841033548</v>
          </cell>
          <cell r="J205">
            <v>1.880353341279672</v>
          </cell>
        </row>
        <row r="206">
          <cell r="H206">
            <v>2050</v>
          </cell>
          <cell r="I206">
            <v>1.8475888157854219</v>
          </cell>
          <cell r="J206">
            <v>1.9179604081052657</v>
          </cell>
        </row>
        <row r="207">
          <cell r="H207">
            <v>2051</v>
          </cell>
          <cell r="I207">
            <v>1.8845405921011305</v>
          </cell>
          <cell r="J207">
            <v>1.9563196162673708</v>
          </cell>
        </row>
        <row r="208">
          <cell r="H208">
            <v>2052</v>
          </cell>
          <cell r="I208">
            <v>1.9222314039431532</v>
          </cell>
          <cell r="J208">
            <v>1.9954460085927184</v>
          </cell>
        </row>
        <row r="209">
          <cell r="H209">
            <v>2053</v>
          </cell>
          <cell r="I209">
            <v>1.9606760320220162</v>
          </cell>
          <cell r="J209">
            <v>2.0353549287645731</v>
          </cell>
        </row>
        <row r="210">
          <cell r="H210">
            <v>2054</v>
          </cell>
          <cell r="I210">
            <v>1.9998895526624565</v>
          </cell>
          <cell r="J210">
            <v>2.0760620273398644</v>
          </cell>
        </row>
        <row r="211">
          <cell r="H211">
            <v>2055</v>
          </cell>
          <cell r="I211">
            <v>2.0398873437157055</v>
          </cell>
          <cell r="J211">
            <v>2.117583267886662</v>
          </cell>
        </row>
        <row r="212">
          <cell r="H212">
            <v>2056</v>
          </cell>
          <cell r="I212">
            <v>2.0806850905900198</v>
          </cell>
          <cell r="J212">
            <v>2.1599349332443953</v>
          </cell>
        </row>
        <row r="213">
          <cell r="H213">
            <v>2057</v>
          </cell>
          <cell r="I213">
            <v>2.1222987924018204</v>
          </cell>
          <cell r="J213">
            <v>2.2031336319092829</v>
          </cell>
        </row>
        <row r="214">
          <cell r="H214">
            <v>2058</v>
          </cell>
          <cell r="I214">
            <v>2.1647447682498568</v>
          </cell>
          <cell r="J214">
            <v>2.2471963045474692</v>
          </cell>
        </row>
        <row r="215">
          <cell r="H215">
            <v>2059</v>
          </cell>
          <cell r="I215">
            <v>2.208039663614854</v>
          </cell>
          <cell r="J215">
            <v>2.292140230638418</v>
          </cell>
        </row>
        <row r="216">
          <cell r="H216">
            <v>2060</v>
          </cell>
          <cell r="I216">
            <v>2.252200456887151</v>
          </cell>
          <cell r="J216">
            <v>2.3379830352511863</v>
          </cell>
        </row>
        <row r="217">
          <cell r="H217">
            <v>2061</v>
          </cell>
          <cell r="I217">
            <v>2.2972444660248938</v>
          </cell>
          <cell r="J217">
            <v>2.3847426959562097</v>
          </cell>
        </row>
        <row r="218">
          <cell r="H218">
            <v>2062</v>
          </cell>
          <cell r="I218">
            <v>2.343189355345392</v>
          </cell>
          <cell r="J218">
            <v>2.4324375498753339</v>
          </cell>
        </row>
        <row r="219">
          <cell r="H219">
            <v>2063</v>
          </cell>
          <cell r="I219">
            <v>2.3900531424522997</v>
          </cell>
          <cell r="J219">
            <v>2.4810863008728412</v>
          </cell>
        </row>
        <row r="220">
          <cell r="H220">
            <v>2064</v>
          </cell>
          <cell r="I220">
            <v>2.4378542053013459</v>
          </cell>
          <cell r="J220">
            <v>2.5307080268902986</v>
          </cell>
        </row>
        <row r="221">
          <cell r="H221">
            <v>2065</v>
          </cell>
          <cell r="I221">
            <v>2.4866112894073726</v>
          </cell>
          <cell r="J221">
            <v>2.5813221874281038</v>
          </cell>
        </row>
        <row r="222">
          <cell r="H222">
            <v>2066</v>
          </cell>
          <cell r="I222">
            <v>2.53634351519552</v>
          </cell>
          <cell r="J222">
            <v>2.6329486311766663</v>
          </cell>
        </row>
        <row r="223">
          <cell r="H223">
            <v>2067</v>
          </cell>
          <cell r="I223">
            <v>2.5870703854994304</v>
          </cell>
          <cell r="J223">
            <v>2.6856076038001993</v>
          </cell>
        </row>
        <row r="224">
          <cell r="H224">
            <v>2068</v>
          </cell>
          <cell r="I224">
            <v>2.6388117932094191</v>
          </cell>
          <cell r="J224">
            <v>2.7393197558762026</v>
          </cell>
        </row>
        <row r="225">
          <cell r="H225">
            <v>2069</v>
          </cell>
          <cell r="I225">
            <v>2.6915880290736074</v>
          </cell>
          <cell r="J225">
            <v>2.7941061509937271</v>
          </cell>
        </row>
        <row r="226">
          <cell r="H226">
            <v>2070</v>
          </cell>
          <cell r="I226">
            <v>2.7454197896550796</v>
          </cell>
          <cell r="J226">
            <v>2.8499882740136018</v>
          </cell>
        </row>
        <row r="227">
          <cell r="H227">
            <v>2071</v>
          </cell>
          <cell r="I227">
            <v>2.8003281854481812</v>
          </cell>
          <cell r="J227">
            <v>2.9069880394938741</v>
          </cell>
        </row>
        <row r="228">
          <cell r="H228">
            <v>2072</v>
          </cell>
          <cell r="I228">
            <v>2.8563347491571447</v>
          </cell>
          <cell r="J228">
            <v>2.9651278002837511</v>
          </cell>
        </row>
        <row r="229">
          <cell r="H229">
            <v>2073</v>
          </cell>
          <cell r="I229">
            <v>2.9134614441402875</v>
          </cell>
          <cell r="J229">
            <v>3.0244303562894261</v>
          </cell>
        </row>
        <row r="230">
          <cell r="H230">
            <v>2074</v>
          </cell>
          <cell r="I230">
            <v>2.9717306730230932</v>
          </cell>
          <cell r="J230">
            <v>3.0849189634152148</v>
          </cell>
        </row>
        <row r="231">
          <cell r="H231">
            <v>2075</v>
          </cell>
          <cell r="I231">
            <v>3.0311652864835552</v>
          </cell>
          <cell r="J231">
            <v>3.1466173426835184</v>
          </cell>
        </row>
        <row r="232">
          <cell r="H232">
            <v>2076</v>
          </cell>
          <cell r="I232">
            <v>3.0917885922132262</v>
          </cell>
          <cell r="J232">
            <v>3.2095496895371891</v>
          </cell>
        </row>
        <row r="233">
          <cell r="H233">
            <v>2077</v>
          </cell>
          <cell r="I233">
            <v>3.1536243640574906</v>
          </cell>
          <cell r="J233">
            <v>3.273740683327933</v>
          </cell>
        </row>
        <row r="234">
          <cell r="H234">
            <v>2078</v>
          </cell>
          <cell r="I234">
            <v>3.2166968513386403</v>
          </cell>
          <cell r="J234">
            <v>3.3170456555726595</v>
          </cell>
        </row>
        <row r="235">
          <cell r="H235">
            <v>2079</v>
          </cell>
          <cell r="I235">
            <v>3.2810307883654133</v>
          </cell>
          <cell r="J235" t="str">
            <v>not applicable - not enough compound indicies</v>
          </cell>
        </row>
        <row r="236">
          <cell r="H236">
            <v>2080</v>
          </cell>
          <cell r="I236">
            <v>3.3466514041327216</v>
          </cell>
          <cell r="J236" t="str">
            <v>not applicable - not enough compound indicies</v>
          </cell>
        </row>
        <row r="237">
          <cell r="H237">
            <v>2081</v>
          </cell>
          <cell r="I237">
            <v>3.4135844322153761</v>
          </cell>
          <cell r="J237" t="str">
            <v>not applicable - not enough compound indicies</v>
          </cell>
        </row>
        <row r="238">
          <cell r="H238">
            <v>2082</v>
          </cell>
          <cell r="I238">
            <v>3.4818561208596837</v>
          </cell>
          <cell r="J238" t="str">
            <v>not applicable - not enough compound indicies</v>
          </cell>
        </row>
        <row r="239">
          <cell r="H239">
            <v>2083</v>
          </cell>
          <cell r="I239">
            <v>3.5514932432768775</v>
          </cell>
          <cell r="J239" t="str">
            <v>not applicable - not enough compound indicies</v>
          </cell>
        </row>
        <row r="240">
          <cell r="H240">
            <v>2084</v>
          </cell>
          <cell r="I240">
            <v>3.6225231081424152</v>
          </cell>
          <cell r="J240" t="str">
            <v>not applicable - not enough compound indicies</v>
          </cell>
        </row>
        <row r="246">
          <cell r="H246">
            <v>0</v>
          </cell>
          <cell r="I246" t="str">
            <v>n/a</v>
          </cell>
          <cell r="J246" t="str">
            <v>n/a</v>
          </cell>
        </row>
        <row r="247">
          <cell r="H247">
            <v>2012</v>
          </cell>
          <cell r="I247">
            <v>0.89487881506658262</v>
          </cell>
          <cell r="J247">
            <v>0.91989533722641292</v>
          </cell>
        </row>
        <row r="248">
          <cell r="H248">
            <v>2013</v>
          </cell>
          <cell r="I248">
            <v>0.90830199729258132</v>
          </cell>
          <cell r="J248">
            <v>0.93626344593075195</v>
          </cell>
        </row>
        <row r="249">
          <cell r="H249">
            <v>2014</v>
          </cell>
          <cell r="I249">
            <v>0.92192652725197</v>
          </cell>
          <cell r="J249">
            <v>0.94558048096092961</v>
          </cell>
        </row>
        <row r="250">
          <cell r="H250">
            <v>2015</v>
          </cell>
          <cell r="I250">
            <v>0.93206771905174157</v>
          </cell>
          <cell r="J250">
            <v>0.95986520039765511</v>
          </cell>
        </row>
        <row r="251">
          <cell r="H251">
            <v>2016</v>
          </cell>
          <cell r="I251">
            <v>0.94325253168036249</v>
          </cell>
          <cell r="J251">
            <v>0.98025312795610287</v>
          </cell>
        </row>
        <row r="252">
          <cell r="H252">
            <v>2017</v>
          </cell>
          <cell r="I252">
            <v>0.95928782471892859</v>
          </cell>
          <cell r="J252">
            <v>1.0002919414189082</v>
          </cell>
        </row>
        <row r="253">
          <cell r="H253">
            <v>2018</v>
          </cell>
          <cell r="I253">
            <v>0.98039215686274506</v>
          </cell>
          <cell r="J253">
            <v>1.0201413956112402</v>
          </cell>
        </row>
        <row r="254">
          <cell r="H254">
            <v>2019</v>
          </cell>
          <cell r="I254">
            <v>1</v>
          </cell>
          <cell r="J254">
            <v>1.040544223523465</v>
          </cell>
        </row>
        <row r="255">
          <cell r="H255">
            <v>2020</v>
          </cell>
          <cell r="I255">
            <v>1.02</v>
          </cell>
          <cell r="J255">
            <v>1.0613551079939343</v>
          </cell>
        </row>
        <row r="256">
          <cell r="H256">
            <v>2021</v>
          </cell>
          <cell r="I256">
            <v>1.0404</v>
          </cell>
          <cell r="J256">
            <v>1.0825822101538132</v>
          </cell>
        </row>
        <row r="257">
          <cell r="H257">
            <v>2022</v>
          </cell>
          <cell r="I257">
            <v>1.0612079999999999</v>
          </cell>
          <cell r="J257">
            <v>1.1042338543568893</v>
          </cell>
        </row>
        <row r="258">
          <cell r="H258">
            <v>2023</v>
          </cell>
          <cell r="I258">
            <v>1.08243216</v>
          </cell>
          <cell r="J258">
            <v>1.1263185314440269</v>
          </cell>
        </row>
        <row r="259">
          <cell r="H259">
            <v>2024</v>
          </cell>
          <cell r="I259">
            <v>1.1040808032</v>
          </cell>
          <cell r="J259">
            <v>1.1488449020729075</v>
          </cell>
        </row>
        <row r="260">
          <cell r="H260">
            <v>2025</v>
          </cell>
          <cell r="I260">
            <v>1.1261624192640001</v>
          </cell>
          <cell r="J260">
            <v>1.1718218001143659</v>
          </cell>
        </row>
        <row r="261">
          <cell r="H261">
            <v>2026</v>
          </cell>
          <cell r="I261">
            <v>1.14868566764928</v>
          </cell>
          <cell r="J261">
            <v>1.1952582361166533</v>
          </cell>
        </row>
        <row r="262">
          <cell r="H262">
            <v>2027</v>
          </cell>
          <cell r="I262">
            <v>1.1716593810022657</v>
          </cell>
          <cell r="J262">
            <v>1.2191634008389862</v>
          </cell>
        </row>
        <row r="263">
          <cell r="H263">
            <v>2028</v>
          </cell>
          <cell r="I263">
            <v>1.1950925686223111</v>
          </cell>
          <cell r="J263">
            <v>1.2435466688557659</v>
          </cell>
        </row>
        <row r="264">
          <cell r="H264">
            <v>2029</v>
          </cell>
          <cell r="I264">
            <v>1.2189944199947573</v>
          </cell>
          <cell r="J264">
            <v>1.2684176022328815</v>
          </cell>
        </row>
        <row r="265">
          <cell r="H265">
            <v>2030</v>
          </cell>
          <cell r="I265">
            <v>1.2433743083946525</v>
          </cell>
          <cell r="J265">
            <v>1.293785954277539</v>
          </cell>
        </row>
        <row r="266">
          <cell r="H266">
            <v>2031</v>
          </cell>
          <cell r="I266">
            <v>1.2682417945625455</v>
          </cell>
          <cell r="J266">
            <v>1.3196616733630897</v>
          </cell>
        </row>
        <row r="267">
          <cell r="H267">
            <v>2032</v>
          </cell>
          <cell r="I267">
            <v>1.2936066304537963</v>
          </cell>
          <cell r="J267">
            <v>1.3460549068303518</v>
          </cell>
        </row>
        <row r="268">
          <cell r="H268">
            <v>2033</v>
          </cell>
          <cell r="I268">
            <v>1.3194787630628724</v>
          </cell>
          <cell r="J268">
            <v>1.3729760049669584</v>
          </cell>
        </row>
        <row r="269">
          <cell r="H269">
            <v>2034</v>
          </cell>
          <cell r="I269">
            <v>1.3458683383241299</v>
          </cell>
          <cell r="J269">
            <v>1.4004355250662976</v>
          </cell>
        </row>
        <row r="270">
          <cell r="H270">
            <v>2035</v>
          </cell>
          <cell r="I270">
            <v>1.3727857050906125</v>
          </cell>
          <cell r="J270">
            <v>1.4284442355676237</v>
          </cell>
        </row>
        <row r="271">
          <cell r="H271">
            <v>2036</v>
          </cell>
          <cell r="I271">
            <v>1.4002414191924248</v>
          </cell>
          <cell r="J271">
            <v>1.4570131202789764</v>
          </cell>
        </row>
        <row r="272">
          <cell r="H272">
            <v>2037</v>
          </cell>
          <cell r="I272">
            <v>1.4282462475762734</v>
          </cell>
          <cell r="J272">
            <v>1.4861533826845557</v>
          </cell>
        </row>
        <row r="273">
          <cell r="H273">
            <v>2038</v>
          </cell>
          <cell r="I273">
            <v>1.4568111725277988</v>
          </cell>
          <cell r="J273">
            <v>1.5158764503382469</v>
          </cell>
        </row>
        <row r="274">
          <cell r="H274">
            <v>2039</v>
          </cell>
          <cell r="I274">
            <v>1.4859473959783549</v>
          </cell>
          <cell r="J274">
            <v>1.5461939793450121</v>
          </cell>
        </row>
        <row r="275">
          <cell r="H275">
            <v>2040</v>
          </cell>
          <cell r="I275">
            <v>1.5156663438979221</v>
          </cell>
          <cell r="J275">
            <v>1.5771178589319121</v>
          </cell>
        </row>
        <row r="276">
          <cell r="H276">
            <v>2041</v>
          </cell>
          <cell r="I276">
            <v>1.5459796707758806</v>
          </cell>
          <cell r="J276">
            <v>1.6086602161105505</v>
          </cell>
        </row>
        <row r="277">
          <cell r="H277">
            <v>2042</v>
          </cell>
          <cell r="I277">
            <v>1.5768992641913981</v>
          </cell>
          <cell r="J277">
            <v>1.6408334204327615</v>
          </cell>
        </row>
        <row r="278">
          <cell r="H278">
            <v>2043</v>
          </cell>
          <cell r="I278">
            <v>1.6084372494752261</v>
          </cell>
          <cell r="J278">
            <v>1.6736500888414172</v>
          </cell>
        </row>
        <row r="279">
          <cell r="H279">
            <v>2044</v>
          </cell>
          <cell r="I279">
            <v>1.6406059944647307</v>
          </cell>
          <cell r="J279">
            <v>1.7071230906182453</v>
          </cell>
        </row>
        <row r="280">
          <cell r="H280">
            <v>2045</v>
          </cell>
          <cell r="I280">
            <v>1.6734181143540252</v>
          </cell>
          <cell r="J280">
            <v>1.7412655524306104</v>
          </cell>
        </row>
        <row r="281">
          <cell r="H281">
            <v>2046</v>
          </cell>
          <cell r="I281">
            <v>1.7068864766411058</v>
          </cell>
          <cell r="J281">
            <v>1.7760908634792223</v>
          </cell>
        </row>
        <row r="282">
          <cell r="H282">
            <v>2047</v>
          </cell>
          <cell r="I282">
            <v>1.7410242061739281</v>
          </cell>
          <cell r="J282">
            <v>1.8116126807488071</v>
          </cell>
        </row>
        <row r="283">
          <cell r="H283">
            <v>2048</v>
          </cell>
          <cell r="I283">
            <v>1.7758446902974065</v>
          </cell>
          <cell r="J283">
            <v>1.8478449343637828</v>
          </cell>
        </row>
        <row r="284">
          <cell r="H284">
            <v>2049</v>
          </cell>
          <cell r="I284">
            <v>1.8113615841033548</v>
          </cell>
          <cell r="J284">
            <v>1.884801833051059</v>
          </cell>
        </row>
        <row r="285">
          <cell r="H285">
            <v>2050</v>
          </cell>
          <cell r="I285">
            <v>1.8475888157854219</v>
          </cell>
          <cell r="J285">
            <v>1.9224978697120803</v>
          </cell>
        </row>
        <row r="286">
          <cell r="H286">
            <v>2051</v>
          </cell>
          <cell r="I286">
            <v>1.8845405921011305</v>
          </cell>
          <cell r="J286">
            <v>1.9609478271063219</v>
          </cell>
        </row>
        <row r="287">
          <cell r="H287">
            <v>2052</v>
          </cell>
          <cell r="I287">
            <v>1.9222314039431532</v>
          </cell>
          <cell r="J287">
            <v>2.000166783648448</v>
          </cell>
        </row>
        <row r="288">
          <cell r="H288">
            <v>2053</v>
          </cell>
          <cell r="I288">
            <v>1.9606760320220162</v>
          </cell>
          <cell r="J288">
            <v>2.040170119321417</v>
          </cell>
        </row>
        <row r="289">
          <cell r="H289">
            <v>2054</v>
          </cell>
          <cell r="I289">
            <v>1.9998895526624565</v>
          </cell>
          <cell r="J289">
            <v>2.0809735217078456</v>
          </cell>
        </row>
        <row r="290">
          <cell r="H290">
            <v>2055</v>
          </cell>
          <cell r="I290">
            <v>2.0398873437157055</v>
          </cell>
          <cell r="J290">
            <v>2.1225929921420024</v>
          </cell>
        </row>
        <row r="291">
          <cell r="H291">
            <v>2056</v>
          </cell>
          <cell r="I291">
            <v>2.0806850905900198</v>
          </cell>
          <cell r="J291">
            <v>2.1650448519848426</v>
          </cell>
        </row>
        <row r="292">
          <cell r="H292">
            <v>2057</v>
          </cell>
          <cell r="I292">
            <v>2.1222987924018204</v>
          </cell>
          <cell r="J292">
            <v>2.2083457490245402</v>
          </cell>
        </row>
        <row r="293">
          <cell r="H293">
            <v>2058</v>
          </cell>
          <cell r="I293">
            <v>2.1647447682498568</v>
          </cell>
          <cell r="J293">
            <v>2.2525126640050304</v>
          </cell>
        </row>
        <row r="294">
          <cell r="H294">
            <v>2059</v>
          </cell>
          <cell r="I294">
            <v>2.208039663614854</v>
          </cell>
          <cell r="J294">
            <v>2.2975629172851306</v>
          </cell>
        </row>
        <row r="295">
          <cell r="H295">
            <v>2060</v>
          </cell>
          <cell r="I295">
            <v>2.252200456887151</v>
          </cell>
          <cell r="J295">
            <v>2.3435141756308333</v>
          </cell>
        </row>
        <row r="296">
          <cell r="H296">
            <v>2061</v>
          </cell>
          <cell r="I296">
            <v>2.2972444660248938</v>
          </cell>
          <cell r="J296">
            <v>2.39038445914345</v>
          </cell>
        </row>
        <row r="297">
          <cell r="H297">
            <v>2062</v>
          </cell>
          <cell r="I297">
            <v>2.343189355345392</v>
          </cell>
          <cell r="J297">
            <v>2.4381921483263196</v>
          </cell>
        </row>
        <row r="298">
          <cell r="H298">
            <v>2063</v>
          </cell>
          <cell r="I298">
            <v>2.3900531424522997</v>
          </cell>
          <cell r="J298">
            <v>2.4869559912928456</v>
          </cell>
        </row>
        <row r="299">
          <cell r="H299">
            <v>2064</v>
          </cell>
          <cell r="I299">
            <v>2.4378542053013459</v>
          </cell>
          <cell r="J299">
            <v>2.5366951111187026</v>
          </cell>
        </row>
        <row r="300">
          <cell r="H300">
            <v>2065</v>
          </cell>
          <cell r="I300">
            <v>2.4866112894073726</v>
          </cell>
          <cell r="J300">
            <v>2.5874290133410764</v>
          </cell>
        </row>
        <row r="301">
          <cell r="H301">
            <v>2066</v>
          </cell>
          <cell r="I301">
            <v>2.53634351519552</v>
          </cell>
          <cell r="J301">
            <v>2.6391775936078985</v>
          </cell>
        </row>
        <row r="302">
          <cell r="H302">
            <v>2067</v>
          </cell>
          <cell r="I302">
            <v>2.5870703854994304</v>
          </cell>
          <cell r="J302">
            <v>2.6919611454800556</v>
          </cell>
        </row>
        <row r="303">
          <cell r="H303">
            <v>2068</v>
          </cell>
          <cell r="I303">
            <v>2.6388117932094191</v>
          </cell>
          <cell r="J303">
            <v>2.7458003683896575</v>
          </cell>
        </row>
        <row r="304">
          <cell r="H304">
            <v>2069</v>
          </cell>
          <cell r="I304">
            <v>2.6915880290736074</v>
          </cell>
          <cell r="J304">
            <v>2.80071637575745</v>
          </cell>
        </row>
        <row r="305">
          <cell r="H305">
            <v>2070</v>
          </cell>
          <cell r="I305">
            <v>2.7454197896550796</v>
          </cell>
          <cell r="J305">
            <v>2.856730703272599</v>
          </cell>
        </row>
        <row r="306">
          <cell r="H306">
            <v>2071</v>
          </cell>
          <cell r="I306">
            <v>2.8003281854481812</v>
          </cell>
          <cell r="J306">
            <v>2.9138653173380513</v>
          </cell>
        </row>
        <row r="307">
          <cell r="H307">
            <v>2072</v>
          </cell>
          <cell r="I307">
            <v>2.8563347491571447</v>
          </cell>
          <cell r="J307">
            <v>2.9721426236848121</v>
          </cell>
        </row>
        <row r="308">
          <cell r="H308">
            <v>2073</v>
          </cell>
          <cell r="I308">
            <v>2.9134614441402875</v>
          </cell>
          <cell r="J308">
            <v>3.0315854761585084</v>
          </cell>
        </row>
        <row r="309">
          <cell r="H309">
            <v>2074</v>
          </cell>
          <cell r="I309">
            <v>2.9717306730230932</v>
          </cell>
          <cell r="J309">
            <v>3.0922171856816782</v>
          </cell>
        </row>
        <row r="310">
          <cell r="H310">
            <v>2075</v>
          </cell>
          <cell r="I310">
            <v>3.0311652864835552</v>
          </cell>
          <cell r="J310">
            <v>3.154061529395312</v>
          </cell>
        </row>
        <row r="311">
          <cell r="H311">
            <v>2076</v>
          </cell>
          <cell r="I311">
            <v>3.0917885922132262</v>
          </cell>
          <cell r="J311">
            <v>3.2171427599832181</v>
          </cell>
        </row>
        <row r="312">
          <cell r="H312">
            <v>2077</v>
          </cell>
          <cell r="I312">
            <v>3.1536243640574906</v>
          </cell>
          <cell r="J312">
            <v>3.2814856151828824</v>
          </cell>
        </row>
        <row r="313">
          <cell r="H313">
            <v>2078</v>
          </cell>
          <cell r="I313">
            <v>3.2166968513386403</v>
          </cell>
          <cell r="J313">
            <v>3.3212505124944034</v>
          </cell>
        </row>
        <row r="314">
          <cell r="H314">
            <v>2079</v>
          </cell>
          <cell r="I314">
            <v>3.2810307883654133</v>
          </cell>
          <cell r="J314" t="str">
            <v>not applicable - not enough compound indicies</v>
          </cell>
        </row>
        <row r="315">
          <cell r="H315">
            <v>2080</v>
          </cell>
          <cell r="I315">
            <v>3.3466514041327216</v>
          </cell>
          <cell r="J315" t="str">
            <v>not applicable - not enough compound indicies</v>
          </cell>
        </row>
        <row r="316">
          <cell r="H316">
            <v>2081</v>
          </cell>
          <cell r="I316">
            <v>3.4135844322153761</v>
          </cell>
          <cell r="J316" t="str">
            <v>not applicable - not enough compound indicies</v>
          </cell>
        </row>
        <row r="317">
          <cell r="H317">
            <v>2082</v>
          </cell>
          <cell r="I317">
            <v>3.4818561208596837</v>
          </cell>
          <cell r="J317" t="str">
            <v>not applicable - not enough compound indicies</v>
          </cell>
        </row>
        <row r="318">
          <cell r="H318">
            <v>2083</v>
          </cell>
          <cell r="I318">
            <v>3.5514932432768775</v>
          </cell>
          <cell r="J318" t="str">
            <v>not applicable - not enough compound indicies</v>
          </cell>
        </row>
        <row r="319">
          <cell r="H319">
            <v>2084</v>
          </cell>
          <cell r="I319">
            <v>3.6225231081424152</v>
          </cell>
          <cell r="J319" t="str">
            <v>not applicable - not enough compound indicies</v>
          </cell>
        </row>
        <row r="325">
          <cell r="H325">
            <v>0</v>
          </cell>
          <cell r="I325" t="str">
            <v>n/a</v>
          </cell>
          <cell r="J325" t="str">
            <v>n/a</v>
          </cell>
        </row>
        <row r="326">
          <cell r="H326">
            <v>2012</v>
          </cell>
          <cell r="I326">
            <v>0.89487881506658262</v>
          </cell>
          <cell r="J326">
            <v>0.91552144014694836</v>
          </cell>
        </row>
        <row r="327">
          <cell r="H327">
            <v>2013</v>
          </cell>
          <cell r="I327">
            <v>0.90830199729258132</v>
          </cell>
          <cell r="J327">
            <v>0.93507412648575949</v>
          </cell>
        </row>
        <row r="328">
          <cell r="H328">
            <v>2014</v>
          </cell>
          <cell r="I328">
            <v>0.92192652725197</v>
          </cell>
          <cell r="J328">
            <v>0.94667781223681724</v>
          </cell>
        </row>
        <row r="329">
          <cell r="H329">
            <v>2015</v>
          </cell>
          <cell r="I329">
            <v>0.93206771905174157</v>
          </cell>
          <cell r="J329">
            <v>0.96117510444087073</v>
          </cell>
        </row>
        <row r="330">
          <cell r="H330">
            <v>2016</v>
          </cell>
          <cell r="I330">
            <v>0.94325253168036249</v>
          </cell>
          <cell r="J330">
            <v>0.97877785708175147</v>
          </cell>
        </row>
        <row r="331">
          <cell r="H331">
            <v>2017</v>
          </cell>
          <cell r="I331">
            <v>0.95928782471892859</v>
          </cell>
          <cell r="J331">
            <v>1.0000166156297083</v>
          </cell>
        </row>
        <row r="332">
          <cell r="H332">
            <v>2018</v>
          </cell>
          <cell r="I332">
            <v>0.98039215686274506</v>
          </cell>
          <cell r="J332">
            <v>1.0193399056185237</v>
          </cell>
        </row>
        <row r="333">
          <cell r="H333">
            <v>2019</v>
          </cell>
          <cell r="I333">
            <v>1</v>
          </cell>
          <cell r="J333">
            <v>1.0397267037308939</v>
          </cell>
        </row>
        <row r="334">
          <cell r="H334">
            <v>2020</v>
          </cell>
          <cell r="I334">
            <v>1.02</v>
          </cell>
          <cell r="J334">
            <v>1.0605212378055118</v>
          </cell>
        </row>
        <row r="335">
          <cell r="H335">
            <v>2021</v>
          </cell>
          <cell r="I335">
            <v>1.0404</v>
          </cell>
          <cell r="J335">
            <v>1.0817316625616222</v>
          </cell>
        </row>
        <row r="336">
          <cell r="H336">
            <v>2022</v>
          </cell>
          <cell r="I336">
            <v>1.0612079999999999</v>
          </cell>
          <cell r="J336">
            <v>1.1033662958128547</v>
          </cell>
        </row>
        <row r="337">
          <cell r="H337">
            <v>2023</v>
          </cell>
          <cell r="I337">
            <v>1.08243216</v>
          </cell>
          <cell r="J337">
            <v>1.1254336217291117</v>
          </cell>
        </row>
        <row r="338">
          <cell r="H338">
            <v>2024</v>
          </cell>
          <cell r="I338">
            <v>1.1040808032</v>
          </cell>
          <cell r="J338">
            <v>1.1479422941636941</v>
          </cell>
        </row>
        <row r="339">
          <cell r="H339">
            <v>2025</v>
          </cell>
          <cell r="I339">
            <v>1.1261624192640001</v>
          </cell>
          <cell r="J339">
            <v>1.1709011400469678</v>
          </cell>
        </row>
        <row r="340">
          <cell r="H340">
            <v>2026</v>
          </cell>
          <cell r="I340">
            <v>1.14868566764928</v>
          </cell>
          <cell r="J340">
            <v>1.1943191628479073</v>
          </cell>
        </row>
        <row r="341">
          <cell r="H341">
            <v>2027</v>
          </cell>
          <cell r="I341">
            <v>1.1716593810022657</v>
          </cell>
          <cell r="J341">
            <v>1.2182055461048655</v>
          </cell>
        </row>
        <row r="342">
          <cell r="H342">
            <v>2028</v>
          </cell>
          <cell r="I342">
            <v>1.1950925686223111</v>
          </cell>
          <cell r="J342">
            <v>1.2425696570269629</v>
          </cell>
        </row>
        <row r="343">
          <cell r="H343">
            <v>2029</v>
          </cell>
          <cell r="I343">
            <v>1.2189944199947573</v>
          </cell>
          <cell r="J343">
            <v>1.2674210501675018</v>
          </cell>
        </row>
        <row r="344">
          <cell r="H344">
            <v>2030</v>
          </cell>
          <cell r="I344">
            <v>1.2433743083946525</v>
          </cell>
          <cell r="J344">
            <v>1.2927694711708519</v>
          </cell>
        </row>
        <row r="345">
          <cell r="H345">
            <v>2031</v>
          </cell>
          <cell r="I345">
            <v>1.2682417945625455</v>
          </cell>
          <cell r="J345">
            <v>1.3186248605942692</v>
          </cell>
        </row>
        <row r="346">
          <cell r="H346">
            <v>2032</v>
          </cell>
          <cell r="I346">
            <v>1.2936066304537963</v>
          </cell>
          <cell r="J346">
            <v>1.3449973578061547</v>
          </cell>
        </row>
        <row r="347">
          <cell r="H347">
            <v>2033</v>
          </cell>
          <cell r="I347">
            <v>1.3194787630628724</v>
          </cell>
          <cell r="J347">
            <v>1.371897304962278</v>
          </cell>
        </row>
        <row r="348">
          <cell r="H348">
            <v>2034</v>
          </cell>
          <cell r="I348">
            <v>1.3458683383241299</v>
          </cell>
          <cell r="J348">
            <v>1.3993352510615233</v>
          </cell>
        </row>
        <row r="349">
          <cell r="H349">
            <v>2035</v>
          </cell>
          <cell r="I349">
            <v>1.3727857050906125</v>
          </cell>
          <cell r="J349">
            <v>1.4273219560827539</v>
          </cell>
        </row>
        <row r="350">
          <cell r="H350">
            <v>2036</v>
          </cell>
          <cell r="I350">
            <v>1.4002414191924248</v>
          </cell>
          <cell r="J350">
            <v>1.4558683952044089</v>
          </cell>
        </row>
        <row r="351">
          <cell r="H351">
            <v>2037</v>
          </cell>
          <cell r="I351">
            <v>1.4282462475762734</v>
          </cell>
          <cell r="J351">
            <v>1.4849857631084973</v>
          </cell>
        </row>
        <row r="352">
          <cell r="H352">
            <v>2038</v>
          </cell>
          <cell r="I352">
            <v>1.4568111725277988</v>
          </cell>
          <cell r="J352">
            <v>1.5146854783706674</v>
          </cell>
        </row>
        <row r="353">
          <cell r="H353">
            <v>2039</v>
          </cell>
          <cell r="I353">
            <v>1.4859473959783549</v>
          </cell>
          <cell r="J353">
            <v>1.5449791879380805</v>
          </cell>
        </row>
        <row r="354">
          <cell r="H354">
            <v>2040</v>
          </cell>
          <cell r="I354">
            <v>1.5156663438979221</v>
          </cell>
          <cell r="J354">
            <v>1.5758787716968423</v>
          </cell>
        </row>
        <row r="355">
          <cell r="H355">
            <v>2041</v>
          </cell>
          <cell r="I355">
            <v>1.5459796707758806</v>
          </cell>
          <cell r="J355">
            <v>1.6073963471307791</v>
          </cell>
        </row>
        <row r="356">
          <cell r="H356">
            <v>2042</v>
          </cell>
          <cell r="I356">
            <v>1.5768992641913981</v>
          </cell>
          <cell r="J356">
            <v>1.6395442740733948</v>
          </cell>
        </row>
        <row r="357">
          <cell r="H357">
            <v>2043</v>
          </cell>
          <cell r="I357">
            <v>1.6084372494752261</v>
          </cell>
          <cell r="J357">
            <v>1.6723351595548628</v>
          </cell>
        </row>
        <row r="358">
          <cell r="H358">
            <v>2044</v>
          </cell>
          <cell r="I358">
            <v>1.6406059944647307</v>
          </cell>
          <cell r="J358">
            <v>1.7057818627459598</v>
          </cell>
        </row>
        <row r="359">
          <cell r="H359">
            <v>2045</v>
          </cell>
          <cell r="I359">
            <v>1.6734181143540252</v>
          </cell>
          <cell r="J359">
            <v>1.7398975000008789</v>
          </cell>
        </row>
        <row r="360">
          <cell r="H360">
            <v>2046</v>
          </cell>
          <cell r="I360">
            <v>1.7068864766411058</v>
          </cell>
          <cell r="J360">
            <v>1.7746954500008967</v>
          </cell>
        </row>
        <row r="361">
          <cell r="H361">
            <v>2047</v>
          </cell>
          <cell r="I361">
            <v>1.7410242061739281</v>
          </cell>
          <cell r="J361">
            <v>1.8101893590009148</v>
          </cell>
        </row>
        <row r="362">
          <cell r="H362">
            <v>2048</v>
          </cell>
          <cell r="I362">
            <v>1.7758446902974065</v>
          </cell>
          <cell r="J362">
            <v>1.8463931461809331</v>
          </cell>
        </row>
        <row r="363">
          <cell r="H363">
            <v>2049</v>
          </cell>
          <cell r="I363">
            <v>1.8113615841033548</v>
          </cell>
          <cell r="J363">
            <v>1.8833210091045516</v>
          </cell>
        </row>
        <row r="364">
          <cell r="H364">
            <v>2050</v>
          </cell>
          <cell r="I364">
            <v>1.8475888157854219</v>
          </cell>
          <cell r="J364">
            <v>1.9209874292866429</v>
          </cell>
        </row>
        <row r="365">
          <cell r="H365">
            <v>2051</v>
          </cell>
          <cell r="I365">
            <v>1.8845405921011305</v>
          </cell>
          <cell r="J365">
            <v>1.9594071778723756</v>
          </cell>
        </row>
        <row r="366">
          <cell r="H366">
            <v>2052</v>
          </cell>
          <cell r="I366">
            <v>1.9222314039431532</v>
          </cell>
          <cell r="J366">
            <v>1.9985953214298231</v>
          </cell>
        </row>
        <row r="367">
          <cell r="H367">
            <v>2053</v>
          </cell>
          <cell r="I367">
            <v>1.9606760320220162</v>
          </cell>
          <cell r="J367">
            <v>2.0385672278584193</v>
          </cell>
        </row>
        <row r="368">
          <cell r="H368">
            <v>2054</v>
          </cell>
          <cell r="I368">
            <v>1.9998895526624565</v>
          </cell>
          <cell r="J368">
            <v>2.0793385724155886</v>
          </cell>
        </row>
        <row r="369">
          <cell r="H369">
            <v>2055</v>
          </cell>
          <cell r="I369">
            <v>2.0398873437157055</v>
          </cell>
          <cell r="J369">
            <v>2.1209253438639002</v>
          </cell>
        </row>
        <row r="370">
          <cell r="H370">
            <v>2056</v>
          </cell>
          <cell r="I370">
            <v>2.0806850905900198</v>
          </cell>
          <cell r="J370">
            <v>2.1633438507411782</v>
          </cell>
        </row>
        <row r="371">
          <cell r="H371">
            <v>2057</v>
          </cell>
          <cell r="I371">
            <v>2.1222987924018204</v>
          </cell>
          <cell r="J371">
            <v>2.2066107277560021</v>
          </cell>
        </row>
        <row r="372">
          <cell r="H372">
            <v>2058</v>
          </cell>
          <cell r="I372">
            <v>2.1647447682498568</v>
          </cell>
          <cell r="J372">
            <v>2.2507429423111218</v>
          </cell>
        </row>
        <row r="373">
          <cell r="H373">
            <v>2059</v>
          </cell>
          <cell r="I373">
            <v>2.208039663614854</v>
          </cell>
          <cell r="J373">
            <v>2.2957578011573441</v>
          </cell>
        </row>
        <row r="374">
          <cell r="H374">
            <v>2060</v>
          </cell>
          <cell r="I374">
            <v>2.252200456887151</v>
          </cell>
          <cell r="J374">
            <v>2.3416729571804917</v>
          </cell>
        </row>
        <row r="375">
          <cell r="H375">
            <v>2061</v>
          </cell>
          <cell r="I375">
            <v>2.2972444660248938</v>
          </cell>
          <cell r="J375">
            <v>2.3885064163241005</v>
          </cell>
        </row>
        <row r="376">
          <cell r="H376">
            <v>2062</v>
          </cell>
          <cell r="I376">
            <v>2.343189355345392</v>
          </cell>
          <cell r="J376">
            <v>2.4362765446505832</v>
          </cell>
        </row>
        <row r="377">
          <cell r="H377">
            <v>2063</v>
          </cell>
          <cell r="I377">
            <v>2.3900531424522997</v>
          </cell>
          <cell r="J377">
            <v>2.4850020755435946</v>
          </cell>
        </row>
        <row r="378">
          <cell r="H378">
            <v>2064</v>
          </cell>
          <cell r="I378">
            <v>2.4378542053013459</v>
          </cell>
          <cell r="J378">
            <v>2.5347021170544668</v>
          </cell>
        </row>
        <row r="379">
          <cell r="H379">
            <v>2065</v>
          </cell>
          <cell r="I379">
            <v>2.4866112894073726</v>
          </cell>
          <cell r="J379">
            <v>2.5853961593955561</v>
          </cell>
        </row>
        <row r="380">
          <cell r="H380">
            <v>2066</v>
          </cell>
          <cell r="I380">
            <v>2.53634351519552</v>
          </cell>
          <cell r="J380">
            <v>2.6371040825834671</v>
          </cell>
        </row>
        <row r="381">
          <cell r="H381">
            <v>2067</v>
          </cell>
          <cell r="I381">
            <v>2.5870703854994304</v>
          </cell>
          <cell r="J381">
            <v>2.6898461642351368</v>
          </cell>
        </row>
        <row r="382">
          <cell r="H382">
            <v>2068</v>
          </cell>
          <cell r="I382">
            <v>2.6388117932094191</v>
          </cell>
          <cell r="J382">
            <v>2.7436430875198381</v>
          </cell>
        </row>
        <row r="383">
          <cell r="H383">
            <v>2069</v>
          </cell>
          <cell r="I383">
            <v>2.6915880290736074</v>
          </cell>
          <cell r="J383">
            <v>2.7985159492702349</v>
          </cell>
        </row>
        <row r="384">
          <cell r="H384">
            <v>2070</v>
          </cell>
          <cell r="I384">
            <v>2.7454197896550796</v>
          </cell>
          <cell r="J384">
            <v>2.8544862682556404</v>
          </cell>
        </row>
        <row r="385">
          <cell r="H385">
            <v>2071</v>
          </cell>
          <cell r="I385">
            <v>2.8003281854481812</v>
          </cell>
          <cell r="J385">
            <v>2.9115759936207524</v>
          </cell>
        </row>
        <row r="386">
          <cell r="H386">
            <v>2072</v>
          </cell>
          <cell r="I386">
            <v>2.8563347491571447</v>
          </cell>
          <cell r="J386">
            <v>2.9698075134931683</v>
          </cell>
        </row>
        <row r="387">
          <cell r="H387">
            <v>2073</v>
          </cell>
          <cell r="I387">
            <v>2.9134614441402875</v>
          </cell>
          <cell r="J387">
            <v>3.0292036637630315</v>
          </cell>
        </row>
        <row r="388">
          <cell r="H388">
            <v>2074</v>
          </cell>
          <cell r="I388">
            <v>2.9717306730230932</v>
          </cell>
          <cell r="J388">
            <v>3.0897877370382925</v>
          </cell>
        </row>
        <row r="389">
          <cell r="H389">
            <v>2075</v>
          </cell>
          <cell r="I389">
            <v>3.0311652864835552</v>
          </cell>
          <cell r="J389">
            <v>3.1515834917790575</v>
          </cell>
        </row>
        <row r="390">
          <cell r="H390">
            <v>2076</v>
          </cell>
          <cell r="I390">
            <v>3.0917885922132262</v>
          </cell>
          <cell r="J390">
            <v>3.2146151616146392</v>
          </cell>
        </row>
        <row r="391">
          <cell r="H391">
            <v>2077</v>
          </cell>
          <cell r="I391">
            <v>3.1536243640574906</v>
          </cell>
          <cell r="J391">
            <v>3.2789074648469319</v>
          </cell>
        </row>
        <row r="392">
          <cell r="H392">
            <v>2078</v>
          </cell>
          <cell r="I392">
            <v>3.2166968513386403</v>
          </cell>
          <cell r="J392">
            <v>3.3038409048705124</v>
          </cell>
        </row>
        <row r="393">
          <cell r="H393">
            <v>2079</v>
          </cell>
          <cell r="I393">
            <v>3.2810307883654133</v>
          </cell>
          <cell r="J393" t="str">
            <v>not applicable - not enough compound indicies</v>
          </cell>
        </row>
        <row r="394">
          <cell r="H394">
            <v>2080</v>
          </cell>
          <cell r="I394">
            <v>3.3466514041327216</v>
          </cell>
          <cell r="J394" t="str">
            <v>not applicable - not enough compound indicies</v>
          </cell>
        </row>
        <row r="395">
          <cell r="H395">
            <v>2081</v>
          </cell>
          <cell r="I395">
            <v>3.4135844322153761</v>
          </cell>
          <cell r="J395" t="str">
            <v>not applicable - not enough compound indicies</v>
          </cell>
        </row>
        <row r="396">
          <cell r="H396">
            <v>2082</v>
          </cell>
          <cell r="I396">
            <v>3.4818561208596837</v>
          </cell>
          <cell r="J396" t="str">
            <v>not applicable - not enough compound indicies</v>
          </cell>
        </row>
        <row r="397">
          <cell r="H397">
            <v>2083</v>
          </cell>
          <cell r="I397">
            <v>3.5514932432768775</v>
          </cell>
          <cell r="J397" t="str">
            <v>not applicable - not enough compound indicies</v>
          </cell>
        </row>
        <row r="398">
          <cell r="H398">
            <v>2084</v>
          </cell>
          <cell r="I398">
            <v>3.6225231081424152</v>
          </cell>
          <cell r="J398" t="str">
            <v>not applicable - not enough compound indicies</v>
          </cell>
        </row>
        <row r="404">
          <cell r="H404">
            <v>0</v>
          </cell>
          <cell r="I404" t="str">
            <v>n/a</v>
          </cell>
          <cell r="J404" t="str">
            <v>n/a</v>
          </cell>
        </row>
        <row r="405">
          <cell r="H405">
            <v>2012</v>
          </cell>
          <cell r="I405">
            <v>0.89487881506658262</v>
          </cell>
          <cell r="J405">
            <v>0.91270370736329731</v>
          </cell>
        </row>
        <row r="406">
          <cell r="H406">
            <v>2013</v>
          </cell>
          <cell r="I406">
            <v>0.90830199729258132</v>
          </cell>
          <cell r="J406">
            <v>0.93118077554708634</v>
          </cell>
        </row>
        <row r="407">
          <cell r="H407">
            <v>2014</v>
          </cell>
          <cell r="I407">
            <v>0.92192652725197</v>
          </cell>
          <cell r="J407">
            <v>0.94697293641578484</v>
          </cell>
        </row>
        <row r="408">
          <cell r="H408">
            <v>2015</v>
          </cell>
          <cell r="I408">
            <v>0.93206771905174157</v>
          </cell>
          <cell r="J408">
            <v>0.96023698735150009</v>
          </cell>
        </row>
        <row r="409">
          <cell r="H409">
            <v>2016</v>
          </cell>
          <cell r="I409">
            <v>0.94325253168036249</v>
          </cell>
          <cell r="J409">
            <v>0.97343016022794038</v>
          </cell>
        </row>
        <row r="410">
          <cell r="H410">
            <v>2017</v>
          </cell>
          <cell r="I410">
            <v>0.95928782471892859</v>
          </cell>
          <cell r="J410">
            <v>0.99337943171710785</v>
          </cell>
        </row>
        <row r="411">
          <cell r="H411">
            <v>2018</v>
          </cell>
          <cell r="I411">
            <v>0.98039215686274506</v>
          </cell>
          <cell r="J411">
            <v>1.0130866189854242</v>
          </cell>
        </row>
        <row r="412">
          <cell r="H412">
            <v>2019</v>
          </cell>
          <cell r="I412">
            <v>1</v>
          </cell>
          <cell r="J412">
            <v>1.0333483513651327</v>
          </cell>
        </row>
        <row r="413">
          <cell r="H413">
            <v>2020</v>
          </cell>
          <cell r="I413">
            <v>1.02</v>
          </cell>
          <cell r="J413">
            <v>1.0540153183924352</v>
          </cell>
        </row>
        <row r="414">
          <cell r="H414">
            <v>2021</v>
          </cell>
          <cell r="I414">
            <v>1.0404</v>
          </cell>
          <cell r="J414">
            <v>1.0750956247602843</v>
          </cell>
        </row>
        <row r="415">
          <cell r="H415">
            <v>2022</v>
          </cell>
          <cell r="I415">
            <v>1.0612079999999999</v>
          </cell>
          <cell r="J415">
            <v>1.0965975372554899</v>
          </cell>
        </row>
        <row r="416">
          <cell r="H416">
            <v>2023</v>
          </cell>
          <cell r="I416">
            <v>1.08243216</v>
          </cell>
          <cell r="J416">
            <v>1.1185294880005998</v>
          </cell>
        </row>
        <row r="417">
          <cell r="H417">
            <v>2024</v>
          </cell>
          <cell r="I417">
            <v>1.1040808032</v>
          </cell>
          <cell r="J417">
            <v>1.1409000777606118</v>
          </cell>
        </row>
        <row r="418">
          <cell r="H418">
            <v>2025</v>
          </cell>
          <cell r="I418">
            <v>1.1261624192640001</v>
          </cell>
          <cell r="J418">
            <v>1.1637180793158239</v>
          </cell>
        </row>
        <row r="419">
          <cell r="H419">
            <v>2026</v>
          </cell>
          <cell r="I419">
            <v>1.14868566764928</v>
          </cell>
          <cell r="J419">
            <v>1.1869924409021402</v>
          </cell>
        </row>
        <row r="420">
          <cell r="H420">
            <v>2027</v>
          </cell>
          <cell r="I420">
            <v>1.1716593810022657</v>
          </cell>
          <cell r="J420">
            <v>1.2107322897201833</v>
          </cell>
        </row>
        <row r="421">
          <cell r="H421">
            <v>2028</v>
          </cell>
          <cell r="I421">
            <v>1.1950925686223111</v>
          </cell>
          <cell r="J421">
            <v>1.234946935514587</v>
          </cell>
        </row>
        <row r="422">
          <cell r="H422">
            <v>2029</v>
          </cell>
          <cell r="I422">
            <v>1.2189944199947573</v>
          </cell>
          <cell r="J422">
            <v>1.2596458742248784</v>
          </cell>
        </row>
        <row r="423">
          <cell r="H423">
            <v>2030</v>
          </cell>
          <cell r="I423">
            <v>1.2433743083946525</v>
          </cell>
          <cell r="J423">
            <v>1.284838791709376</v>
          </cell>
        </row>
        <row r="424">
          <cell r="H424">
            <v>2031</v>
          </cell>
          <cell r="I424">
            <v>1.2682417945625455</v>
          </cell>
          <cell r="J424">
            <v>1.3105355675435639</v>
          </cell>
        </row>
        <row r="425">
          <cell r="H425">
            <v>2032</v>
          </cell>
          <cell r="I425">
            <v>1.2936066304537963</v>
          </cell>
          <cell r="J425">
            <v>1.3367462788944353</v>
          </cell>
        </row>
        <row r="426">
          <cell r="H426">
            <v>2033</v>
          </cell>
          <cell r="I426">
            <v>1.3194787630628724</v>
          </cell>
          <cell r="J426">
            <v>1.3634812044723241</v>
          </cell>
        </row>
        <row r="427">
          <cell r="H427">
            <v>2034</v>
          </cell>
          <cell r="I427">
            <v>1.3458683383241299</v>
          </cell>
          <cell r="J427">
            <v>1.3907508285617702</v>
          </cell>
        </row>
        <row r="428">
          <cell r="H428">
            <v>2035</v>
          </cell>
          <cell r="I428">
            <v>1.3727857050906125</v>
          </cell>
          <cell r="J428">
            <v>1.4185658451330059</v>
          </cell>
        </row>
        <row r="429">
          <cell r="H429">
            <v>2036</v>
          </cell>
          <cell r="I429">
            <v>1.4002414191924248</v>
          </cell>
          <cell r="J429">
            <v>1.4469371620356661</v>
          </cell>
        </row>
        <row r="430">
          <cell r="H430">
            <v>2037</v>
          </cell>
          <cell r="I430">
            <v>1.4282462475762734</v>
          </cell>
          <cell r="J430">
            <v>1.4758759052763797</v>
          </cell>
        </row>
        <row r="431">
          <cell r="H431">
            <v>2038</v>
          </cell>
          <cell r="I431">
            <v>1.4568111725277988</v>
          </cell>
          <cell r="J431">
            <v>1.5053934233819073</v>
          </cell>
        </row>
        <row r="432">
          <cell r="H432">
            <v>2039</v>
          </cell>
          <cell r="I432">
            <v>1.4859473959783549</v>
          </cell>
          <cell r="J432">
            <v>1.535501291849545</v>
          </cell>
        </row>
        <row r="433">
          <cell r="H433">
            <v>2040</v>
          </cell>
          <cell r="I433">
            <v>1.5156663438979221</v>
          </cell>
          <cell r="J433">
            <v>1.5662113176865362</v>
          </cell>
        </row>
        <row r="434">
          <cell r="H434">
            <v>2041</v>
          </cell>
          <cell r="I434">
            <v>1.5459796707758806</v>
          </cell>
          <cell r="J434">
            <v>1.597535544040267</v>
          </cell>
        </row>
        <row r="435">
          <cell r="H435">
            <v>2042</v>
          </cell>
          <cell r="I435">
            <v>1.5768992641913981</v>
          </cell>
          <cell r="J435">
            <v>1.6294862549210722</v>
          </cell>
        </row>
        <row r="436">
          <cell r="H436">
            <v>2043</v>
          </cell>
          <cell r="I436">
            <v>1.6084372494752261</v>
          </cell>
          <cell r="J436">
            <v>1.6620759800194937</v>
          </cell>
        </row>
        <row r="437">
          <cell r="H437">
            <v>2044</v>
          </cell>
          <cell r="I437">
            <v>1.6406059944647307</v>
          </cell>
          <cell r="J437">
            <v>1.6953174996198836</v>
          </cell>
        </row>
        <row r="438">
          <cell r="H438">
            <v>2045</v>
          </cell>
          <cell r="I438">
            <v>1.6734181143540252</v>
          </cell>
          <cell r="J438">
            <v>1.7292238496122816</v>
          </cell>
        </row>
        <row r="439">
          <cell r="H439">
            <v>2046</v>
          </cell>
          <cell r="I439">
            <v>1.7068864766411058</v>
          </cell>
          <cell r="J439">
            <v>1.763808326604527</v>
          </cell>
        </row>
        <row r="440">
          <cell r="H440">
            <v>2047</v>
          </cell>
          <cell r="I440">
            <v>1.7410242061739281</v>
          </cell>
          <cell r="J440">
            <v>1.7990844931366179</v>
          </cell>
        </row>
        <row r="441">
          <cell r="H441">
            <v>2048</v>
          </cell>
          <cell r="I441">
            <v>1.7758446902974065</v>
          </cell>
          <cell r="J441">
            <v>1.8350661829993498</v>
          </cell>
        </row>
        <row r="442">
          <cell r="H442">
            <v>2049</v>
          </cell>
          <cell r="I442">
            <v>1.8113615841033548</v>
          </cell>
          <cell r="J442">
            <v>1.8717675066593371</v>
          </cell>
        </row>
        <row r="443">
          <cell r="H443">
            <v>2050</v>
          </cell>
          <cell r="I443">
            <v>1.8475888157854219</v>
          </cell>
          <cell r="J443">
            <v>1.9092028567925241</v>
          </cell>
        </row>
        <row r="444">
          <cell r="H444">
            <v>2051</v>
          </cell>
          <cell r="I444">
            <v>1.8845405921011305</v>
          </cell>
          <cell r="J444">
            <v>1.9473869139283746</v>
          </cell>
        </row>
        <row r="445">
          <cell r="H445">
            <v>2052</v>
          </cell>
          <cell r="I445">
            <v>1.9222314039431532</v>
          </cell>
          <cell r="J445">
            <v>1.9863346522069421</v>
          </cell>
        </row>
        <row r="446">
          <cell r="H446">
            <v>2053</v>
          </cell>
          <cell r="I446">
            <v>1.9606760320220162</v>
          </cell>
          <cell r="J446">
            <v>2.0260613452510805</v>
          </cell>
        </row>
        <row r="447">
          <cell r="H447">
            <v>2054</v>
          </cell>
          <cell r="I447">
            <v>1.9998895526624565</v>
          </cell>
          <cell r="J447">
            <v>2.0665825721561015</v>
          </cell>
        </row>
        <row r="448">
          <cell r="H448">
            <v>2055</v>
          </cell>
          <cell r="I448">
            <v>2.0398873437157055</v>
          </cell>
          <cell r="J448">
            <v>2.1079142235992241</v>
          </cell>
        </row>
        <row r="449">
          <cell r="H449">
            <v>2056</v>
          </cell>
          <cell r="I449">
            <v>2.0806850905900198</v>
          </cell>
          <cell r="J449">
            <v>2.1500725080712089</v>
          </cell>
        </row>
        <row r="450">
          <cell r="H450">
            <v>2057</v>
          </cell>
          <cell r="I450">
            <v>2.1222987924018204</v>
          </cell>
          <cell r="J450">
            <v>2.1930739582326333</v>
          </cell>
        </row>
        <row r="451">
          <cell r="H451">
            <v>2058</v>
          </cell>
          <cell r="I451">
            <v>2.1647447682498568</v>
          </cell>
          <cell r="J451">
            <v>2.2369354373972863</v>
          </cell>
        </row>
        <row r="452">
          <cell r="H452">
            <v>2059</v>
          </cell>
          <cell r="I452">
            <v>2.208039663614854</v>
          </cell>
          <cell r="J452">
            <v>2.2816741461452321</v>
          </cell>
        </row>
        <row r="453">
          <cell r="H453">
            <v>2060</v>
          </cell>
          <cell r="I453">
            <v>2.252200456887151</v>
          </cell>
          <cell r="J453">
            <v>2.3273076290681365</v>
          </cell>
        </row>
        <row r="454">
          <cell r="H454">
            <v>2061</v>
          </cell>
          <cell r="I454">
            <v>2.2972444660248938</v>
          </cell>
          <cell r="J454">
            <v>2.3738537816494989</v>
          </cell>
        </row>
        <row r="455">
          <cell r="H455">
            <v>2062</v>
          </cell>
          <cell r="I455">
            <v>2.343189355345392</v>
          </cell>
          <cell r="J455">
            <v>2.4213308572824888</v>
          </cell>
        </row>
        <row r="456">
          <cell r="H456">
            <v>2063</v>
          </cell>
          <cell r="I456">
            <v>2.3900531424522997</v>
          </cell>
          <cell r="J456">
            <v>2.469757474428139</v>
          </cell>
        </row>
        <row r="457">
          <cell r="H457">
            <v>2064</v>
          </cell>
          <cell r="I457">
            <v>2.4378542053013459</v>
          </cell>
          <cell r="J457">
            <v>2.5191526239167019</v>
          </cell>
        </row>
        <row r="458">
          <cell r="H458">
            <v>2065</v>
          </cell>
          <cell r="I458">
            <v>2.4866112894073726</v>
          </cell>
          <cell r="J458">
            <v>2.5695356763950357</v>
          </cell>
        </row>
        <row r="459">
          <cell r="H459">
            <v>2066</v>
          </cell>
          <cell r="I459">
            <v>2.53634351519552</v>
          </cell>
          <cell r="J459">
            <v>2.6209263899229369</v>
          </cell>
        </row>
        <row r="460">
          <cell r="H460">
            <v>2067</v>
          </cell>
          <cell r="I460">
            <v>2.5870703854994304</v>
          </cell>
          <cell r="J460">
            <v>2.6733449177213955</v>
          </cell>
        </row>
        <row r="461">
          <cell r="H461">
            <v>2068</v>
          </cell>
          <cell r="I461">
            <v>2.6388117932094191</v>
          </cell>
          <cell r="J461">
            <v>2.7268118160758226</v>
          </cell>
        </row>
        <row r="462">
          <cell r="H462">
            <v>2069</v>
          </cell>
          <cell r="I462">
            <v>2.6915880290736074</v>
          </cell>
          <cell r="J462">
            <v>2.7813480523973393</v>
          </cell>
        </row>
        <row r="463">
          <cell r="H463">
            <v>2070</v>
          </cell>
          <cell r="I463">
            <v>2.7454197896550796</v>
          </cell>
          <cell r="J463">
            <v>2.8369750134452865</v>
          </cell>
        </row>
        <row r="464">
          <cell r="H464">
            <v>2071</v>
          </cell>
          <cell r="I464">
            <v>2.8003281854481812</v>
          </cell>
          <cell r="J464">
            <v>2.8937145137141922</v>
          </cell>
        </row>
        <row r="465">
          <cell r="H465">
            <v>2072</v>
          </cell>
          <cell r="I465">
            <v>2.8563347491571447</v>
          </cell>
          <cell r="J465">
            <v>2.9515888039884755</v>
          </cell>
        </row>
        <row r="466">
          <cell r="H466">
            <v>2073</v>
          </cell>
          <cell r="I466">
            <v>2.9134614441402875</v>
          </cell>
          <cell r="J466">
            <v>3.0106205800682448</v>
          </cell>
        </row>
        <row r="467">
          <cell r="H467">
            <v>2074</v>
          </cell>
          <cell r="I467">
            <v>2.9717306730230932</v>
          </cell>
          <cell r="J467">
            <v>3.0708329916696093</v>
          </cell>
        </row>
        <row r="468">
          <cell r="H468">
            <v>2075</v>
          </cell>
          <cell r="I468">
            <v>3.0311652864835552</v>
          </cell>
          <cell r="J468">
            <v>3.1322496515030016</v>
          </cell>
        </row>
        <row r="469">
          <cell r="H469">
            <v>2076</v>
          </cell>
          <cell r="I469">
            <v>3.0917885922132262</v>
          </cell>
          <cell r="J469">
            <v>3.1948946445330617</v>
          </cell>
        </row>
        <row r="470">
          <cell r="H470">
            <v>2077</v>
          </cell>
          <cell r="I470">
            <v>3.1536243640574906</v>
          </cell>
          <cell r="J470">
            <v>3.2587925374237234</v>
          </cell>
        </row>
        <row r="471">
          <cell r="H471">
            <v>2078</v>
          </cell>
          <cell r="I471">
            <v>3.2166968513386403</v>
          </cell>
          <cell r="J471">
            <v>3.2870186524691452</v>
          </cell>
        </row>
        <row r="472">
          <cell r="H472">
            <v>2079</v>
          </cell>
          <cell r="I472">
            <v>3.2810307883654133</v>
          </cell>
          <cell r="J472" t="str">
            <v>not applicable - not enough compound indicies</v>
          </cell>
        </row>
        <row r="473">
          <cell r="H473">
            <v>2080</v>
          </cell>
          <cell r="I473">
            <v>3.3466514041327216</v>
          </cell>
          <cell r="J473" t="str">
            <v>not applicable - not enough compound indicies</v>
          </cell>
        </row>
        <row r="474">
          <cell r="H474">
            <v>2081</v>
          </cell>
          <cell r="I474">
            <v>3.4135844322153761</v>
          </cell>
          <cell r="J474" t="str">
            <v>not applicable - not enough compound indicies</v>
          </cell>
        </row>
        <row r="475">
          <cell r="H475">
            <v>2082</v>
          </cell>
          <cell r="I475">
            <v>3.4818561208596837</v>
          </cell>
          <cell r="J475" t="str">
            <v>not applicable - not enough compound indicies</v>
          </cell>
        </row>
        <row r="476">
          <cell r="H476">
            <v>2083</v>
          </cell>
          <cell r="I476">
            <v>3.5514932432768775</v>
          </cell>
          <cell r="J476" t="str">
            <v>not applicable - not enough compound indicies</v>
          </cell>
        </row>
        <row r="477">
          <cell r="H477">
            <v>2084</v>
          </cell>
          <cell r="I477">
            <v>3.6225231081424152</v>
          </cell>
          <cell r="J477" t="str">
            <v>not applicable - not enough compound indicies</v>
          </cell>
        </row>
        <row r="483">
          <cell r="H483">
            <v>0</v>
          </cell>
          <cell r="I483" t="str">
            <v>n/a</v>
          </cell>
          <cell r="J483" t="str">
            <v>n/a</v>
          </cell>
        </row>
        <row r="484">
          <cell r="H484">
            <v>2012</v>
          </cell>
          <cell r="I484">
            <v>0.89487881506658262</v>
          </cell>
          <cell r="J484">
            <v>0.90629843486073824</v>
          </cell>
        </row>
        <row r="485">
          <cell r="H485">
            <v>2013</v>
          </cell>
          <cell r="I485">
            <v>0.90830199729258132</v>
          </cell>
          <cell r="J485">
            <v>0.91879305130209621</v>
          </cell>
        </row>
        <row r="486">
          <cell r="H486">
            <v>2014</v>
          </cell>
          <cell r="I486">
            <v>0.92192652725197</v>
          </cell>
          <cell r="J486">
            <v>0.93326447317250072</v>
          </cell>
        </row>
        <row r="487">
          <cell r="H487">
            <v>2015</v>
          </cell>
          <cell r="I487">
            <v>0.93206771905174157</v>
          </cell>
          <cell r="J487">
            <v>0.9426938446391</v>
          </cell>
        </row>
        <row r="488">
          <cell r="H488">
            <v>2016</v>
          </cell>
          <cell r="I488">
            <v>0.94325253168036249</v>
          </cell>
          <cell r="J488">
            <v>0.95983126187093681</v>
          </cell>
        </row>
        <row r="489">
          <cell r="H489">
            <v>2017</v>
          </cell>
          <cell r="I489">
            <v>0.95928782471892859</v>
          </cell>
          <cell r="J489">
            <v>0.9759891774559688</v>
          </cell>
        </row>
        <row r="490">
          <cell r="H490">
            <v>2018</v>
          </cell>
          <cell r="I490">
            <v>0.98039215686274506</v>
          </cell>
          <cell r="J490">
            <v>0.99558745665882364</v>
          </cell>
        </row>
        <row r="491">
          <cell r="H491">
            <v>2019</v>
          </cell>
          <cell r="I491">
            <v>1</v>
          </cell>
          <cell r="J491">
            <v>1.0191479940799999</v>
          </cell>
        </row>
        <row r="492">
          <cell r="H492">
            <v>2020</v>
          </cell>
          <cell r="I492">
            <v>1.02</v>
          </cell>
          <cell r="J492">
            <v>1.03753480296192</v>
          </cell>
        </row>
        <row r="493">
          <cell r="H493">
            <v>2021</v>
          </cell>
          <cell r="I493">
            <v>1.0404</v>
          </cell>
          <cell r="J493">
            <v>1.0582854990211583</v>
          </cell>
        </row>
        <row r="494">
          <cell r="H494">
            <v>2022</v>
          </cell>
          <cell r="I494">
            <v>1.0612079999999999</v>
          </cell>
          <cell r="J494">
            <v>1.0794512090015815</v>
          </cell>
        </row>
        <row r="495">
          <cell r="H495">
            <v>2023</v>
          </cell>
          <cell r="I495">
            <v>1.08243216</v>
          </cell>
          <cell r="J495">
            <v>1.1010402331816134</v>
          </cell>
        </row>
        <row r="496">
          <cell r="H496">
            <v>2024</v>
          </cell>
          <cell r="I496">
            <v>1.1040808032</v>
          </cell>
          <cell r="J496">
            <v>1.1230610378452455</v>
          </cell>
        </row>
        <row r="497">
          <cell r="H497">
            <v>2025</v>
          </cell>
          <cell r="I497">
            <v>1.1261624192640001</v>
          </cell>
          <cell r="J497">
            <v>1.1455222586021503</v>
          </cell>
        </row>
        <row r="498">
          <cell r="H498">
            <v>2026</v>
          </cell>
          <cell r="I498">
            <v>1.14868566764928</v>
          </cell>
          <cell r="J498">
            <v>1.1684327037741935</v>
          </cell>
        </row>
        <row r="499">
          <cell r="H499">
            <v>2027</v>
          </cell>
          <cell r="I499">
            <v>1.1716593810022657</v>
          </cell>
          <cell r="J499">
            <v>1.1918013578496776</v>
          </cell>
        </row>
        <row r="500">
          <cell r="H500">
            <v>2028</v>
          </cell>
          <cell r="I500">
            <v>1.1950925686223111</v>
          </cell>
          <cell r="J500">
            <v>1.2156373850066708</v>
          </cell>
        </row>
        <row r="501">
          <cell r="H501">
            <v>2029</v>
          </cell>
          <cell r="I501">
            <v>1.2189944199947573</v>
          </cell>
          <cell r="J501">
            <v>1.2399501327068043</v>
          </cell>
        </row>
        <row r="502">
          <cell r="H502">
            <v>2030</v>
          </cell>
          <cell r="I502">
            <v>1.2433743083946525</v>
          </cell>
          <cell r="J502">
            <v>1.2647491353609408</v>
          </cell>
        </row>
        <row r="503">
          <cell r="H503">
            <v>2031</v>
          </cell>
          <cell r="I503">
            <v>1.2682417945625455</v>
          </cell>
          <cell r="J503">
            <v>1.2900441180681594</v>
          </cell>
        </row>
        <row r="504">
          <cell r="H504">
            <v>2032</v>
          </cell>
          <cell r="I504">
            <v>1.2936066304537963</v>
          </cell>
          <cell r="J504">
            <v>1.3158450004295226</v>
          </cell>
        </row>
        <row r="505">
          <cell r="H505">
            <v>2033</v>
          </cell>
          <cell r="I505">
            <v>1.3194787630628724</v>
          </cell>
          <cell r="J505">
            <v>1.3421619004381129</v>
          </cell>
        </row>
        <row r="506">
          <cell r="H506">
            <v>2034</v>
          </cell>
          <cell r="I506">
            <v>1.3458683383241299</v>
          </cell>
          <cell r="J506">
            <v>1.3690051384468753</v>
          </cell>
        </row>
        <row r="507">
          <cell r="H507">
            <v>2035</v>
          </cell>
          <cell r="I507">
            <v>1.3727857050906125</v>
          </cell>
          <cell r="J507">
            <v>1.3963852412158129</v>
          </cell>
        </row>
        <row r="508">
          <cell r="H508">
            <v>2036</v>
          </cell>
          <cell r="I508">
            <v>1.4002414191924248</v>
          </cell>
          <cell r="J508">
            <v>1.4243129460401291</v>
          </cell>
        </row>
        <row r="509">
          <cell r="H509">
            <v>2037</v>
          </cell>
          <cell r="I509">
            <v>1.4282462475762734</v>
          </cell>
          <cell r="J509">
            <v>1.452799204960932</v>
          </cell>
        </row>
        <row r="510">
          <cell r="H510">
            <v>2038</v>
          </cell>
          <cell r="I510">
            <v>1.4568111725277988</v>
          </cell>
          <cell r="J510">
            <v>1.4818551890601506</v>
          </cell>
        </row>
        <row r="511">
          <cell r="H511">
            <v>2039</v>
          </cell>
          <cell r="I511">
            <v>1.4859473959783549</v>
          </cell>
          <cell r="J511">
            <v>1.5114922928413537</v>
          </cell>
        </row>
        <row r="512">
          <cell r="H512">
            <v>2040</v>
          </cell>
          <cell r="I512">
            <v>1.5156663438979221</v>
          </cell>
          <cell r="J512">
            <v>1.5417221386981808</v>
          </cell>
        </row>
        <row r="513">
          <cell r="H513">
            <v>2041</v>
          </cell>
          <cell r="I513">
            <v>1.5459796707758806</v>
          </cell>
          <cell r="J513">
            <v>1.5725565814721445</v>
          </cell>
        </row>
        <row r="514">
          <cell r="H514">
            <v>2042</v>
          </cell>
          <cell r="I514">
            <v>1.5768992641913981</v>
          </cell>
          <cell r="J514">
            <v>1.6040077131015871</v>
          </cell>
        </row>
        <row r="515">
          <cell r="H515">
            <v>2043</v>
          </cell>
          <cell r="I515">
            <v>1.6084372494752261</v>
          </cell>
          <cell r="J515">
            <v>1.636087867363619</v>
          </cell>
        </row>
        <row r="516">
          <cell r="H516">
            <v>2044</v>
          </cell>
          <cell r="I516">
            <v>1.6406059944647307</v>
          </cell>
          <cell r="J516">
            <v>1.6688096247108914</v>
          </cell>
        </row>
        <row r="517">
          <cell r="H517">
            <v>2045</v>
          </cell>
          <cell r="I517">
            <v>1.6734181143540252</v>
          </cell>
          <cell r="J517">
            <v>1.7021858172051092</v>
          </cell>
        </row>
        <row r="518">
          <cell r="H518">
            <v>2046</v>
          </cell>
          <cell r="I518">
            <v>1.7068864766411058</v>
          </cell>
          <cell r="J518">
            <v>1.7362295335492117</v>
          </cell>
        </row>
        <row r="519">
          <cell r="H519">
            <v>2047</v>
          </cell>
          <cell r="I519">
            <v>1.7410242061739281</v>
          </cell>
          <cell r="J519">
            <v>1.7709541242201956</v>
          </cell>
        </row>
        <row r="520">
          <cell r="H520">
            <v>2048</v>
          </cell>
          <cell r="I520">
            <v>1.7758446902974065</v>
          </cell>
          <cell r="J520">
            <v>1.8063732067045999</v>
          </cell>
        </row>
        <row r="521">
          <cell r="H521">
            <v>2049</v>
          </cell>
          <cell r="I521">
            <v>1.8113615841033548</v>
          </cell>
          <cell r="J521">
            <v>1.8425006708386917</v>
          </cell>
        </row>
        <row r="522">
          <cell r="H522">
            <v>2050</v>
          </cell>
          <cell r="I522">
            <v>1.8475888157854219</v>
          </cell>
          <cell r="J522">
            <v>1.8793506842554655</v>
          </cell>
        </row>
        <row r="523">
          <cell r="H523">
            <v>2051</v>
          </cell>
          <cell r="I523">
            <v>1.8845405921011305</v>
          </cell>
          <cell r="J523">
            <v>1.916937697940575</v>
          </cell>
        </row>
        <row r="524">
          <cell r="H524">
            <v>2052</v>
          </cell>
          <cell r="I524">
            <v>1.9222314039431532</v>
          </cell>
          <cell r="J524">
            <v>1.9552764518993864</v>
          </cell>
        </row>
        <row r="525">
          <cell r="H525">
            <v>2053</v>
          </cell>
          <cell r="I525">
            <v>1.9606760320220162</v>
          </cell>
          <cell r="J525">
            <v>1.9943819809373744</v>
          </cell>
        </row>
        <row r="526">
          <cell r="H526">
            <v>2054</v>
          </cell>
          <cell r="I526">
            <v>1.9998895526624565</v>
          </cell>
          <cell r="J526">
            <v>2.0342696205561217</v>
          </cell>
        </row>
        <row r="527">
          <cell r="H527">
            <v>2055</v>
          </cell>
          <cell r="I527">
            <v>2.0398873437157055</v>
          </cell>
          <cell r="J527">
            <v>2.0749550129672443</v>
          </cell>
        </row>
        <row r="528">
          <cell r="H528">
            <v>2056</v>
          </cell>
          <cell r="I528">
            <v>2.0806850905900198</v>
          </cell>
          <cell r="J528">
            <v>2.1164541132265895</v>
          </cell>
        </row>
        <row r="529">
          <cell r="H529">
            <v>2057</v>
          </cell>
          <cell r="I529">
            <v>2.1222987924018204</v>
          </cell>
          <cell r="J529">
            <v>2.1587831954911212</v>
          </cell>
        </row>
        <row r="530">
          <cell r="H530">
            <v>2058</v>
          </cell>
          <cell r="I530">
            <v>2.1647447682498568</v>
          </cell>
          <cell r="J530">
            <v>2.2019588594009436</v>
          </cell>
        </row>
        <row r="531">
          <cell r="H531">
            <v>2059</v>
          </cell>
          <cell r="I531">
            <v>2.208039663614854</v>
          </cell>
          <cell r="J531">
            <v>2.2459980365889627</v>
          </cell>
        </row>
        <row r="532">
          <cell r="H532">
            <v>2060</v>
          </cell>
          <cell r="I532">
            <v>2.252200456887151</v>
          </cell>
          <cell r="J532">
            <v>2.2909179973207414</v>
          </cell>
        </row>
        <row r="533">
          <cell r="H533">
            <v>2061</v>
          </cell>
          <cell r="I533">
            <v>2.2972444660248938</v>
          </cell>
          <cell r="J533">
            <v>2.336736357267156</v>
          </cell>
        </row>
        <row r="534">
          <cell r="H534">
            <v>2062</v>
          </cell>
          <cell r="I534">
            <v>2.343189355345392</v>
          </cell>
          <cell r="J534">
            <v>2.3834710844124998</v>
          </cell>
        </row>
        <row r="535">
          <cell r="H535">
            <v>2063</v>
          </cell>
          <cell r="I535">
            <v>2.3900531424522997</v>
          </cell>
          <cell r="J535">
            <v>2.4311405061007498</v>
          </cell>
        </row>
        <row r="536">
          <cell r="H536">
            <v>2064</v>
          </cell>
          <cell r="I536">
            <v>2.4378542053013459</v>
          </cell>
          <cell r="J536">
            <v>2.4797633162227646</v>
          </cell>
        </row>
        <row r="537">
          <cell r="H537">
            <v>2065</v>
          </cell>
          <cell r="I537">
            <v>2.4866112894073726</v>
          </cell>
          <cell r="J537">
            <v>2.5293585825472196</v>
          </cell>
        </row>
        <row r="538">
          <cell r="H538">
            <v>2066</v>
          </cell>
          <cell r="I538">
            <v>2.53634351519552</v>
          </cell>
          <cell r="J538">
            <v>2.5799457541981643</v>
          </cell>
        </row>
        <row r="539">
          <cell r="H539">
            <v>2067</v>
          </cell>
          <cell r="I539">
            <v>2.5870703854994304</v>
          </cell>
          <cell r="J539">
            <v>2.6315446692821278</v>
          </cell>
        </row>
        <row r="540">
          <cell r="H540">
            <v>2068</v>
          </cell>
          <cell r="I540">
            <v>2.6388117932094191</v>
          </cell>
          <cell r="J540">
            <v>2.6841755626677695</v>
          </cell>
        </row>
        <row r="541">
          <cell r="H541">
            <v>2069</v>
          </cell>
          <cell r="I541">
            <v>2.6915880290736074</v>
          </cell>
          <cell r="J541">
            <v>2.7378590739211255</v>
          </cell>
        </row>
        <row r="542">
          <cell r="H542">
            <v>2070</v>
          </cell>
          <cell r="I542">
            <v>2.7454197896550796</v>
          </cell>
          <cell r="J542">
            <v>2.7926162553995475</v>
          </cell>
        </row>
        <row r="543">
          <cell r="H543">
            <v>2071</v>
          </cell>
          <cell r="I543">
            <v>2.8003281854481812</v>
          </cell>
          <cell r="J543">
            <v>2.8484685805075389</v>
          </cell>
        </row>
        <row r="544">
          <cell r="H544">
            <v>2072</v>
          </cell>
          <cell r="I544">
            <v>2.8563347491571447</v>
          </cell>
          <cell r="J544">
            <v>2.9054379521176892</v>
          </cell>
        </row>
        <row r="545">
          <cell r="H545">
            <v>2073</v>
          </cell>
          <cell r="I545">
            <v>2.9134614441402875</v>
          </cell>
          <cell r="J545">
            <v>2.9635467111600433</v>
          </cell>
        </row>
        <row r="546">
          <cell r="H546">
            <v>2074</v>
          </cell>
          <cell r="I546">
            <v>2.9717306730230932</v>
          </cell>
          <cell r="J546">
            <v>3.022817645383244</v>
          </cell>
        </row>
        <row r="547">
          <cell r="H547">
            <v>2075</v>
          </cell>
          <cell r="I547">
            <v>3.0311652864835552</v>
          </cell>
          <cell r="J547">
            <v>3.0832739982909092</v>
          </cell>
        </row>
        <row r="548">
          <cell r="H548">
            <v>2076</v>
          </cell>
          <cell r="I548">
            <v>3.0917885922132262</v>
          </cell>
          <cell r="J548">
            <v>3.1449394782567275</v>
          </cell>
        </row>
        <row r="549">
          <cell r="H549">
            <v>2077</v>
          </cell>
          <cell r="I549">
            <v>3.1536243640574906</v>
          </cell>
          <cell r="J549">
            <v>3.2078382678218618</v>
          </cell>
        </row>
        <row r="550">
          <cell r="H550">
            <v>2078</v>
          </cell>
          <cell r="I550">
            <v>3.2166968513386403</v>
          </cell>
          <cell r="J550">
            <v>3.2719950331782992</v>
          </cell>
        </row>
        <row r="551">
          <cell r="H551">
            <v>2079</v>
          </cell>
          <cell r="I551">
            <v>3.2810307883654133</v>
          </cell>
          <cell r="J551" t="str">
            <v>not applicable - not enough compound indicies</v>
          </cell>
        </row>
        <row r="552">
          <cell r="H552">
            <v>2080</v>
          </cell>
          <cell r="I552">
            <v>3.3466514041327216</v>
          </cell>
          <cell r="J552" t="str">
            <v>not applicable - not enough compound indicies</v>
          </cell>
        </row>
        <row r="553">
          <cell r="H553">
            <v>2081</v>
          </cell>
          <cell r="I553">
            <v>3.4135844322153761</v>
          </cell>
          <cell r="J553" t="str">
            <v>not applicable - not enough compound indicies</v>
          </cell>
        </row>
        <row r="554">
          <cell r="H554">
            <v>2082</v>
          </cell>
          <cell r="I554">
            <v>3.4818561208596837</v>
          </cell>
          <cell r="J554" t="str">
            <v>not applicable - not enough compound indicies</v>
          </cell>
        </row>
        <row r="555">
          <cell r="H555">
            <v>2083</v>
          </cell>
          <cell r="I555">
            <v>3.5514932432768775</v>
          </cell>
          <cell r="J555" t="str">
            <v>not applicable - not enough compound indicies</v>
          </cell>
        </row>
        <row r="556">
          <cell r="H556">
            <v>2084</v>
          </cell>
          <cell r="I556">
            <v>3.6225231081424152</v>
          </cell>
          <cell r="J556" t="str">
            <v>not applicable - not enough compound indicies</v>
          </cell>
        </row>
        <row r="562">
          <cell r="H562">
            <v>0</v>
          </cell>
          <cell r="I562" t="str">
            <v>n/a</v>
          </cell>
          <cell r="J562" t="str">
            <v>n/a</v>
          </cell>
        </row>
        <row r="563">
          <cell r="H563">
            <v>2012</v>
          </cell>
          <cell r="I563">
            <v>0.89487881506658262</v>
          </cell>
          <cell r="J563">
            <v>0.92221844898799377</v>
          </cell>
        </row>
        <row r="564">
          <cell r="H564">
            <v>2013</v>
          </cell>
          <cell r="I564">
            <v>0.90830199729258132</v>
          </cell>
          <cell r="J564">
            <v>0.93550992918697662</v>
          </cell>
        </row>
        <row r="565">
          <cell r="H565">
            <v>2014</v>
          </cell>
          <cell r="I565">
            <v>0.92192652725197</v>
          </cell>
          <cell r="J565">
            <v>0.96306141470810613</v>
          </cell>
        </row>
        <row r="566">
          <cell r="H566">
            <v>2015</v>
          </cell>
          <cell r="I566">
            <v>0.93206771905174157</v>
          </cell>
          <cell r="J566">
            <v>0.97943296108511657</v>
          </cell>
        </row>
        <row r="567">
          <cell r="H567">
            <v>2016</v>
          </cell>
          <cell r="I567">
            <v>0.94325253168036249</v>
          </cell>
          <cell r="J567">
            <v>0.99848280485825236</v>
          </cell>
        </row>
        <row r="568">
          <cell r="H568">
            <v>2017</v>
          </cell>
          <cell r="I568">
            <v>0.95928782471892859</v>
          </cell>
          <cell r="J568">
            <v>1.019038107587287</v>
          </cell>
        </row>
        <row r="569">
          <cell r="H569">
            <v>2018</v>
          </cell>
          <cell r="I569">
            <v>0.98039215686274506</v>
          </cell>
          <cell r="J569">
            <v>1.0412578986327818</v>
          </cell>
        </row>
        <row r="570">
          <cell r="H570">
            <v>2019</v>
          </cell>
          <cell r="I570">
            <v>1</v>
          </cell>
          <cell r="J570">
            <v>1.0620830566054376</v>
          </cell>
        </row>
        <row r="571">
          <cell r="H571">
            <v>2020</v>
          </cell>
          <cell r="I571">
            <v>1.02</v>
          </cell>
          <cell r="J571">
            <v>1.0889147230833822</v>
          </cell>
        </row>
        <row r="572">
          <cell r="H572">
            <v>2021</v>
          </cell>
          <cell r="I572">
            <v>1.0404</v>
          </cell>
          <cell r="J572">
            <v>1.1106930175450498</v>
          </cell>
        </row>
        <row r="573">
          <cell r="H573">
            <v>2022</v>
          </cell>
          <cell r="I573">
            <v>1.0612079999999999</v>
          </cell>
          <cell r="J573">
            <v>1.1329068778959508</v>
          </cell>
        </row>
        <row r="574">
          <cell r="H574">
            <v>2023</v>
          </cell>
          <cell r="I574">
            <v>1.08243216</v>
          </cell>
          <cell r="J574">
            <v>1.1555650154538699</v>
          </cell>
        </row>
        <row r="575">
          <cell r="H575">
            <v>2024</v>
          </cell>
          <cell r="I575">
            <v>1.1040808032</v>
          </cell>
          <cell r="J575">
            <v>1.1786763157629474</v>
          </cell>
        </row>
        <row r="576">
          <cell r="H576">
            <v>2025</v>
          </cell>
          <cell r="I576">
            <v>1.1261624192640001</v>
          </cell>
          <cell r="J576">
            <v>1.2022498420782066</v>
          </cell>
        </row>
        <row r="577">
          <cell r="H577">
            <v>2026</v>
          </cell>
          <cell r="I577">
            <v>1.14868566764928</v>
          </cell>
          <cell r="J577">
            <v>1.2262948389197708</v>
          </cell>
        </row>
        <row r="578">
          <cell r="H578">
            <v>2027</v>
          </cell>
          <cell r="I578">
            <v>1.1716593810022657</v>
          </cell>
          <cell r="J578">
            <v>1.250820735698166</v>
          </cell>
        </row>
        <row r="579">
          <cell r="H579">
            <v>2028</v>
          </cell>
          <cell r="I579">
            <v>1.1950925686223111</v>
          </cell>
          <cell r="J579">
            <v>1.2758371504121293</v>
          </cell>
        </row>
        <row r="580">
          <cell r="H580">
            <v>2029</v>
          </cell>
          <cell r="I580">
            <v>1.2189944199947573</v>
          </cell>
          <cell r="J580">
            <v>1.3013538934203719</v>
          </cell>
        </row>
        <row r="581">
          <cell r="H581">
            <v>2030</v>
          </cell>
          <cell r="I581">
            <v>1.2433743083946525</v>
          </cell>
          <cell r="J581">
            <v>1.3273809712887792</v>
          </cell>
        </row>
        <row r="582">
          <cell r="H582">
            <v>2031</v>
          </cell>
          <cell r="I582">
            <v>1.2682417945625455</v>
          </cell>
          <cell r="J582">
            <v>1.3539285907145553</v>
          </cell>
        </row>
        <row r="583">
          <cell r="H583">
            <v>2032</v>
          </cell>
          <cell r="I583">
            <v>1.2936066304537963</v>
          </cell>
          <cell r="J583">
            <v>1.381007162528846</v>
          </cell>
        </row>
        <row r="584">
          <cell r="H584">
            <v>2033</v>
          </cell>
          <cell r="I584">
            <v>1.3194787630628724</v>
          </cell>
          <cell r="J584">
            <v>1.4086273057794232</v>
          </cell>
        </row>
        <row r="585">
          <cell r="H585">
            <v>2034</v>
          </cell>
          <cell r="I585">
            <v>1.3458683383241299</v>
          </cell>
          <cell r="J585">
            <v>1.4367998518950116</v>
          </cell>
        </row>
        <row r="586">
          <cell r="H586">
            <v>2035</v>
          </cell>
          <cell r="I586">
            <v>1.3727857050906125</v>
          </cell>
          <cell r="J586">
            <v>1.4655358489329118</v>
          </cell>
        </row>
        <row r="587">
          <cell r="H587">
            <v>2036</v>
          </cell>
          <cell r="I587">
            <v>1.4002414191924248</v>
          </cell>
          <cell r="J587">
            <v>1.4948465659115699</v>
          </cell>
        </row>
        <row r="588">
          <cell r="H588">
            <v>2037</v>
          </cell>
          <cell r="I588">
            <v>1.4282462475762734</v>
          </cell>
          <cell r="J588">
            <v>1.5247434972298015</v>
          </cell>
        </row>
        <row r="589">
          <cell r="H589">
            <v>2038</v>
          </cell>
          <cell r="I589">
            <v>1.4568111725277988</v>
          </cell>
          <cell r="J589">
            <v>1.5552383671743972</v>
          </cell>
        </row>
        <row r="590">
          <cell r="H590">
            <v>2039</v>
          </cell>
          <cell r="I590">
            <v>1.4859473959783549</v>
          </cell>
          <cell r="J590">
            <v>1.5863431345178858</v>
          </cell>
        </row>
        <row r="591">
          <cell r="H591">
            <v>2040</v>
          </cell>
          <cell r="I591">
            <v>1.5156663438979221</v>
          </cell>
          <cell r="J591">
            <v>1.6180699972082431</v>
          </cell>
        </row>
        <row r="592">
          <cell r="H592">
            <v>2041</v>
          </cell>
          <cell r="I592">
            <v>1.5459796707758806</v>
          </cell>
          <cell r="J592">
            <v>1.6504313971524083</v>
          </cell>
        </row>
        <row r="593">
          <cell r="H593">
            <v>2042</v>
          </cell>
          <cell r="I593">
            <v>1.5768992641913981</v>
          </cell>
          <cell r="J593">
            <v>1.6834400250954564</v>
          </cell>
        </row>
        <row r="594">
          <cell r="H594">
            <v>2043</v>
          </cell>
          <cell r="I594">
            <v>1.6084372494752261</v>
          </cell>
          <cell r="J594">
            <v>1.7171088255973654</v>
          </cell>
        </row>
        <row r="595">
          <cell r="H595">
            <v>2044</v>
          </cell>
          <cell r="I595">
            <v>1.6406059944647307</v>
          </cell>
          <cell r="J595">
            <v>1.751451002109313</v>
          </cell>
        </row>
        <row r="596">
          <cell r="H596">
            <v>2045</v>
          </cell>
          <cell r="I596">
            <v>1.6734181143540252</v>
          </cell>
          <cell r="J596">
            <v>1.7864800221514991</v>
          </cell>
        </row>
        <row r="597">
          <cell r="H597">
            <v>2046</v>
          </cell>
          <cell r="I597">
            <v>1.7068864766411058</v>
          </cell>
          <cell r="J597">
            <v>1.8222096225945292</v>
          </cell>
        </row>
        <row r="598">
          <cell r="H598">
            <v>2047</v>
          </cell>
          <cell r="I598">
            <v>1.7410242061739281</v>
          </cell>
          <cell r="J598">
            <v>1.85865381504642</v>
          </cell>
        </row>
        <row r="599">
          <cell r="H599">
            <v>2048</v>
          </cell>
          <cell r="I599">
            <v>1.7758446902974065</v>
          </cell>
          <cell r="J599">
            <v>1.8958268913473484</v>
          </cell>
        </row>
        <row r="600">
          <cell r="H600">
            <v>2049</v>
          </cell>
          <cell r="I600">
            <v>1.8113615841033548</v>
          </cell>
          <cell r="J600">
            <v>1.9337434291742956</v>
          </cell>
        </row>
        <row r="601">
          <cell r="H601">
            <v>2050</v>
          </cell>
          <cell r="I601">
            <v>1.8475888157854219</v>
          </cell>
          <cell r="J601">
            <v>1.9724182977577815</v>
          </cell>
        </row>
        <row r="602">
          <cell r="H602">
            <v>2051</v>
          </cell>
          <cell r="I602">
            <v>1.8845405921011305</v>
          </cell>
          <cell r="J602">
            <v>2.0118666637129374</v>
          </cell>
        </row>
        <row r="603">
          <cell r="H603">
            <v>2052</v>
          </cell>
          <cell r="I603">
            <v>1.9222314039431532</v>
          </cell>
          <cell r="J603">
            <v>2.0521039969871957</v>
          </cell>
        </row>
        <row r="604">
          <cell r="H604">
            <v>2053</v>
          </cell>
          <cell r="I604">
            <v>1.9606760320220162</v>
          </cell>
          <cell r="J604">
            <v>2.0931460769269399</v>
          </cell>
        </row>
        <row r="605">
          <cell r="H605">
            <v>2054</v>
          </cell>
          <cell r="I605">
            <v>1.9998895526624565</v>
          </cell>
          <cell r="J605">
            <v>2.1350089984654788</v>
          </cell>
        </row>
        <row r="606">
          <cell r="H606">
            <v>2055</v>
          </cell>
          <cell r="I606">
            <v>2.0398873437157055</v>
          </cell>
          <cell r="J606">
            <v>2.1777091784347884</v>
          </cell>
        </row>
        <row r="607">
          <cell r="H607">
            <v>2056</v>
          </cell>
          <cell r="I607">
            <v>2.0806850905900198</v>
          </cell>
          <cell r="J607">
            <v>2.2212633620034841</v>
          </cell>
        </row>
        <row r="608">
          <cell r="H608">
            <v>2057</v>
          </cell>
          <cell r="I608">
            <v>2.1222987924018204</v>
          </cell>
          <cell r="J608">
            <v>2.2656886292435536</v>
          </cell>
        </row>
        <row r="609">
          <cell r="H609">
            <v>2058</v>
          </cell>
          <cell r="I609">
            <v>2.1647447682498568</v>
          </cell>
          <cell r="J609">
            <v>2.311002401828425</v>
          </cell>
        </row>
        <row r="610">
          <cell r="H610">
            <v>2059</v>
          </cell>
          <cell r="I610">
            <v>2.208039663614854</v>
          </cell>
          <cell r="J610">
            <v>2.3572224498649934</v>
          </cell>
        </row>
        <row r="611">
          <cell r="H611">
            <v>2060</v>
          </cell>
          <cell r="I611">
            <v>2.252200456887151</v>
          </cell>
          <cell r="J611">
            <v>2.404366898862293</v>
          </cell>
        </row>
        <row r="612">
          <cell r="H612">
            <v>2061</v>
          </cell>
          <cell r="I612">
            <v>2.2972444660248938</v>
          </cell>
          <cell r="J612">
            <v>2.452454236839539</v>
          </cell>
        </row>
        <row r="613">
          <cell r="H613">
            <v>2062</v>
          </cell>
          <cell r="I613">
            <v>2.343189355345392</v>
          </cell>
          <cell r="J613">
            <v>2.50150332157633</v>
          </cell>
        </row>
        <row r="614">
          <cell r="H614">
            <v>2063</v>
          </cell>
          <cell r="I614">
            <v>2.3900531424522997</v>
          </cell>
          <cell r="J614">
            <v>2.5515333880078566</v>
          </cell>
        </row>
        <row r="615">
          <cell r="H615">
            <v>2064</v>
          </cell>
          <cell r="I615">
            <v>2.4378542053013459</v>
          </cell>
          <cell r="J615">
            <v>2.6025640557680134</v>
          </cell>
        </row>
        <row r="616">
          <cell r="H616">
            <v>2065</v>
          </cell>
          <cell r="I616">
            <v>2.4866112894073726</v>
          </cell>
          <cell r="J616">
            <v>2.6546153368833738</v>
          </cell>
        </row>
        <row r="617">
          <cell r="H617">
            <v>2066</v>
          </cell>
          <cell r="I617">
            <v>2.53634351519552</v>
          </cell>
          <cell r="J617">
            <v>2.707707643621041</v>
          </cell>
        </row>
        <row r="618">
          <cell r="H618">
            <v>2067</v>
          </cell>
          <cell r="I618">
            <v>2.5870703854994304</v>
          </cell>
          <cell r="J618">
            <v>2.7618617964934615</v>
          </cell>
        </row>
        <row r="619">
          <cell r="H619">
            <v>2068</v>
          </cell>
          <cell r="I619">
            <v>2.6388117932094191</v>
          </cell>
          <cell r="J619">
            <v>2.8170990324233314</v>
          </cell>
        </row>
        <row r="620">
          <cell r="H620">
            <v>2069</v>
          </cell>
          <cell r="I620">
            <v>2.6915880290736074</v>
          </cell>
          <cell r="J620">
            <v>2.8734410130717976</v>
          </cell>
        </row>
        <row r="621">
          <cell r="H621">
            <v>2070</v>
          </cell>
          <cell r="I621">
            <v>2.7454197896550796</v>
          </cell>
          <cell r="J621">
            <v>2.9309098333332337</v>
          </cell>
        </row>
        <row r="622">
          <cell r="H622">
            <v>2071</v>
          </cell>
          <cell r="I622">
            <v>2.8003281854481812</v>
          </cell>
          <cell r="J622">
            <v>2.9895280299998981</v>
          </cell>
        </row>
        <row r="623">
          <cell r="H623">
            <v>2072</v>
          </cell>
          <cell r="I623">
            <v>2.8563347491571447</v>
          </cell>
          <cell r="J623">
            <v>3.0493185905998961</v>
          </cell>
        </row>
        <row r="624">
          <cell r="H624">
            <v>2073</v>
          </cell>
          <cell r="I624">
            <v>2.9134614441402875</v>
          </cell>
          <cell r="J624">
            <v>3.1103049624118939</v>
          </cell>
        </row>
        <row r="625">
          <cell r="H625">
            <v>2074</v>
          </cell>
          <cell r="I625">
            <v>2.9717306730230932</v>
          </cell>
          <cell r="J625">
            <v>3.1725110616601322</v>
          </cell>
        </row>
        <row r="626">
          <cell r="H626">
            <v>2075</v>
          </cell>
          <cell r="I626">
            <v>3.0311652864835552</v>
          </cell>
          <cell r="J626">
            <v>3.2359612828933346</v>
          </cell>
        </row>
        <row r="627">
          <cell r="H627">
            <v>2076</v>
          </cell>
          <cell r="I627">
            <v>3.0917885922132262</v>
          </cell>
          <cell r="J627">
            <v>3.1296032322460681</v>
          </cell>
        </row>
        <row r="628">
          <cell r="H628">
            <v>2077</v>
          </cell>
          <cell r="I628">
            <v>3.1536243640574906</v>
          </cell>
          <cell r="J628" t="str">
            <v>not applicable - not enough compound indicies</v>
          </cell>
        </row>
        <row r="629">
          <cell r="H629">
            <v>2078</v>
          </cell>
          <cell r="I629">
            <v>3.2166968513386403</v>
          </cell>
          <cell r="J629" t="str">
            <v>not applicable - not enough compound indicies</v>
          </cell>
        </row>
        <row r="630">
          <cell r="H630">
            <v>2079</v>
          </cell>
          <cell r="I630">
            <v>3.2810307883654133</v>
          </cell>
          <cell r="J630" t="str">
            <v>not applicable - not enough compound indicies</v>
          </cell>
        </row>
        <row r="631">
          <cell r="H631">
            <v>2080</v>
          </cell>
          <cell r="I631">
            <v>3.3466514041327216</v>
          </cell>
          <cell r="J631" t="str">
            <v>not applicable - not enough compound indicies</v>
          </cell>
        </row>
        <row r="632">
          <cell r="H632">
            <v>2081</v>
          </cell>
          <cell r="I632">
            <v>3.4135844322153761</v>
          </cell>
          <cell r="J632" t="str">
            <v>not applicable - not enough compound indicies</v>
          </cell>
        </row>
        <row r="633">
          <cell r="H633">
            <v>2082</v>
          </cell>
          <cell r="I633">
            <v>3.4818561208596837</v>
          </cell>
          <cell r="J633" t="str">
            <v>not applicable - not enough compound indicies</v>
          </cell>
        </row>
        <row r="634">
          <cell r="H634">
            <v>2083</v>
          </cell>
          <cell r="I634">
            <v>3.5514932432768775</v>
          </cell>
          <cell r="J634" t="str">
            <v>not applicable - not enough compound indicies</v>
          </cell>
        </row>
        <row r="635">
          <cell r="H635">
            <v>2084</v>
          </cell>
          <cell r="I635">
            <v>3.6225231081424152</v>
          </cell>
          <cell r="J635" t="str">
            <v>not applicable - not enough compound indicies</v>
          </cell>
        </row>
      </sheetData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1"/>
      <sheetName val="Dialog2"/>
      <sheetName val="Sheet1"/>
      <sheetName val="Factors"/>
      <sheetName val="MainMenu"/>
      <sheetName val="Terms"/>
      <sheetName val="StatusQuo"/>
      <sheetName val="AlternativeA"/>
      <sheetName val="AlternativeB"/>
      <sheetName val="AlternativeC"/>
      <sheetName val="AlternativeD"/>
      <sheetName val="Processing"/>
      <sheetName val="CostDisplayA"/>
      <sheetName val="CostDisplayC"/>
      <sheetName val="CostDisplayD"/>
      <sheetName val="CostDisplayB"/>
      <sheetName val="Discount"/>
      <sheetName val="Inflation"/>
      <sheetName val="DataSave"/>
      <sheetName val="ComparisonOfAlternative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EATOOLver104R8MAR19v1"/>
    </sheetNames>
    <sheetDataSet>
      <sheetData sheetId="0"/>
      <sheetData sheetId="1"/>
      <sheetData sheetId="2">
        <row r="8">
          <cell r="D8">
            <v>1</v>
          </cell>
        </row>
        <row r="82">
          <cell r="G82">
            <v>1</v>
          </cell>
          <cell r="H82">
            <v>2004</v>
          </cell>
          <cell r="I82" t="str">
            <v/>
          </cell>
        </row>
        <row r="83">
          <cell r="G83">
            <v>2</v>
          </cell>
          <cell r="H83">
            <v>2005</v>
          </cell>
          <cell r="I83" t="str">
            <v/>
          </cell>
        </row>
        <row r="84">
          <cell r="G84">
            <v>3</v>
          </cell>
          <cell r="H84">
            <v>2006</v>
          </cell>
          <cell r="I84" t="str">
            <v/>
          </cell>
        </row>
        <row r="85">
          <cell r="G85">
            <v>4</v>
          </cell>
          <cell r="H85">
            <v>2007</v>
          </cell>
          <cell r="I85" t="str">
            <v/>
          </cell>
        </row>
        <row r="86">
          <cell r="G86">
            <v>5</v>
          </cell>
          <cell r="H86">
            <v>2008</v>
          </cell>
          <cell r="I86" t="str">
            <v/>
          </cell>
        </row>
        <row r="87">
          <cell r="G87">
            <v>6</v>
          </cell>
          <cell r="H87">
            <v>2009</v>
          </cell>
          <cell r="I87" t="str">
            <v/>
          </cell>
        </row>
        <row r="88">
          <cell r="G88">
            <v>7</v>
          </cell>
          <cell r="H88">
            <v>2010</v>
          </cell>
          <cell r="I88" t="str">
            <v/>
          </cell>
        </row>
        <row r="89">
          <cell r="G89">
            <v>8</v>
          </cell>
          <cell r="H89">
            <v>2011</v>
          </cell>
          <cell r="I89" t="str">
            <v/>
          </cell>
        </row>
        <row r="90">
          <cell r="G90">
            <v>9</v>
          </cell>
          <cell r="H90">
            <v>2012</v>
          </cell>
          <cell r="I90">
            <v>1</v>
          </cell>
        </row>
        <row r="91">
          <cell r="G91">
            <v>10</v>
          </cell>
          <cell r="H91">
            <v>2013</v>
          </cell>
          <cell r="I91">
            <v>2</v>
          </cell>
        </row>
        <row r="92">
          <cell r="G92">
            <v>11</v>
          </cell>
          <cell r="H92">
            <v>2014</v>
          </cell>
          <cell r="I92">
            <v>3</v>
          </cell>
        </row>
        <row r="93">
          <cell r="G93">
            <v>12</v>
          </cell>
          <cell r="H93">
            <v>2015</v>
          </cell>
          <cell r="I93">
            <v>4</v>
          </cell>
        </row>
        <row r="94">
          <cell r="G94">
            <v>13</v>
          </cell>
          <cell r="H94">
            <v>2016</v>
          </cell>
          <cell r="I94">
            <v>5</v>
          </cell>
        </row>
        <row r="95">
          <cell r="G95">
            <v>14</v>
          </cell>
          <cell r="H95">
            <v>2017</v>
          </cell>
          <cell r="I95">
            <v>6</v>
          </cell>
        </row>
        <row r="96">
          <cell r="G96">
            <v>15</v>
          </cell>
          <cell r="H96">
            <v>2018</v>
          </cell>
          <cell r="I96">
            <v>7</v>
          </cell>
        </row>
        <row r="97">
          <cell r="G97">
            <v>16</v>
          </cell>
          <cell r="H97">
            <v>2019</v>
          </cell>
          <cell r="I97">
            <v>8</v>
          </cell>
        </row>
        <row r="98">
          <cell r="G98">
            <v>17</v>
          </cell>
          <cell r="H98">
            <v>2020</v>
          </cell>
          <cell r="I98">
            <v>9</v>
          </cell>
        </row>
        <row r="99">
          <cell r="G99">
            <v>18</v>
          </cell>
          <cell r="H99">
            <v>2021</v>
          </cell>
          <cell r="I99">
            <v>10</v>
          </cell>
        </row>
        <row r="100">
          <cell r="G100">
            <v>19</v>
          </cell>
          <cell r="H100">
            <v>2022</v>
          </cell>
          <cell r="I100">
            <v>11</v>
          </cell>
        </row>
        <row r="101">
          <cell r="G101">
            <v>20</v>
          </cell>
          <cell r="H101">
            <v>2023</v>
          </cell>
          <cell r="I101">
            <v>12</v>
          </cell>
        </row>
        <row r="102">
          <cell r="G102">
            <v>21</v>
          </cell>
          <cell r="H102">
            <v>2024</v>
          </cell>
          <cell r="I102">
            <v>13</v>
          </cell>
        </row>
        <row r="103">
          <cell r="G103">
            <v>22</v>
          </cell>
          <cell r="H103">
            <v>2025</v>
          </cell>
          <cell r="I103">
            <v>14</v>
          </cell>
        </row>
        <row r="104">
          <cell r="G104">
            <v>23</v>
          </cell>
          <cell r="H104">
            <v>2026</v>
          </cell>
          <cell r="I104">
            <v>15</v>
          </cell>
        </row>
        <row r="105">
          <cell r="G105">
            <v>24</v>
          </cell>
          <cell r="H105">
            <v>2027</v>
          </cell>
          <cell r="I105">
            <v>16</v>
          </cell>
        </row>
        <row r="106">
          <cell r="G106">
            <v>25</v>
          </cell>
          <cell r="H106">
            <v>2028</v>
          </cell>
          <cell r="I106">
            <v>17</v>
          </cell>
        </row>
        <row r="107">
          <cell r="G107">
            <v>26</v>
          </cell>
          <cell r="H107">
            <v>2029</v>
          </cell>
          <cell r="I107" t="str">
            <v/>
          </cell>
        </row>
        <row r="108">
          <cell r="G108">
            <v>27</v>
          </cell>
          <cell r="H108">
            <v>2030</v>
          </cell>
          <cell r="I108" t="str">
            <v/>
          </cell>
        </row>
        <row r="109">
          <cell r="G109">
            <v>28</v>
          </cell>
          <cell r="H109">
            <v>2031</v>
          </cell>
          <cell r="I109" t="str">
            <v/>
          </cell>
        </row>
        <row r="110">
          <cell r="G110">
            <v>29</v>
          </cell>
          <cell r="H110">
            <v>2032</v>
          </cell>
          <cell r="I110" t="str">
            <v/>
          </cell>
        </row>
        <row r="111">
          <cell r="G111">
            <v>30</v>
          </cell>
          <cell r="H111">
            <v>2033</v>
          </cell>
          <cell r="I111" t="str">
            <v/>
          </cell>
        </row>
        <row r="112">
          <cell r="G112">
            <v>31</v>
          </cell>
          <cell r="H112">
            <v>2034</v>
          </cell>
          <cell r="I112" t="str">
            <v/>
          </cell>
        </row>
        <row r="113">
          <cell r="G113">
            <v>32</v>
          </cell>
          <cell r="H113">
            <v>2035</v>
          </cell>
          <cell r="I113" t="str">
            <v/>
          </cell>
        </row>
        <row r="114">
          <cell r="G114">
            <v>33</v>
          </cell>
          <cell r="H114">
            <v>2036</v>
          </cell>
          <cell r="I114" t="str">
            <v/>
          </cell>
        </row>
        <row r="115">
          <cell r="G115">
            <v>34</v>
          </cell>
          <cell r="H115">
            <v>2037</v>
          </cell>
          <cell r="I115" t="str">
            <v/>
          </cell>
        </row>
        <row r="116">
          <cell r="G116">
            <v>35</v>
          </cell>
          <cell r="H116">
            <v>2038</v>
          </cell>
          <cell r="I116" t="str">
            <v/>
          </cell>
        </row>
        <row r="117">
          <cell r="G117">
            <v>36</v>
          </cell>
          <cell r="H117">
            <v>2039</v>
          </cell>
          <cell r="I117" t="str">
            <v/>
          </cell>
        </row>
        <row r="118">
          <cell r="G118">
            <v>37</v>
          </cell>
          <cell r="H118">
            <v>2040</v>
          </cell>
          <cell r="I118" t="str">
            <v/>
          </cell>
        </row>
        <row r="119">
          <cell r="G119">
            <v>38</v>
          </cell>
          <cell r="H119">
            <v>2041</v>
          </cell>
          <cell r="I119" t="str">
            <v/>
          </cell>
        </row>
        <row r="120">
          <cell r="G120">
            <v>39</v>
          </cell>
          <cell r="H120">
            <v>2042</v>
          </cell>
          <cell r="I120" t="str">
            <v/>
          </cell>
        </row>
        <row r="121">
          <cell r="G121">
            <v>40</v>
          </cell>
          <cell r="H121">
            <v>2043</v>
          </cell>
          <cell r="I121" t="str">
            <v/>
          </cell>
        </row>
        <row r="122">
          <cell r="G122">
            <v>41</v>
          </cell>
          <cell r="H122">
            <v>2044</v>
          </cell>
          <cell r="I122" t="str">
            <v/>
          </cell>
        </row>
        <row r="123">
          <cell r="G123">
            <v>42</v>
          </cell>
          <cell r="H123">
            <v>2045</v>
          </cell>
          <cell r="I123" t="str">
            <v/>
          </cell>
        </row>
      </sheetData>
      <sheetData sheetId="3"/>
      <sheetData sheetId="4"/>
      <sheetData sheetId="5"/>
      <sheetData sheetId="6">
        <row r="19">
          <cell r="A19">
            <v>1</v>
          </cell>
        </row>
      </sheetData>
      <sheetData sheetId="7">
        <row r="17">
          <cell r="A17">
            <v>1</v>
          </cell>
        </row>
      </sheetData>
      <sheetData sheetId="8">
        <row r="17">
          <cell r="A17">
            <v>1</v>
          </cell>
        </row>
      </sheetData>
      <sheetData sheetId="9">
        <row r="17">
          <cell r="A17">
            <v>1</v>
          </cell>
        </row>
      </sheetData>
      <sheetData sheetId="10">
        <row r="17">
          <cell r="A17">
            <v>1</v>
          </cell>
        </row>
      </sheetData>
      <sheetData sheetId="11"/>
      <sheetData sheetId="12">
        <row r="61">
          <cell r="E61">
            <v>0</v>
          </cell>
        </row>
      </sheetData>
      <sheetData sheetId="13">
        <row r="61">
          <cell r="E61">
            <v>0</v>
          </cell>
        </row>
      </sheetData>
      <sheetData sheetId="14">
        <row r="61">
          <cell r="E61">
            <v>0</v>
          </cell>
        </row>
      </sheetData>
      <sheetData sheetId="15">
        <row r="61">
          <cell r="E61">
            <v>0</v>
          </cell>
        </row>
      </sheetData>
      <sheetData sheetId="16">
        <row r="6">
          <cell r="B6">
            <v>43066</v>
          </cell>
        </row>
        <row r="9">
          <cell r="B9">
            <v>0</v>
          </cell>
          <cell r="C9">
            <v>4</v>
          </cell>
          <cell r="D9">
            <v>6</v>
          </cell>
          <cell r="E9">
            <v>8</v>
          </cell>
          <cell r="F9">
            <v>15</v>
          </cell>
          <cell r="G9">
            <v>25</v>
          </cell>
        </row>
        <row r="10">
          <cell r="B10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</row>
        <row r="11">
          <cell r="B11">
            <v>-8.0000000000000002E-3</v>
          </cell>
          <cell r="C11">
            <v>-6.0000000000000001E-3</v>
          </cell>
          <cell r="D11">
            <v>-3.0000000000000001E-3</v>
          </cell>
          <cell r="E11">
            <v>-1E-3</v>
          </cell>
          <cell r="F11">
            <v>2E-3</v>
          </cell>
          <cell r="G11">
            <v>6.0000000000000001E-3</v>
          </cell>
        </row>
        <row r="27">
          <cell r="A27">
            <v>1</v>
          </cell>
          <cell r="B27">
            <v>1.0040241611281235</v>
          </cell>
          <cell r="C27">
            <v>1.0030135678562992</v>
          </cell>
          <cell r="D27">
            <v>1.0015033834597085</v>
          </cell>
          <cell r="E27">
            <v>1.0005003753127737</v>
          </cell>
          <cell r="F27">
            <v>0.99900149750436706</v>
          </cell>
          <cell r="G27">
            <v>0.99701343285247179</v>
          </cell>
        </row>
        <row r="28">
          <cell r="A28">
            <v>2</v>
          </cell>
          <cell r="B28">
            <v>1.0121211301694795</v>
          </cell>
          <cell r="C28">
            <v>1.0090679757105627</v>
          </cell>
          <cell r="D28">
            <v>1.004516934262496</v>
          </cell>
          <cell r="E28">
            <v>1.0015018771899638</v>
          </cell>
          <cell r="F28">
            <v>0.9970074825392885</v>
          </cell>
          <cell r="G28">
            <v>0.99106703066846102</v>
          </cell>
        </row>
        <row r="29">
          <cell r="A29">
            <v>3</v>
          </cell>
          <cell r="B29">
            <v>1.0202833973482655</v>
          </cell>
          <cell r="C29">
            <v>1.0151589292862804</v>
          </cell>
          <cell r="D29">
            <v>1.0075395529212596</v>
          </cell>
          <cell r="E29">
            <v>1.0025043815715353</v>
          </cell>
          <cell r="F29">
            <v>0.99501744764400046</v>
          </cell>
          <cell r="G29">
            <v>0.98515609410383809</v>
          </cell>
        </row>
        <row r="30">
          <cell r="A30">
            <v>4</v>
          </cell>
          <cell r="B30">
            <v>1.0285114892623646</v>
          </cell>
          <cell r="C30">
            <v>1.0212866491813686</v>
          </cell>
          <cell r="D30">
            <v>1.0105712667214239</v>
          </cell>
          <cell r="E30">
            <v>1.0035078894609961</v>
          </cell>
          <cell r="F30">
            <v>0.99303138487425213</v>
          </cell>
          <cell r="G30">
            <v>0.9792804116340339</v>
          </cell>
        </row>
        <row r="31">
          <cell r="A31">
            <v>5</v>
          </cell>
          <cell r="B31">
            <v>1.036805936756416</v>
          </cell>
          <cell r="C31">
            <v>1.0274513573253203</v>
          </cell>
          <cell r="D31">
            <v>1.0136121030305154</v>
          </cell>
          <cell r="E31">
            <v>1.0045124018628591</v>
          </cell>
          <cell r="F31">
            <v>0.99104928630164868</v>
          </cell>
          <cell r="G31">
            <v>0.97343977299605744</v>
          </cell>
        </row>
        <row r="32">
          <cell r="A32">
            <v>6</v>
          </cell>
          <cell r="B32">
            <v>1.0451672749560643</v>
          </cell>
          <cell r="C32">
            <v>1.033653276987244</v>
          </cell>
          <cell r="D32">
            <v>1.0166620892984108</v>
          </cell>
          <cell r="E32">
            <v>1.0055179197826416</v>
          </cell>
          <cell r="F32">
            <v>0.98907114401362139</v>
          </cell>
          <cell r="G32">
            <v>0.96763396918097155</v>
          </cell>
        </row>
        <row r="33">
          <cell r="A33">
            <v>7</v>
          </cell>
          <cell r="B33">
            <v>1.0535960433024842</v>
          </cell>
          <cell r="C33">
            <v>1.0398926327839475</v>
          </cell>
          <cell r="D33">
            <v>1.0197212530575834</v>
          </cell>
          <cell r="E33">
            <v>1.0065244442268686</v>
          </cell>
          <cell r="F33">
            <v>0.9870969501133946</v>
          </cell>
          <cell r="G33">
            <v>0.96186279242641315</v>
          </cell>
        </row>
        <row r="34">
          <cell r="A34">
            <v>8</v>
          </cell>
          <cell r="B34">
            <v>1.0620927855871818</v>
          </cell>
          <cell r="C34">
            <v>1.046169650688076</v>
          </cell>
          <cell r="D34">
            <v>1.0227896219233537</v>
          </cell>
          <cell r="E34">
            <v>1.0075319762030717</v>
          </cell>
          <cell r="F34">
            <v>0.98512669671995479</v>
          </cell>
          <cell r="G34">
            <v>0.95612603620915815</v>
          </cell>
        </row>
        <row r="35">
          <cell r="A35">
            <v>9</v>
          </cell>
          <cell r="B35">
            <v>1.0706580499870784</v>
          </cell>
          <cell r="C35">
            <v>1.0524845580362938</v>
          </cell>
          <cell r="D35">
            <v>1.025867223594136</v>
          </cell>
          <cell r="E35">
            <v>1.0085405167197914</v>
          </cell>
          <cell r="F35">
            <v>0.98316037596801886</v>
          </cell>
          <cell r="G35">
            <v>0.95042349523773173</v>
          </cell>
        </row>
        <row r="36">
          <cell r="A36">
            <v>10</v>
          </cell>
          <cell r="B36">
            <v>1.0792923890998773</v>
          </cell>
          <cell r="C36">
            <v>1.0588375835375188</v>
          </cell>
          <cell r="D36">
            <v>1.028954085851691</v>
          </cell>
          <cell r="E36">
            <v>1.009550066786578</v>
          </cell>
          <cell r="F36">
            <v>0.98119798000800285</v>
          </cell>
          <cell r="G36">
            <v>0.94475496544506143</v>
          </cell>
        </row>
        <row r="37">
          <cell r="A37">
            <v>11</v>
          </cell>
          <cell r="B37">
            <v>1.0879963599797151</v>
          </cell>
          <cell r="C37">
            <v>1.0652289572812061</v>
          </cell>
          <cell r="D37">
            <v>1.0320502365613751</v>
          </cell>
          <cell r="E37">
            <v>1.010560627413992</v>
          </cell>
          <cell r="F37">
            <v>0.97923950100599078</v>
          </cell>
          <cell r="G37">
            <v>0.93912024398117433</v>
          </cell>
        </row>
        <row r="38">
          <cell r="A38">
            <v>12</v>
          </cell>
          <cell r="B38">
            <v>1.0967705241730998</v>
          </cell>
          <cell r="C38">
            <v>1.0716589107456802</v>
          </cell>
          <cell r="D38">
            <v>1.0351557036723924</v>
          </cell>
          <cell r="E38">
            <v>1.0115721996136056</v>
          </cell>
          <cell r="F38">
            <v>0.97728493114370329</v>
          </cell>
          <cell r="G38">
            <v>0.93351912920593871</v>
          </cell>
        </row>
        <row r="39">
          <cell r="A39">
            <v>13</v>
          </cell>
          <cell r="B39">
            <v>1.105615447755141</v>
          </cell>
          <cell r="C39">
            <v>1.0781276768065193</v>
          </cell>
          <cell r="D39">
            <v>1.0382705152180465</v>
          </cell>
          <cell r="E39">
            <v>1.0125847843980036</v>
          </cell>
          <cell r="F39">
            <v>0.97533426261846645</v>
          </cell>
          <cell r="G39">
            <v>0.92795142068184766</v>
          </cell>
        </row>
        <row r="40">
          <cell r="A40">
            <v>14</v>
          </cell>
          <cell r="B40">
            <v>1.1145317013660696</v>
          </cell>
          <cell r="C40">
            <v>1.0846354897449895</v>
          </cell>
          <cell r="D40">
            <v>1.0413946993159946</v>
          </cell>
          <cell r="E40">
            <v>1.0135983827807844</v>
          </cell>
          <cell r="F40">
            <v>0.97338748764318006</v>
          </cell>
          <cell r="G40">
            <v>0.92241691916684654</v>
          </cell>
        </row>
        <row r="41">
          <cell r="A41">
            <v>15</v>
          </cell>
          <cell r="B41">
            <v>1.1235198602480541</v>
          </cell>
          <cell r="C41">
            <v>1.0911825852565284</v>
          </cell>
          <cell r="D41">
            <v>1.0445282841685</v>
          </cell>
          <cell r="E41">
            <v>1.0146129957765611</v>
          </cell>
          <cell r="F41">
            <v>0.9714445984462875</v>
          </cell>
          <cell r="G41">
            <v>0.91691542660720338</v>
          </cell>
        </row>
        <row r="42">
          <cell r="A42">
            <v>16</v>
          </cell>
          <cell r="B42">
            <v>1.1325805042823125</v>
          </cell>
          <cell r="C42">
            <v>1.0977692004592843</v>
          </cell>
          <cell r="D42">
            <v>1.0476712980626879</v>
          </cell>
          <cell r="E42">
            <v>1.015628624400962</v>
          </cell>
          <cell r="F42">
            <v>0.96950558727174407</v>
          </cell>
          <cell r="G42">
            <v>0.91144674613042087</v>
          </cell>
        </row>
        <row r="43">
          <cell r="A43">
            <v>17</v>
          </cell>
          <cell r="B43">
            <v>1.1417142180265247</v>
          </cell>
          <cell r="C43">
            <v>1.1043955739027003</v>
          </cell>
          <cell r="D43">
            <v>1.0508237693708005</v>
          </cell>
          <cell r="E43">
            <v>1.0166452696706325</v>
          </cell>
          <cell r="F43">
            <v>0.96757044637898593</v>
          </cell>
          <cell r="G43">
            <v>0.90601068203819168</v>
          </cell>
        </row>
        <row r="44">
          <cell r="A44">
            <v>18</v>
          </cell>
          <cell r="B44">
            <v>1.1509215907525452</v>
          </cell>
          <cell r="C44">
            <v>1.1110619455761575</v>
          </cell>
          <cell r="D44">
            <v>1.053985726550452</v>
          </cell>
          <cell r="E44">
            <v>1.0176629326032358</v>
          </cell>
          <cell r="F44">
            <v>0.96563916804290029</v>
          </cell>
          <cell r="G44">
            <v>0.90060703979939527</v>
          </cell>
        </row>
        <row r="45">
          <cell r="A45">
            <v>19</v>
          </cell>
          <cell r="B45">
            <v>1.1602032164844205</v>
          </cell>
          <cell r="C45">
            <v>1.1177685569176632</v>
          </cell>
          <cell r="D45">
            <v>1.0571571981448864</v>
          </cell>
          <cell r="E45">
            <v>1.0186816142174533</v>
          </cell>
          <cell r="F45">
            <v>0.96371174455379272</v>
          </cell>
          <cell r="G45">
            <v>0.89523562604313633</v>
          </cell>
        </row>
        <row r="46">
          <cell r="A46">
            <v>20</v>
          </cell>
          <cell r="B46">
            <v>1.1695596940367141</v>
          </cell>
          <cell r="C46">
            <v>1.1245156508225989</v>
          </cell>
          <cell r="D46">
            <v>1.0603382127832361</v>
          </cell>
          <cell r="E46">
            <v>1.0197013155329862</v>
          </cell>
          <cell r="F46">
            <v>0.96178816821735802</v>
          </cell>
          <cell r="G46">
            <v>0.88989624855182559</v>
          </cell>
        </row>
        <row r="47">
          <cell r="A47">
            <v>21</v>
          </cell>
          <cell r="B47">
            <v>1.1789916270531393</v>
          </cell>
          <cell r="C47">
            <v>1.1313034716525141</v>
          </cell>
          <cell r="D47">
            <v>1.0635287991807785</v>
          </cell>
          <cell r="E47">
            <v>1.0207220375705568</v>
          </cell>
          <cell r="F47">
            <v>0.95986843135464872</v>
          </cell>
          <cell r="G47">
            <v>0.88458871625429969</v>
          </cell>
        </row>
        <row r="48">
          <cell r="A48">
            <v>22</v>
          </cell>
          <cell r="B48">
            <v>1.1884996240455035</v>
          </cell>
          <cell r="C48">
            <v>1.1381322652439778</v>
          </cell>
          <cell r="D48">
            <v>1.0667289861391962</v>
          </cell>
          <cell r="E48">
            <v>1.0217437813519086</v>
          </cell>
          <cell r="F48">
            <v>0.95795252630204442</v>
          </cell>
          <cell r="G48">
            <v>0.87931283921898573</v>
          </cell>
        </row>
        <row r="49">
          <cell r="A49">
            <v>23</v>
          </cell>
          <cell r="B49">
            <v>1.1980842984329672</v>
          </cell>
          <cell r="C49">
            <v>1.1450022789174827</v>
          </cell>
          <cell r="D49">
            <v>1.0699388025468366</v>
          </cell>
          <cell r="E49">
            <v>1.0227665478998085</v>
          </cell>
          <cell r="F49">
            <v>0.95604044541122213</v>
          </cell>
          <cell r="G49">
            <v>0.8740684286471031</v>
          </cell>
        </row>
        <row r="50">
          <cell r="A50">
            <v>24</v>
          </cell>
          <cell r="B50">
            <v>1.20774626858162</v>
          </cell>
          <cell r="C50">
            <v>1.1519137614864012</v>
          </cell>
          <cell r="D50">
            <v>1.0731582773789736</v>
          </cell>
          <cell r="E50">
            <v>1.0237903382380467</v>
          </cell>
          <cell r="F50">
            <v>0.9541321810491239</v>
          </cell>
          <cell r="G50">
            <v>0.86885529686590779</v>
          </cell>
        </row>
        <row r="51">
          <cell r="A51">
            <v>25</v>
          </cell>
          <cell r="B51">
            <v>1.217486157844375</v>
          </cell>
          <cell r="C51">
            <v>1.1588669632659971</v>
          </cell>
          <cell r="D51">
            <v>1.0763874396980677</v>
          </cell>
          <cell r="E51">
            <v>1.024815153391438</v>
          </cell>
          <cell r="F51">
            <v>0.9522277255979279</v>
          </cell>
          <cell r="G51">
            <v>0.86367325732197597</v>
          </cell>
        </row>
        <row r="52">
          <cell r="A52">
            <v>26</v>
          </cell>
          <cell r="B52">
            <v>1.2273045946011847</v>
          </cell>
          <cell r="C52">
            <v>1.1658621360824921</v>
          </cell>
          <cell r="D52">
            <v>1.0796263186540298</v>
          </cell>
          <cell r="E52">
            <v>1.0258409943858238</v>
          </cell>
          <cell r="F52">
            <v>0.95032707145501782</v>
          </cell>
          <cell r="G52">
            <v>0.85852212457452859</v>
          </cell>
        </row>
        <row r="53">
          <cell r="A53">
            <v>27</v>
          </cell>
          <cell r="B53">
            <v>1.2372022122995812</v>
          </cell>
          <cell r="C53">
            <v>1.1728995332821852</v>
          </cell>
          <cell r="D53">
            <v>1.0828749434844833</v>
          </cell>
          <cell r="E53">
            <v>1.026867862248072</v>
          </cell>
          <cell r="F53">
            <v>0.94843021103295211</v>
          </cell>
          <cell r="G53">
            <v>0.85340171428879597</v>
          </cell>
        </row>
        <row r="54">
          <cell r="A54">
            <v>28</v>
          </cell>
          <cell r="B54">
            <v>1.2471796494955456</v>
          </cell>
          <cell r="C54">
            <v>1.1799794097406291</v>
          </cell>
          <cell r="D54">
            <v>1.0861333435150284</v>
          </cell>
          <cell r="E54">
            <v>1.0278957580060779</v>
          </cell>
          <cell r="F54">
            <v>0.94653713675943307</v>
          </cell>
          <cell r="G54">
            <v>0.84831184322941933</v>
          </cell>
        </row>
        <row r="55">
          <cell r="A55">
            <v>29</v>
          </cell>
          <cell r="B55">
            <v>1.2572375498947033</v>
          </cell>
          <cell r="C55">
            <v>1.1871020218718602</v>
          </cell>
          <cell r="D55">
            <v>1.089401548159507</v>
          </cell>
          <cell r="E55">
            <v>1.0289246826887666</v>
          </cell>
          <cell r="F55">
            <v>0.94464784107727862</v>
          </cell>
          <cell r="G55">
            <v>0.84325232925389593</v>
          </cell>
        </row>
        <row r="56">
          <cell r="A56">
            <v>30</v>
          </cell>
          <cell r="B56">
            <v>1.267376562393854</v>
          </cell>
          <cell r="C56">
            <v>1.1942676276376865</v>
          </cell>
          <cell r="D56">
            <v>1.0926795869202677</v>
          </cell>
          <cell r="E56">
            <v>1.0299546373260928</v>
          </cell>
          <cell r="F56">
            <v>0.94276231644438979</v>
          </cell>
          <cell r="G56">
            <v>0.83822299130605971</v>
          </cell>
        </row>
        <row r="57">
          <cell r="A57">
            <v>31</v>
          </cell>
          <cell r="B57">
            <v>1.2775973411228367</v>
          </cell>
          <cell r="C57">
            <v>1.2014764865570284</v>
          </cell>
          <cell r="D57">
            <v>1.095967489388433</v>
          </cell>
          <cell r="E57">
            <v>1.0309856229490419</v>
          </cell>
          <cell r="F57">
            <v>0.94088055533372239</v>
          </cell>
          <cell r="G57">
            <v>0.83322364940960203</v>
          </cell>
        </row>
        <row r="58">
          <cell r="A58">
            <v>32</v>
          </cell>
          <cell r="B58">
            <v>1.2879005454867307</v>
          </cell>
          <cell r="C58">
            <v>1.2087288597153205</v>
          </cell>
          <cell r="D58">
            <v>1.0992652852441656</v>
          </cell>
          <cell r="E58">
            <v>1.0320176405896315</v>
          </cell>
          <cell r="F58">
            <v>0.93900255023325585</v>
          </cell>
          <cell r="G58">
            <v>0.82825412466163217</v>
          </cell>
        </row>
        <row r="59">
          <cell r="A59">
            <v>33</v>
          </cell>
          <cell r="B59">
            <v>1.2982868402083978</v>
          </cell>
          <cell r="C59">
            <v>1.2160250097739642</v>
          </cell>
          <cell r="D59">
            <v>1.1025730042569364</v>
          </cell>
          <cell r="E59">
            <v>1.0330506912809125</v>
          </cell>
          <cell r="F59">
            <v>0.93712829364596384</v>
          </cell>
          <cell r="G59">
            <v>0.82331423922627445</v>
          </cell>
        </row>
        <row r="60">
          <cell r="A60">
            <v>34</v>
          </cell>
          <cell r="B60">
            <v>1.3087568953713686</v>
          </cell>
          <cell r="C60">
            <v>1.2233652009798432</v>
          </cell>
          <cell r="D60">
            <v>1.1058906762857936</v>
          </cell>
          <cell r="E60">
            <v>1.0340847760569694</v>
          </cell>
          <cell r="F60">
            <v>0.93525777808978428</v>
          </cell>
          <cell r="G60">
            <v>0.81840381632830472</v>
          </cell>
        </row>
        <row r="61">
          <cell r="A61">
            <v>35</v>
          </cell>
          <cell r="B61">
            <v>1.3193113864630734</v>
          </cell>
          <cell r="C61">
            <v>1.2307496991748927</v>
          </cell>
          <cell r="D61">
            <v>1.1092183312796327</v>
          </cell>
          <cell r="E61">
            <v>1.0351198959529222</v>
          </cell>
          <cell r="F61">
            <v>0.93339099609758913</v>
          </cell>
          <cell r="G61">
            <v>0.81352268024682373</v>
          </cell>
        </row>
        <row r="62">
          <cell r="A62">
            <v>36</v>
          </cell>
          <cell r="B62">
            <v>1.3299509944184209</v>
          </cell>
          <cell r="C62">
            <v>1.2381787718057271</v>
          </cell>
          <cell r="D62">
            <v>1.1125559992774652</v>
          </cell>
          <cell r="E62">
            <v>1.0361560520049273</v>
          </cell>
          <cell r="F62">
            <v>0.9315279402171549</v>
          </cell>
          <cell r="G62">
            <v>0.80867065630896995</v>
          </cell>
        </row>
        <row r="63">
          <cell r="A63">
            <v>37</v>
          </cell>
          <cell r="B63">
            <v>1.3406764056637306</v>
          </cell>
          <cell r="C63">
            <v>1.245652687933327</v>
          </cell>
          <cell r="D63">
            <v>1.1159037104086911</v>
          </cell>
          <cell r="E63">
            <v>1.0371932452501773</v>
          </cell>
          <cell r="F63">
            <v>0.92966860301113252</v>
          </cell>
          <cell r="G63">
            <v>0.80384757088366798</v>
          </cell>
        </row>
        <row r="64">
          <cell r="A64">
            <v>38</v>
          </cell>
          <cell r="B64">
            <v>1.3514883121610188</v>
          </cell>
          <cell r="C64">
            <v>1.2531717182427837</v>
          </cell>
          <cell r="D64">
            <v>1.1192614948933712</v>
          </cell>
          <cell r="E64">
            <v>1.0382314767269043</v>
          </cell>
          <cell r="F64">
            <v>0.9278129770570186</v>
          </cell>
          <cell r="G64">
            <v>0.7990532513754155</v>
          </cell>
        </row>
        <row r="65">
          <cell r="A65">
            <v>39</v>
          </cell>
          <cell r="B65">
            <v>1.36238741145264</v>
          </cell>
          <cell r="C65">
            <v>1.2607361350531023</v>
          </cell>
          <cell r="D65">
            <v>1.1226293830424987</v>
          </cell>
          <cell r="E65">
            <v>1.0392707474743788</v>
          </cell>
          <cell r="F65">
            <v>0.92596105494712444</v>
          </cell>
          <cell r="G65">
            <v>0.79428752621810683</v>
          </cell>
        </row>
        <row r="66">
          <cell r="A66">
            <v>40</v>
          </cell>
          <cell r="B66">
            <v>1.3733744067062903</v>
          </cell>
          <cell r="C66">
            <v>1.2683462123270648</v>
          </cell>
          <cell r="D66">
            <v>1.1260074052582736</v>
          </cell>
          <cell r="E66">
            <v>1.0403110585329116</v>
          </cell>
          <cell r="F66">
            <v>0.9241128292885471</v>
          </cell>
          <cell r="G66">
            <v>0.78955022486889348</v>
          </cell>
        </row>
        <row r="67">
          <cell r="A67">
            <v>41</v>
          </cell>
          <cell r="B67">
            <v>1.3844500067603733</v>
          </cell>
          <cell r="C67">
            <v>1.2760022256811516</v>
          </cell>
          <cell r="D67">
            <v>1.1293955920343766</v>
          </cell>
          <cell r="E67">
            <v>1.0413524109438554</v>
          </cell>
          <cell r="F67">
            <v>0.92226829270314092</v>
          </cell>
          <cell r="G67">
            <v>0.78484117780208096</v>
          </cell>
        </row>
        <row r="68">
          <cell r="A68">
            <v>42</v>
          </cell>
          <cell r="B68">
            <v>1.395614926169731</v>
          </cell>
          <cell r="C68">
            <v>1.2837044523955248</v>
          </cell>
          <cell r="D68">
            <v>1.1327939739562454</v>
          </cell>
          <cell r="E68">
            <v>1.0423948057496051</v>
          </cell>
          <cell r="F68">
            <v>0.92042743782748593</v>
          </cell>
          <cell r="G68">
            <v>0.78016021650306266</v>
          </cell>
        </row>
        <row r="69">
          <cell r="A69">
            <v>43</v>
          </cell>
          <cell r="B69">
            <v>1.4068698852517449</v>
          </cell>
          <cell r="C69">
            <v>1.2914531714240693</v>
          </cell>
          <cell r="D69">
            <v>1.1362025817013495</v>
          </cell>
          <cell r="E69">
            <v>1.0434382439935987</v>
          </cell>
          <cell r="F69">
            <v>0.91859025731286026</v>
          </cell>
          <cell r="G69">
            <v>0.77550717346228892</v>
          </cell>
        </row>
        <row r="70">
          <cell r="A70">
            <v>44</v>
          </cell>
          <cell r="B70">
            <v>1.4182156101328074</v>
          </cell>
          <cell r="C70">
            <v>1.2992486634044962</v>
          </cell>
          <cell r="D70">
            <v>1.1396214460394678</v>
          </cell>
          <cell r="E70">
            <v>1.0444827267203189</v>
          </cell>
          <cell r="F70">
            <v>0.91675674382520989</v>
          </cell>
          <cell r="G70">
            <v>0.77088188216927311</v>
          </cell>
        </row>
        <row r="71">
          <cell r="A71">
            <v>45</v>
          </cell>
          <cell r="B71">
            <v>1.429652832795169</v>
          </cell>
          <cell r="C71">
            <v>1.3070912106685071</v>
          </cell>
          <cell r="D71">
            <v>1.1430505978329668</v>
          </cell>
          <cell r="E71">
            <v>1.0455282549752942</v>
          </cell>
          <cell r="F71">
            <v>0.91492689004511962</v>
          </cell>
          <cell r="G71">
            <v>0.76628417710663332</v>
          </cell>
        </row>
        <row r="72">
          <cell r="A72">
            <v>46</v>
          </cell>
          <cell r="B72">
            <v>1.4411822911241623</v>
          </cell>
          <cell r="C72">
            <v>1.3149810972520195</v>
          </cell>
          <cell r="D72">
            <v>1.146490068037078</v>
          </cell>
          <cell r="E72">
            <v>1.0465748298050994</v>
          </cell>
          <cell r="F72">
            <v>0.91310068866778404</v>
          </cell>
          <cell r="G72">
            <v>0.76171389374416831</v>
          </cell>
        </row>
        <row r="73">
          <cell r="A73">
            <v>47</v>
          </cell>
          <cell r="B73">
            <v>1.4528047289558086</v>
          </cell>
          <cell r="C73">
            <v>1.3229186089054521</v>
          </cell>
          <cell r="D73">
            <v>1.1499398877001785</v>
          </cell>
          <cell r="E73">
            <v>1.0476224522573567</v>
          </cell>
          <cell r="F73">
            <v>0.91127813240297806</v>
          </cell>
          <cell r="G73">
            <v>0.75717086853297066</v>
          </cell>
        </row>
        <row r="74">
          <cell r="A74">
            <v>48</v>
          </cell>
          <cell r="B74">
            <v>1.4645208961248073</v>
          </cell>
          <cell r="C74">
            <v>1.3309040331040767</v>
          </cell>
          <cell r="D74">
            <v>1.1534000879640709</v>
          </cell>
          <cell r="E74">
            <v>1.0486711233807375</v>
          </cell>
          <cell r="F74">
            <v>0.90945921397502794</v>
          </cell>
          <cell r="G74">
            <v>0.75265493889957313</v>
          </cell>
        </row>
        <row r="75">
          <cell r="A75">
            <v>49</v>
          </cell>
          <cell r="B75">
            <v>1.4763315485129105</v>
          </cell>
          <cell r="C75">
            <v>1.3389376590584272</v>
          </cell>
          <cell r="D75">
            <v>1.1568707000642635</v>
          </cell>
          <cell r="E75">
            <v>1.0497208442249626</v>
          </cell>
          <cell r="F75">
            <v>0.90764392612278255</v>
          </cell>
          <cell r="G75">
            <v>0.74816594324013219</v>
          </cell>
        </row>
        <row r="76">
          <cell r="A76">
            <v>50</v>
          </cell>
          <cell r="B76">
            <v>1.4882374480976921</v>
          </cell>
          <cell r="C76">
            <v>1.3470197777247759</v>
          </cell>
          <cell r="D76">
            <v>1.1603517553302543</v>
          </cell>
          <cell r="E76">
            <v>1.0507716158408031</v>
          </cell>
          <cell r="F76">
            <v>0.9058322615995833</v>
          </cell>
          <cell r="G76">
            <v>0.74370372091464443</v>
          </cell>
        </row>
        <row r="77">
          <cell r="A77">
            <v>51</v>
          </cell>
          <cell r="B77">
            <v>1.5002393630017057</v>
          </cell>
          <cell r="C77">
            <v>1.35515068181567</v>
          </cell>
          <cell r="D77">
            <v>1.1638432851858118</v>
          </cell>
          <cell r="E77">
            <v>1.0518234392800834</v>
          </cell>
          <cell r="F77">
            <v>0.90402421317323678</v>
          </cell>
          <cell r="G77">
            <v>0.73926811224119726</v>
          </cell>
        </row>
        <row r="78">
          <cell r="A78">
            <v>52</v>
          </cell>
          <cell r="B78">
            <v>1.5123380675420419</v>
          </cell>
          <cell r="C78">
            <v>1.3633306658105331</v>
          </cell>
          <cell r="D78">
            <v>1.1673453211492595</v>
          </cell>
          <cell r="E78">
            <v>1.0528763155956788</v>
          </cell>
          <cell r="F78">
            <v>0.90221977362598493</v>
          </cell>
          <cell r="G78">
            <v>0.73485895849025573</v>
          </cell>
        </row>
        <row r="79">
          <cell r="A79">
            <v>53</v>
          </cell>
          <cell r="B79">
            <v>1.5245343422802844</v>
          </cell>
          <cell r="C79">
            <v>1.371560025966331</v>
          </cell>
          <cell r="D79">
            <v>1.1708578948337609</v>
          </cell>
          <cell r="E79">
            <v>1.0539302458415205</v>
          </cell>
          <cell r="F79">
            <v>0.90041893575447574</v>
          </cell>
          <cell r="G79">
            <v>0.73047610187898171</v>
          </cell>
        </row>
        <row r="80">
          <cell r="A80">
            <v>54</v>
          </cell>
          <cell r="B80">
            <v>1.5368289740728673</v>
          </cell>
          <cell r="C80">
            <v>1.3798390603283008</v>
          </cell>
          <cell r="D80">
            <v>1.1743810379476036</v>
          </cell>
          <cell r="E80">
            <v>1.0549852310725931</v>
          </cell>
          <cell r="F80">
            <v>0.89862169236973644</v>
          </cell>
          <cell r="G80">
            <v>0.7261193855655883</v>
          </cell>
        </row>
        <row r="81">
          <cell r="A81">
            <v>55</v>
          </cell>
          <cell r="B81">
            <v>1.5492227561218419</v>
          </cell>
          <cell r="C81">
            <v>1.3881680687407454</v>
          </cell>
          <cell r="D81">
            <v>1.1779147822944871</v>
          </cell>
          <cell r="E81">
            <v>1.0560412723449382</v>
          </cell>
          <cell r="F81">
            <v>0.89682803629714214</v>
          </cell>
          <cell r="G81">
            <v>0.72178865364372591</v>
          </cell>
        </row>
        <row r="82">
          <cell r="A82">
            <v>56</v>
          </cell>
          <cell r="B82">
            <v>1.5617164880260506</v>
          </cell>
          <cell r="C82">
            <v>1.3965473528578927</v>
          </cell>
          <cell r="D82">
            <v>1.1814591597738084</v>
          </cell>
          <cell r="E82">
            <v>1.0570983707156538</v>
          </cell>
          <cell r="F82">
            <v>0.89503796037638927</v>
          </cell>
          <cell r="G82">
            <v>0.71748375113690455</v>
          </cell>
        </row>
        <row r="83">
          <cell r="A83">
            <v>57</v>
          </cell>
          <cell r="B83">
            <v>1.5743109758327121</v>
          </cell>
          <cell r="C83">
            <v>1.4049772161548215</v>
          </cell>
          <cell r="D83">
            <v>1.1850142023809513</v>
          </cell>
          <cell r="E83">
            <v>1.0581565272428965</v>
          </cell>
          <cell r="F83">
            <v>0.89325145746146628</v>
          </cell>
          <cell r="G83">
            <v>0.71320452399294676</v>
          </cell>
        </row>
        <row r="84">
          <cell r="A84">
            <v>58</v>
          </cell>
          <cell r="B84">
            <v>1.5870070320894276</v>
          </cell>
          <cell r="C84">
            <v>1.4134579639384524</v>
          </cell>
          <cell r="D84">
            <v>1.188579942207574</v>
          </cell>
          <cell r="E84">
            <v>1.0592157429858824</v>
          </cell>
          <cell r="F84">
            <v>0.89146852042062519</v>
          </cell>
          <cell r="G84">
            <v>0.70895081907847601</v>
          </cell>
        </row>
        <row r="85">
          <cell r="A85">
            <v>59</v>
          </cell>
          <cell r="B85">
            <v>1.5998054758966003</v>
          </cell>
          <cell r="C85">
            <v>1.4219899033586041</v>
          </cell>
          <cell r="D85">
            <v>1.1921564114418997</v>
          </cell>
          <cell r="E85">
            <v>1.0602760190048874</v>
          </cell>
          <cell r="F85">
            <v>0.88968914213635242</v>
          </cell>
          <cell r="G85">
            <v>0.7047224841734353</v>
          </cell>
        </row>
        <row r="86">
          <cell r="A86">
            <v>60</v>
          </cell>
          <cell r="B86">
            <v>1.6127071329602827</v>
          </cell>
          <cell r="C86">
            <v>1.4305733434191188</v>
          </cell>
          <cell r="D86">
            <v>1.1957436423690067</v>
          </cell>
          <cell r="E86">
            <v>1.0613373563612487</v>
          </cell>
          <cell r="F86">
            <v>0.8879133155053418</v>
          </cell>
          <cell r="G86">
            <v>0.70051936796564152</v>
          </cell>
        </row>
      </sheetData>
      <sheetData sheetId="17">
        <row r="5">
          <cell r="A5" t="str">
            <v>DASA-CE</v>
          </cell>
        </row>
        <row r="9">
          <cell r="H9">
            <v>0</v>
          </cell>
          <cell r="I9" t="str">
            <v>n/a</v>
          </cell>
          <cell r="J9" t="str">
            <v>n/a</v>
          </cell>
        </row>
        <row r="10">
          <cell r="H10">
            <v>2012</v>
          </cell>
          <cell r="I10">
            <v>0.89487881506658262</v>
          </cell>
          <cell r="J10">
            <v>0.90883837178367355</v>
          </cell>
        </row>
        <row r="11">
          <cell r="H11">
            <v>2013</v>
          </cell>
          <cell r="I11">
            <v>0.90830199729258132</v>
          </cell>
          <cell r="J11">
            <v>0.92426941282561126</v>
          </cell>
        </row>
        <row r="12">
          <cell r="H12">
            <v>2014</v>
          </cell>
          <cell r="I12">
            <v>0.92192652725197</v>
          </cell>
          <cell r="J12">
            <v>0.94253056044909844</v>
          </cell>
        </row>
        <row r="13">
          <cell r="H13">
            <v>2015</v>
          </cell>
          <cell r="I13">
            <v>0.93206771905174157</v>
          </cell>
          <cell r="J13">
            <v>0.95849497882770474</v>
          </cell>
        </row>
        <row r="14">
          <cell r="H14">
            <v>2016</v>
          </cell>
          <cell r="I14">
            <v>0.94325253168036249</v>
          </cell>
          <cell r="J14">
            <v>0.96810706518674527</v>
          </cell>
        </row>
        <row r="15">
          <cell r="H15">
            <v>2017</v>
          </cell>
          <cell r="I15">
            <v>0.95928782471892859</v>
          </cell>
          <cell r="J15">
            <v>0.98795662792315853</v>
          </cell>
        </row>
        <row r="16">
          <cell r="H16">
            <v>2018</v>
          </cell>
          <cell r="I16">
            <v>0.98039215686274506</v>
          </cell>
          <cell r="J16">
            <v>1.0051321923848282</v>
          </cell>
        </row>
        <row r="17">
          <cell r="H17">
            <v>2019</v>
          </cell>
          <cell r="I17">
            <v>1</v>
          </cell>
          <cell r="J17">
            <v>1.0206234922359168</v>
          </cell>
        </row>
        <row r="18">
          <cell r="H18">
            <v>2020</v>
          </cell>
          <cell r="I18">
            <v>1.02</v>
          </cell>
          <cell r="J18">
            <v>1.0428264165899419</v>
          </cell>
        </row>
        <row r="19">
          <cell r="H19">
            <v>2021</v>
          </cell>
          <cell r="I19">
            <v>1.0404</v>
          </cell>
          <cell r="J19">
            <v>1.0636829449217409</v>
          </cell>
        </row>
        <row r="20">
          <cell r="H20">
            <v>2022</v>
          </cell>
          <cell r="I20">
            <v>1.0612079999999999</v>
          </cell>
          <cell r="J20">
            <v>1.0849566038201754</v>
          </cell>
        </row>
        <row r="21">
          <cell r="H21">
            <v>2023</v>
          </cell>
          <cell r="I21">
            <v>1.08243216</v>
          </cell>
          <cell r="J21">
            <v>1.106655735896579</v>
          </cell>
        </row>
        <row r="22">
          <cell r="H22">
            <v>2024</v>
          </cell>
          <cell r="I22">
            <v>1.1040808032</v>
          </cell>
          <cell r="J22">
            <v>1.1287888506145107</v>
          </cell>
        </row>
        <row r="23">
          <cell r="H23">
            <v>2025</v>
          </cell>
          <cell r="I23">
            <v>1.1261624192640001</v>
          </cell>
          <cell r="J23">
            <v>1.151364627626801</v>
          </cell>
        </row>
        <row r="24">
          <cell r="H24">
            <v>2026</v>
          </cell>
          <cell r="I24">
            <v>1.14868566764928</v>
          </cell>
          <cell r="J24">
            <v>1.1743919201793371</v>
          </cell>
        </row>
        <row r="25">
          <cell r="H25">
            <v>2027</v>
          </cell>
          <cell r="I25">
            <v>1.1716593810022657</v>
          </cell>
          <cell r="J25">
            <v>1.1978797585829239</v>
          </cell>
        </row>
        <row r="26">
          <cell r="H26">
            <v>2028</v>
          </cell>
          <cell r="I26">
            <v>1.1950925686223111</v>
          </cell>
          <cell r="J26">
            <v>1.2218373537545824</v>
          </cell>
        </row>
        <row r="27">
          <cell r="H27">
            <v>2029</v>
          </cell>
          <cell r="I27">
            <v>1.2189944199947573</v>
          </cell>
          <cell r="J27">
            <v>1.2462741008296743</v>
          </cell>
        </row>
        <row r="28">
          <cell r="H28">
            <v>2030</v>
          </cell>
          <cell r="I28">
            <v>1.2433743083946525</v>
          </cell>
          <cell r="J28">
            <v>1.2711995828462677</v>
          </cell>
        </row>
        <row r="29">
          <cell r="H29">
            <v>2031</v>
          </cell>
          <cell r="I29">
            <v>1.2682417945625455</v>
          </cell>
          <cell r="J29">
            <v>1.2966235745031929</v>
          </cell>
        </row>
        <row r="30">
          <cell r="H30">
            <v>2032</v>
          </cell>
          <cell r="I30">
            <v>1.2936066304537963</v>
          </cell>
          <cell r="J30">
            <v>1.3225560459932568</v>
          </cell>
        </row>
        <row r="31">
          <cell r="H31">
            <v>2033</v>
          </cell>
          <cell r="I31">
            <v>1.3194787630628724</v>
          </cell>
          <cell r="J31">
            <v>1.3490071669131221</v>
          </cell>
        </row>
        <row r="32">
          <cell r="H32">
            <v>2034</v>
          </cell>
          <cell r="I32">
            <v>1.3458683383241299</v>
          </cell>
          <cell r="J32">
            <v>1.3759873102513847</v>
          </cell>
        </row>
        <row r="33">
          <cell r="H33">
            <v>2035</v>
          </cell>
          <cell r="I33">
            <v>1.3727857050906125</v>
          </cell>
          <cell r="J33">
            <v>1.4035070564564123</v>
          </cell>
        </row>
        <row r="34">
          <cell r="H34">
            <v>2036</v>
          </cell>
          <cell r="I34">
            <v>1.4002414191924248</v>
          </cell>
          <cell r="J34">
            <v>1.4315771975855407</v>
          </cell>
        </row>
        <row r="35">
          <cell r="H35">
            <v>2037</v>
          </cell>
          <cell r="I35">
            <v>1.4282462475762734</v>
          </cell>
          <cell r="J35">
            <v>1.4602087415372513</v>
          </cell>
        </row>
        <row r="36">
          <cell r="H36">
            <v>2038</v>
          </cell>
          <cell r="I36">
            <v>1.4568111725277988</v>
          </cell>
          <cell r="J36">
            <v>1.4894129163679966</v>
          </cell>
        </row>
        <row r="37">
          <cell r="H37">
            <v>2039</v>
          </cell>
          <cell r="I37">
            <v>1.4859473959783549</v>
          </cell>
          <cell r="J37">
            <v>1.5192011746953564</v>
          </cell>
        </row>
        <row r="38">
          <cell r="H38">
            <v>2040</v>
          </cell>
          <cell r="I38">
            <v>1.5156663438979221</v>
          </cell>
          <cell r="J38">
            <v>1.5495851981892634</v>
          </cell>
        </row>
        <row r="39">
          <cell r="H39">
            <v>2041</v>
          </cell>
          <cell r="I39">
            <v>1.5459796707758806</v>
          </cell>
          <cell r="J39">
            <v>1.5805769021530487</v>
          </cell>
        </row>
        <row r="40">
          <cell r="H40">
            <v>2042</v>
          </cell>
          <cell r="I40">
            <v>1.5768992641913981</v>
          </cell>
          <cell r="J40">
            <v>1.6121884401961102</v>
          </cell>
        </row>
        <row r="41">
          <cell r="H41">
            <v>2043</v>
          </cell>
          <cell r="I41">
            <v>1.6084372494752261</v>
          </cell>
          <cell r="J41">
            <v>1.6444322090000321</v>
          </cell>
        </row>
        <row r="42">
          <cell r="H42">
            <v>2044</v>
          </cell>
          <cell r="I42">
            <v>1.6406059944647307</v>
          </cell>
          <cell r="J42">
            <v>1.6773208531800323</v>
          </cell>
        </row>
        <row r="43">
          <cell r="H43">
            <v>2045</v>
          </cell>
          <cell r="I43">
            <v>1.6734181143540252</v>
          </cell>
          <cell r="J43">
            <v>1.7108672702436334</v>
          </cell>
        </row>
        <row r="44">
          <cell r="H44">
            <v>2046</v>
          </cell>
          <cell r="I44">
            <v>1.7068864766411058</v>
          </cell>
          <cell r="J44">
            <v>1.745084615648506</v>
          </cell>
        </row>
        <row r="45">
          <cell r="H45">
            <v>2047</v>
          </cell>
          <cell r="I45">
            <v>1.7410242061739281</v>
          </cell>
          <cell r="J45">
            <v>1.7799863079614762</v>
          </cell>
        </row>
        <row r="46">
          <cell r="H46">
            <v>2048</v>
          </cell>
          <cell r="I46">
            <v>1.7758446902974065</v>
          </cell>
          <cell r="J46">
            <v>1.8155860341207057</v>
          </cell>
        </row>
        <row r="47">
          <cell r="H47">
            <v>2049</v>
          </cell>
          <cell r="I47">
            <v>1.8113615841033548</v>
          </cell>
          <cell r="J47">
            <v>1.8518977548031201</v>
          </cell>
        </row>
        <row r="48">
          <cell r="H48">
            <v>2050</v>
          </cell>
          <cell r="I48">
            <v>1.8475888157854219</v>
          </cell>
          <cell r="J48">
            <v>1.8889357098991826</v>
          </cell>
        </row>
        <row r="49">
          <cell r="H49">
            <v>2051</v>
          </cell>
          <cell r="I49">
            <v>1.8845405921011305</v>
          </cell>
          <cell r="J49">
            <v>1.9267144240971661</v>
          </cell>
        </row>
        <row r="50">
          <cell r="H50">
            <v>2052</v>
          </cell>
          <cell r="I50">
            <v>1.9222314039431532</v>
          </cell>
          <cell r="J50">
            <v>1.9652487125791098</v>
          </cell>
        </row>
        <row r="51">
          <cell r="H51">
            <v>2053</v>
          </cell>
          <cell r="I51">
            <v>1.9606760320220162</v>
          </cell>
          <cell r="J51">
            <v>2.0045536868306915</v>
          </cell>
        </row>
        <row r="52">
          <cell r="H52">
            <v>2054</v>
          </cell>
          <cell r="I52">
            <v>1.9998895526624565</v>
          </cell>
          <cell r="J52">
            <v>2.0446447605673055</v>
          </cell>
        </row>
        <row r="53">
          <cell r="H53">
            <v>2055</v>
          </cell>
          <cell r="I53">
            <v>2.0398873437157055</v>
          </cell>
          <cell r="J53">
            <v>2.0855376557786522</v>
          </cell>
        </row>
        <row r="54">
          <cell r="H54">
            <v>2056</v>
          </cell>
          <cell r="I54">
            <v>2.0806850905900198</v>
          </cell>
          <cell r="J54">
            <v>2.127248408894225</v>
          </cell>
        </row>
        <row r="55">
          <cell r="H55">
            <v>2057</v>
          </cell>
          <cell r="I55">
            <v>2.1222987924018204</v>
          </cell>
          <cell r="J55">
            <v>2.1697933770721098</v>
          </cell>
        </row>
        <row r="56">
          <cell r="H56">
            <v>2058</v>
          </cell>
          <cell r="I56">
            <v>2.1647447682498568</v>
          </cell>
          <cell r="J56">
            <v>2.2131892446135519</v>
          </cell>
        </row>
        <row r="57">
          <cell r="H57">
            <v>2059</v>
          </cell>
          <cell r="I57">
            <v>2.208039663614854</v>
          </cell>
          <cell r="J57">
            <v>2.2574530295058226</v>
          </cell>
        </row>
        <row r="58">
          <cell r="H58">
            <v>2060</v>
          </cell>
          <cell r="I58">
            <v>2.252200456887151</v>
          </cell>
          <cell r="J58">
            <v>2.3026020900959394</v>
          </cell>
        </row>
        <row r="59">
          <cell r="H59">
            <v>2061</v>
          </cell>
          <cell r="I59">
            <v>2.2972444660248938</v>
          </cell>
          <cell r="J59">
            <v>2.3486541318978582</v>
          </cell>
        </row>
        <row r="60">
          <cell r="H60">
            <v>2062</v>
          </cell>
          <cell r="I60">
            <v>2.343189355345392</v>
          </cell>
          <cell r="J60">
            <v>2.3956272145358155</v>
          </cell>
        </row>
        <row r="61">
          <cell r="H61">
            <v>2063</v>
          </cell>
          <cell r="I61">
            <v>2.3900531424522997</v>
          </cell>
          <cell r="J61">
            <v>2.4435397588265313</v>
          </cell>
        </row>
        <row r="62">
          <cell r="H62">
            <v>2064</v>
          </cell>
          <cell r="I62">
            <v>2.4378542053013459</v>
          </cell>
          <cell r="J62">
            <v>2.4924105540030617</v>
          </cell>
        </row>
        <row r="63">
          <cell r="H63">
            <v>2065</v>
          </cell>
          <cell r="I63">
            <v>2.4866112894073726</v>
          </cell>
          <cell r="J63">
            <v>2.542258765083123</v>
          </cell>
        </row>
        <row r="64">
          <cell r="H64">
            <v>2066</v>
          </cell>
          <cell r="I64">
            <v>2.53634351519552</v>
          </cell>
          <cell r="J64">
            <v>2.5931039403847858</v>
          </cell>
        </row>
        <row r="65">
          <cell r="H65">
            <v>2067</v>
          </cell>
          <cell r="I65">
            <v>2.5870703854994304</v>
          </cell>
          <cell r="J65">
            <v>2.6449660191924811</v>
          </cell>
        </row>
        <row r="66">
          <cell r="H66">
            <v>2068</v>
          </cell>
          <cell r="I66">
            <v>2.6388117932094191</v>
          </cell>
          <cell r="J66">
            <v>2.6978653395763308</v>
          </cell>
        </row>
        <row r="67">
          <cell r="H67">
            <v>2069</v>
          </cell>
          <cell r="I67">
            <v>2.6915880290736074</v>
          </cell>
          <cell r="J67">
            <v>2.7518226463678577</v>
          </cell>
        </row>
        <row r="68">
          <cell r="H68">
            <v>2070</v>
          </cell>
          <cell r="I68">
            <v>2.7454197896550796</v>
          </cell>
          <cell r="J68">
            <v>2.8068590992952145</v>
          </cell>
        </row>
        <row r="69">
          <cell r="H69">
            <v>2071</v>
          </cell>
          <cell r="I69">
            <v>2.8003281854481812</v>
          </cell>
          <cell r="J69">
            <v>2.8629962812811192</v>
          </cell>
        </row>
        <row r="70">
          <cell r="H70">
            <v>2072</v>
          </cell>
          <cell r="I70">
            <v>2.8563347491571447</v>
          </cell>
          <cell r="J70">
            <v>2.9202562069067417</v>
          </cell>
        </row>
        <row r="71">
          <cell r="H71">
            <v>2073</v>
          </cell>
          <cell r="I71">
            <v>2.9134614441402875</v>
          </cell>
          <cell r="J71">
            <v>2.9786613310448757</v>
          </cell>
        </row>
        <row r="72">
          <cell r="H72">
            <v>2074</v>
          </cell>
          <cell r="I72">
            <v>2.9717306730230932</v>
          </cell>
          <cell r="J72">
            <v>3.0382345576657737</v>
          </cell>
        </row>
        <row r="73">
          <cell r="H73">
            <v>2075</v>
          </cell>
          <cell r="I73">
            <v>3.0311652864835552</v>
          </cell>
          <cell r="J73">
            <v>3.0989992488190889</v>
          </cell>
        </row>
        <row r="74">
          <cell r="H74">
            <v>2076</v>
          </cell>
          <cell r="I74">
            <v>3.0917885922132262</v>
          </cell>
          <cell r="J74">
            <v>3.1609792337954707</v>
          </cell>
        </row>
        <row r="75">
          <cell r="H75">
            <v>2077</v>
          </cell>
          <cell r="I75">
            <v>3.1536243640574906</v>
          </cell>
          <cell r="J75">
            <v>3.2241988184713808</v>
          </cell>
        </row>
        <row r="76">
          <cell r="H76">
            <v>2078</v>
          </cell>
          <cell r="I76">
            <v>3.2166968513386403</v>
          </cell>
          <cell r="J76">
            <v>3.2886827948408075</v>
          </cell>
        </row>
        <row r="77">
          <cell r="H77">
            <v>2079</v>
          </cell>
          <cell r="I77">
            <v>3.2810307883654133</v>
          </cell>
          <cell r="J77" t="str">
            <v>not applicable - not enough compound indicies</v>
          </cell>
        </row>
        <row r="78">
          <cell r="H78">
            <v>2080</v>
          </cell>
          <cell r="I78">
            <v>3.3466514041327216</v>
          </cell>
          <cell r="J78" t="str">
            <v>not applicable - not enough compound indicies</v>
          </cell>
        </row>
        <row r="79">
          <cell r="H79">
            <v>2081</v>
          </cell>
          <cell r="I79">
            <v>3.4135844322153761</v>
          </cell>
          <cell r="J79" t="str">
            <v>not applicable - not enough compound indicies</v>
          </cell>
        </row>
        <row r="80">
          <cell r="H80">
            <v>2082</v>
          </cell>
          <cell r="I80">
            <v>3.4818561208596837</v>
          </cell>
          <cell r="J80" t="str">
            <v>not applicable - not enough compound indicies</v>
          </cell>
        </row>
        <row r="81">
          <cell r="H81">
            <v>2083</v>
          </cell>
          <cell r="I81">
            <v>3.5514932432768775</v>
          </cell>
          <cell r="J81" t="str">
            <v>not applicable - not enough compound indicies</v>
          </cell>
        </row>
        <row r="82">
          <cell r="H82">
            <v>2084</v>
          </cell>
          <cell r="I82">
            <v>3.6225231081424152</v>
          </cell>
          <cell r="J82" t="str">
            <v>not applicable - not enough compound indicies</v>
          </cell>
        </row>
        <row r="88">
          <cell r="H88">
            <v>0</v>
          </cell>
          <cell r="I88" t="str">
            <v>n/a</v>
          </cell>
          <cell r="J88" t="str">
            <v>n/a</v>
          </cell>
        </row>
        <row r="89">
          <cell r="H89">
            <v>2012</v>
          </cell>
          <cell r="I89">
            <v>0.89487881506658262</v>
          </cell>
          <cell r="J89">
            <v>0.91623904374455145</v>
          </cell>
        </row>
        <row r="90">
          <cell r="H90">
            <v>2013</v>
          </cell>
          <cell r="I90">
            <v>0.90830199729258132</v>
          </cell>
          <cell r="J90">
            <v>0.93275500973883674</v>
          </cell>
        </row>
        <row r="91">
          <cell r="H91">
            <v>2014</v>
          </cell>
          <cell r="I91">
            <v>0.92192652725197</v>
          </cell>
          <cell r="J91">
            <v>0.94719769520619301</v>
          </cell>
        </row>
        <row r="92">
          <cell r="H92">
            <v>2015</v>
          </cell>
          <cell r="I92">
            <v>0.93206771905174157</v>
          </cell>
          <cell r="J92">
            <v>0.96206794930308903</v>
          </cell>
        </row>
        <row r="93">
          <cell r="H93">
            <v>2016</v>
          </cell>
          <cell r="I93">
            <v>0.94325253168036249</v>
          </cell>
          <cell r="J93">
            <v>0.97496415188647512</v>
          </cell>
        </row>
        <row r="94">
          <cell r="H94">
            <v>2017</v>
          </cell>
          <cell r="I94">
            <v>0.95928782471892859</v>
          </cell>
          <cell r="J94">
            <v>0.9949602158485592</v>
          </cell>
        </row>
        <row r="95">
          <cell r="H95">
            <v>2018</v>
          </cell>
          <cell r="I95">
            <v>0.98039215686274506</v>
          </cell>
          <cell r="J95">
            <v>1.0156084032584283</v>
          </cell>
        </row>
        <row r="96">
          <cell r="H96">
            <v>2019</v>
          </cell>
          <cell r="I96">
            <v>1</v>
          </cell>
          <cell r="J96">
            <v>1.0379813753235969</v>
          </cell>
        </row>
        <row r="97">
          <cell r="H97">
            <v>2020</v>
          </cell>
          <cell r="I97">
            <v>1.02</v>
          </cell>
          <cell r="J97">
            <v>1.0584667977918636</v>
          </cell>
        </row>
        <row r="98">
          <cell r="H98">
            <v>2021</v>
          </cell>
          <cell r="I98">
            <v>1.0404</v>
          </cell>
          <cell r="J98">
            <v>1.079636133747701</v>
          </cell>
        </row>
        <row r="99">
          <cell r="H99">
            <v>2022</v>
          </cell>
          <cell r="I99">
            <v>1.0612079999999999</v>
          </cell>
          <cell r="J99">
            <v>1.1012288564226551</v>
          </cell>
        </row>
        <row r="100">
          <cell r="H100">
            <v>2023</v>
          </cell>
          <cell r="I100">
            <v>1.08243216</v>
          </cell>
          <cell r="J100">
            <v>1.1232534335511084</v>
          </cell>
        </row>
        <row r="101">
          <cell r="H101">
            <v>2024</v>
          </cell>
          <cell r="I101">
            <v>1.1040808032</v>
          </cell>
          <cell r="J101">
            <v>1.1457185022221303</v>
          </cell>
        </row>
        <row r="102">
          <cell r="H102">
            <v>2025</v>
          </cell>
          <cell r="I102">
            <v>1.1261624192640001</v>
          </cell>
          <cell r="J102">
            <v>1.1686328722665731</v>
          </cell>
        </row>
        <row r="103">
          <cell r="H103">
            <v>2026</v>
          </cell>
          <cell r="I103">
            <v>1.14868566764928</v>
          </cell>
          <cell r="J103">
            <v>1.1920055297119043</v>
          </cell>
        </row>
        <row r="104">
          <cell r="H104">
            <v>2027</v>
          </cell>
          <cell r="I104">
            <v>1.1716593810022657</v>
          </cell>
          <cell r="J104">
            <v>1.2158456403061426</v>
          </cell>
        </row>
        <row r="105">
          <cell r="H105">
            <v>2028</v>
          </cell>
          <cell r="I105">
            <v>1.1950925686223111</v>
          </cell>
          <cell r="J105">
            <v>1.2401625531122655</v>
          </cell>
        </row>
        <row r="106">
          <cell r="H106">
            <v>2029</v>
          </cell>
          <cell r="I106">
            <v>1.2189944199947573</v>
          </cell>
          <cell r="J106">
            <v>1.2649658041745107</v>
          </cell>
        </row>
        <row r="107">
          <cell r="H107">
            <v>2030</v>
          </cell>
          <cell r="I107">
            <v>1.2433743083946525</v>
          </cell>
          <cell r="J107">
            <v>1.2902651202580009</v>
          </cell>
        </row>
        <row r="108">
          <cell r="H108">
            <v>2031</v>
          </cell>
          <cell r="I108">
            <v>1.2682417945625455</v>
          </cell>
          <cell r="J108">
            <v>1.3160704226631612</v>
          </cell>
        </row>
        <row r="109">
          <cell r="H109">
            <v>2032</v>
          </cell>
          <cell r="I109">
            <v>1.2936066304537963</v>
          </cell>
          <cell r="J109">
            <v>1.3423918311164242</v>
          </cell>
        </row>
        <row r="110">
          <cell r="H110">
            <v>2033</v>
          </cell>
          <cell r="I110">
            <v>1.3194787630628724</v>
          </cell>
          <cell r="J110">
            <v>1.3692396677387528</v>
          </cell>
        </row>
        <row r="111">
          <cell r="H111">
            <v>2034</v>
          </cell>
          <cell r="I111">
            <v>1.3458683383241299</v>
          </cell>
          <cell r="J111">
            <v>1.3966244610935279</v>
          </cell>
        </row>
        <row r="112">
          <cell r="H112">
            <v>2035</v>
          </cell>
          <cell r="I112">
            <v>1.3727857050906125</v>
          </cell>
          <cell r="J112">
            <v>1.4245569503153988</v>
          </cell>
        </row>
        <row r="113">
          <cell r="H113">
            <v>2036</v>
          </cell>
          <cell r="I113">
            <v>1.4002414191924248</v>
          </cell>
          <cell r="J113">
            <v>1.4530480893217068</v>
          </cell>
        </row>
        <row r="114">
          <cell r="H114">
            <v>2037</v>
          </cell>
          <cell r="I114">
            <v>1.4282462475762734</v>
          </cell>
          <cell r="J114">
            <v>1.4821090511081407</v>
          </cell>
        </row>
        <row r="115">
          <cell r="H115">
            <v>2038</v>
          </cell>
          <cell r="I115">
            <v>1.4568111725277988</v>
          </cell>
          <cell r="J115">
            <v>1.5117512321303037</v>
          </cell>
        </row>
        <row r="116">
          <cell r="H116">
            <v>2039</v>
          </cell>
          <cell r="I116">
            <v>1.4859473959783549</v>
          </cell>
          <cell r="J116">
            <v>1.5419862567729097</v>
          </cell>
        </row>
        <row r="117">
          <cell r="H117">
            <v>2040</v>
          </cell>
          <cell r="I117">
            <v>1.5156663438979221</v>
          </cell>
          <cell r="J117">
            <v>1.5728259819083681</v>
          </cell>
        </row>
        <row r="118">
          <cell r="H118">
            <v>2041</v>
          </cell>
          <cell r="I118">
            <v>1.5459796707758806</v>
          </cell>
          <cell r="J118">
            <v>1.6042825015465354</v>
          </cell>
        </row>
        <row r="119">
          <cell r="H119">
            <v>2042</v>
          </cell>
          <cell r="I119">
            <v>1.5768992641913981</v>
          </cell>
          <cell r="J119">
            <v>1.6363681515774664</v>
          </cell>
        </row>
        <row r="120">
          <cell r="H120">
            <v>2043</v>
          </cell>
          <cell r="I120">
            <v>1.6084372494752261</v>
          </cell>
          <cell r="J120">
            <v>1.6690955146090154</v>
          </cell>
        </row>
        <row r="121">
          <cell r="H121">
            <v>2044</v>
          </cell>
          <cell r="I121">
            <v>1.6406059944647307</v>
          </cell>
          <cell r="J121">
            <v>1.7024774249011958</v>
          </cell>
        </row>
        <row r="122">
          <cell r="H122">
            <v>2045</v>
          </cell>
          <cell r="I122">
            <v>1.6734181143540252</v>
          </cell>
          <cell r="J122">
            <v>1.7365269733992195</v>
          </cell>
        </row>
        <row r="123">
          <cell r="H123">
            <v>2046</v>
          </cell>
          <cell r="I123">
            <v>1.7068864766411058</v>
          </cell>
          <cell r="J123">
            <v>1.7712575128672041</v>
          </cell>
        </row>
        <row r="124">
          <cell r="H124">
            <v>2047</v>
          </cell>
          <cell r="I124">
            <v>1.7410242061739281</v>
          </cell>
          <cell r="J124">
            <v>1.8066826631245483</v>
          </cell>
        </row>
        <row r="125">
          <cell r="H125">
            <v>2048</v>
          </cell>
          <cell r="I125">
            <v>1.7758446902974065</v>
          </cell>
          <cell r="J125">
            <v>1.8428163163870397</v>
          </cell>
        </row>
        <row r="126">
          <cell r="H126">
            <v>2049</v>
          </cell>
          <cell r="I126">
            <v>1.8113615841033548</v>
          </cell>
          <cell r="J126">
            <v>1.8796726427147801</v>
          </cell>
        </row>
        <row r="127">
          <cell r="H127">
            <v>2050</v>
          </cell>
          <cell r="I127">
            <v>1.8475888157854219</v>
          </cell>
          <cell r="J127">
            <v>1.9172660955690757</v>
          </cell>
        </row>
        <row r="128">
          <cell r="H128">
            <v>2051</v>
          </cell>
          <cell r="I128">
            <v>1.8845405921011305</v>
          </cell>
          <cell r="J128">
            <v>1.9556114174804573</v>
          </cell>
        </row>
        <row r="129">
          <cell r="H129">
            <v>2052</v>
          </cell>
          <cell r="I129">
            <v>1.9222314039431532</v>
          </cell>
          <cell r="J129">
            <v>1.9947236458300666</v>
          </cell>
        </row>
        <row r="130">
          <cell r="H130">
            <v>2053</v>
          </cell>
          <cell r="I130">
            <v>1.9606760320220162</v>
          </cell>
          <cell r="J130">
            <v>2.0346181187466676</v>
          </cell>
        </row>
        <row r="131">
          <cell r="H131">
            <v>2054</v>
          </cell>
          <cell r="I131">
            <v>1.9998895526624565</v>
          </cell>
          <cell r="J131">
            <v>2.0753104811216012</v>
          </cell>
        </row>
        <row r="132">
          <cell r="H132">
            <v>2055</v>
          </cell>
          <cell r="I132">
            <v>2.0398873437157055</v>
          </cell>
          <cell r="J132">
            <v>2.1168166907440336</v>
          </cell>
        </row>
        <row r="133">
          <cell r="H133">
            <v>2056</v>
          </cell>
          <cell r="I133">
            <v>2.0806850905900198</v>
          </cell>
          <cell r="J133">
            <v>2.1591530245589143</v>
          </cell>
        </row>
        <row r="134">
          <cell r="H134">
            <v>2057</v>
          </cell>
          <cell r="I134">
            <v>2.1222987924018204</v>
          </cell>
          <cell r="J134">
            <v>2.2023360850500922</v>
          </cell>
        </row>
        <row r="135">
          <cell r="H135">
            <v>2058</v>
          </cell>
          <cell r="I135">
            <v>2.1647447682498568</v>
          </cell>
          <cell r="J135">
            <v>2.246382806751094</v>
          </cell>
        </row>
        <row r="136">
          <cell r="H136">
            <v>2059</v>
          </cell>
          <cell r="I136">
            <v>2.208039663614854</v>
          </cell>
          <cell r="J136">
            <v>2.2913104628861163</v>
          </cell>
        </row>
        <row r="137">
          <cell r="H137">
            <v>2060</v>
          </cell>
          <cell r="I137">
            <v>2.252200456887151</v>
          </cell>
          <cell r="J137">
            <v>2.3371366721438389</v>
          </cell>
        </row>
        <row r="138">
          <cell r="H138">
            <v>2061</v>
          </cell>
          <cell r="I138">
            <v>2.2972444660248938</v>
          </cell>
          <cell r="J138">
            <v>2.3838794055867156</v>
          </cell>
        </row>
        <row r="139">
          <cell r="H139">
            <v>2062</v>
          </cell>
          <cell r="I139">
            <v>2.343189355345392</v>
          </cell>
          <cell r="J139">
            <v>2.4315569936984494</v>
          </cell>
        </row>
        <row r="140">
          <cell r="H140">
            <v>2063</v>
          </cell>
          <cell r="I140">
            <v>2.3900531424522997</v>
          </cell>
          <cell r="J140">
            <v>2.4801881335724185</v>
          </cell>
        </row>
        <row r="141">
          <cell r="H141">
            <v>2064</v>
          </cell>
          <cell r="I141">
            <v>2.4378542053013459</v>
          </cell>
          <cell r="J141">
            <v>2.5297918962438666</v>
          </cell>
        </row>
        <row r="142">
          <cell r="H142">
            <v>2065</v>
          </cell>
          <cell r="I142">
            <v>2.4866112894073726</v>
          </cell>
          <cell r="J142">
            <v>2.580387734168744</v>
          </cell>
        </row>
        <row r="143">
          <cell r="H143">
            <v>2066</v>
          </cell>
          <cell r="I143">
            <v>2.53634351519552</v>
          </cell>
          <cell r="J143">
            <v>2.6319954888521186</v>
          </cell>
        </row>
        <row r="144">
          <cell r="H144">
            <v>2067</v>
          </cell>
          <cell r="I144">
            <v>2.5870703854994304</v>
          </cell>
          <cell r="J144">
            <v>2.6846353986291609</v>
          </cell>
        </row>
        <row r="145">
          <cell r="H145">
            <v>2068</v>
          </cell>
          <cell r="I145">
            <v>2.6388117932094191</v>
          </cell>
          <cell r="J145">
            <v>2.7383281066017449</v>
          </cell>
        </row>
        <row r="146">
          <cell r="H146">
            <v>2069</v>
          </cell>
          <cell r="I146">
            <v>2.6915880290736074</v>
          </cell>
          <cell r="J146">
            <v>2.7930946687337794</v>
          </cell>
        </row>
        <row r="147">
          <cell r="H147">
            <v>2070</v>
          </cell>
          <cell r="I147">
            <v>2.7454197896550796</v>
          </cell>
          <cell r="J147">
            <v>2.8489565621084552</v>
          </cell>
        </row>
        <row r="148">
          <cell r="H148">
            <v>2071</v>
          </cell>
          <cell r="I148">
            <v>2.8003281854481812</v>
          </cell>
          <cell r="J148">
            <v>2.905935693350624</v>
          </cell>
        </row>
        <row r="149">
          <cell r="H149">
            <v>2072</v>
          </cell>
          <cell r="I149">
            <v>2.8563347491571447</v>
          </cell>
          <cell r="J149">
            <v>2.964054407217636</v>
          </cell>
        </row>
        <row r="150">
          <cell r="H150">
            <v>2073</v>
          </cell>
          <cell r="I150">
            <v>2.9134614441402875</v>
          </cell>
          <cell r="J150">
            <v>3.0233354953619891</v>
          </cell>
        </row>
        <row r="151">
          <cell r="H151">
            <v>2074</v>
          </cell>
          <cell r="I151">
            <v>2.9717306730230932</v>
          </cell>
          <cell r="J151">
            <v>3.0838022052692287</v>
          </cell>
        </row>
        <row r="152">
          <cell r="H152">
            <v>2075</v>
          </cell>
          <cell r="I152">
            <v>3.0311652864835552</v>
          </cell>
          <cell r="J152">
            <v>3.1454782493746136</v>
          </cell>
        </row>
        <row r="153">
          <cell r="H153">
            <v>2076</v>
          </cell>
          <cell r="I153">
            <v>3.0917885922132262</v>
          </cell>
          <cell r="J153">
            <v>3.2083878143621054</v>
          </cell>
        </row>
        <row r="154">
          <cell r="H154">
            <v>2077</v>
          </cell>
          <cell r="I154">
            <v>3.1536243640574906</v>
          </cell>
          <cell r="J154">
            <v>3.2725555706493479</v>
          </cell>
        </row>
        <row r="155">
          <cell r="H155">
            <v>2078</v>
          </cell>
          <cell r="I155">
            <v>3.2166968513386403</v>
          </cell>
          <cell r="J155">
            <v>3.3091858882139538</v>
          </cell>
        </row>
        <row r="156">
          <cell r="H156">
            <v>2079</v>
          </cell>
          <cell r="I156">
            <v>3.2810307883654133</v>
          </cell>
          <cell r="J156" t="str">
            <v>not applicable - not enough compound indicies</v>
          </cell>
        </row>
        <row r="157">
          <cell r="H157">
            <v>2080</v>
          </cell>
          <cell r="I157">
            <v>3.3466514041327216</v>
          </cell>
          <cell r="J157" t="str">
            <v>not applicable - not enough compound indicies</v>
          </cell>
        </row>
        <row r="158">
          <cell r="H158">
            <v>2081</v>
          </cell>
          <cell r="I158">
            <v>3.4135844322153761</v>
          </cell>
          <cell r="J158" t="str">
            <v>not applicable - not enough compound indicies</v>
          </cell>
        </row>
        <row r="159">
          <cell r="H159">
            <v>2082</v>
          </cell>
          <cell r="I159">
            <v>3.4818561208596837</v>
          </cell>
          <cell r="J159" t="str">
            <v>not applicable - not enough compound indicies</v>
          </cell>
        </row>
        <row r="160">
          <cell r="H160">
            <v>2083</v>
          </cell>
          <cell r="I160">
            <v>3.5514932432768775</v>
          </cell>
          <cell r="J160" t="str">
            <v>not applicable - not enough compound indicies</v>
          </cell>
        </row>
        <row r="161">
          <cell r="H161">
            <v>2084</v>
          </cell>
          <cell r="I161">
            <v>3.6225231081424152</v>
          </cell>
          <cell r="J161" t="str">
            <v>not applicable - not enough compound indicies</v>
          </cell>
        </row>
        <row r="167">
          <cell r="H167">
            <v>0</v>
          </cell>
          <cell r="I167" t="str">
            <v>n/a</v>
          </cell>
          <cell r="J167" t="str">
            <v>n/a</v>
          </cell>
        </row>
        <row r="168">
          <cell r="H168">
            <v>2012</v>
          </cell>
          <cell r="I168">
            <v>0.89487881506658262</v>
          </cell>
          <cell r="J168">
            <v>0.91625388706777888</v>
          </cell>
        </row>
        <row r="169">
          <cell r="H169">
            <v>2013</v>
          </cell>
          <cell r="I169">
            <v>0.90830199729258132</v>
          </cell>
          <cell r="J169">
            <v>0.93627138956685163</v>
          </cell>
        </row>
        <row r="170">
          <cell r="H170">
            <v>2014</v>
          </cell>
          <cell r="I170">
            <v>0.92192652725197</v>
          </cell>
          <cell r="J170">
            <v>0.9453586310483606</v>
          </cell>
        </row>
        <row r="171">
          <cell r="H171">
            <v>2015</v>
          </cell>
          <cell r="I171">
            <v>0.93206771905174157</v>
          </cell>
          <cell r="J171">
            <v>0.95897546456102978</v>
          </cell>
        </row>
        <row r="172">
          <cell r="H172">
            <v>2016</v>
          </cell>
          <cell r="I172">
            <v>0.94325253168036249</v>
          </cell>
          <cell r="J172">
            <v>0.9779466564903625</v>
          </cell>
        </row>
        <row r="173">
          <cell r="H173">
            <v>2017</v>
          </cell>
          <cell r="I173">
            <v>0.95928782471892859</v>
          </cell>
          <cell r="J173">
            <v>0.99798869715582572</v>
          </cell>
        </row>
        <row r="174">
          <cell r="H174">
            <v>2018</v>
          </cell>
          <cell r="I174">
            <v>0.98039215686274506</v>
          </cell>
          <cell r="J174">
            <v>1.0177336673692312</v>
          </cell>
        </row>
        <row r="175">
          <cell r="H175">
            <v>2019</v>
          </cell>
          <cell r="I175">
            <v>1</v>
          </cell>
          <cell r="J175">
            <v>1.0380883407166157</v>
          </cell>
        </row>
        <row r="176">
          <cell r="H176">
            <v>2020</v>
          </cell>
          <cell r="I176">
            <v>1.02</v>
          </cell>
          <cell r="J176">
            <v>1.0588501075309482</v>
          </cell>
        </row>
        <row r="177">
          <cell r="H177">
            <v>2021</v>
          </cell>
          <cell r="I177">
            <v>1.0404</v>
          </cell>
          <cell r="J177">
            <v>1.0800271096815668</v>
          </cell>
        </row>
        <row r="178">
          <cell r="H178">
            <v>2022</v>
          </cell>
          <cell r="I178">
            <v>1.0612079999999999</v>
          </cell>
          <cell r="J178">
            <v>1.1016276518751982</v>
          </cell>
        </row>
        <row r="179">
          <cell r="H179">
            <v>2023</v>
          </cell>
          <cell r="I179">
            <v>1.08243216</v>
          </cell>
          <cell r="J179">
            <v>1.1236602049127025</v>
          </cell>
        </row>
        <row r="180">
          <cell r="H180">
            <v>2024</v>
          </cell>
          <cell r="I180">
            <v>1.1040808032</v>
          </cell>
          <cell r="J180">
            <v>1.1461334090109565</v>
          </cell>
        </row>
        <row r="181">
          <cell r="H181">
            <v>2025</v>
          </cell>
          <cell r="I181">
            <v>1.1261624192640001</v>
          </cell>
          <cell r="J181">
            <v>1.1690560771911755</v>
          </cell>
        </row>
        <row r="182">
          <cell r="H182">
            <v>2026</v>
          </cell>
          <cell r="I182">
            <v>1.14868566764928</v>
          </cell>
          <cell r="J182">
            <v>1.1924371987349993</v>
          </cell>
        </row>
        <row r="183">
          <cell r="H183">
            <v>2027</v>
          </cell>
          <cell r="I183">
            <v>1.1716593810022657</v>
          </cell>
          <cell r="J183">
            <v>1.216285942709699</v>
          </cell>
        </row>
        <row r="184">
          <cell r="H184">
            <v>2028</v>
          </cell>
          <cell r="I184">
            <v>1.1950925686223111</v>
          </cell>
          <cell r="J184">
            <v>1.2406116615638929</v>
          </cell>
        </row>
        <row r="185">
          <cell r="H185">
            <v>2029</v>
          </cell>
          <cell r="I185">
            <v>1.2189944199947573</v>
          </cell>
          <cell r="J185">
            <v>1.2654238947951706</v>
          </cell>
        </row>
        <row r="186">
          <cell r="H186">
            <v>2030</v>
          </cell>
          <cell r="I186">
            <v>1.2433743083946525</v>
          </cell>
          <cell r="J186">
            <v>1.2907323726910744</v>
          </cell>
        </row>
        <row r="187">
          <cell r="H187">
            <v>2031</v>
          </cell>
          <cell r="I187">
            <v>1.2682417945625455</v>
          </cell>
          <cell r="J187">
            <v>1.3165470201448959</v>
          </cell>
        </row>
        <row r="188">
          <cell r="H188">
            <v>2032</v>
          </cell>
          <cell r="I188">
            <v>1.2936066304537963</v>
          </cell>
          <cell r="J188">
            <v>1.3428779605477941</v>
          </cell>
        </row>
        <row r="189">
          <cell r="H189">
            <v>2033</v>
          </cell>
          <cell r="I189">
            <v>1.3194787630628724</v>
          </cell>
          <cell r="J189">
            <v>1.3697355197587497</v>
          </cell>
        </row>
        <row r="190">
          <cell r="H190">
            <v>2034</v>
          </cell>
          <cell r="I190">
            <v>1.3458683383241299</v>
          </cell>
          <cell r="J190">
            <v>1.3971302301539248</v>
          </cell>
        </row>
        <row r="191">
          <cell r="H191">
            <v>2035</v>
          </cell>
          <cell r="I191">
            <v>1.3727857050906125</v>
          </cell>
          <cell r="J191">
            <v>1.4250728347570036</v>
          </cell>
        </row>
        <row r="192">
          <cell r="H192">
            <v>2036</v>
          </cell>
          <cell r="I192">
            <v>1.4002414191924248</v>
          </cell>
          <cell r="J192">
            <v>1.4535742914521437</v>
          </cell>
        </row>
        <row r="193">
          <cell r="H193">
            <v>2037</v>
          </cell>
          <cell r="I193">
            <v>1.4282462475762734</v>
          </cell>
          <cell r="J193">
            <v>1.4826457772811863</v>
          </cell>
        </row>
        <row r="194">
          <cell r="H194">
            <v>2038</v>
          </cell>
          <cell r="I194">
            <v>1.4568111725277988</v>
          </cell>
          <cell r="J194">
            <v>1.5122986928268103</v>
          </cell>
        </row>
        <row r="195">
          <cell r="H195">
            <v>2039</v>
          </cell>
          <cell r="I195">
            <v>1.4859473959783549</v>
          </cell>
          <cell r="J195">
            <v>1.5425446666833462</v>
          </cell>
        </row>
        <row r="196">
          <cell r="H196">
            <v>2040</v>
          </cell>
          <cell r="I196">
            <v>1.5156663438979221</v>
          </cell>
          <cell r="J196">
            <v>1.5733955600170133</v>
          </cell>
        </row>
        <row r="197">
          <cell r="H197">
            <v>2041</v>
          </cell>
          <cell r="I197">
            <v>1.5459796707758806</v>
          </cell>
          <cell r="J197">
            <v>1.604863471217354</v>
          </cell>
        </row>
        <row r="198">
          <cell r="H198">
            <v>2042</v>
          </cell>
          <cell r="I198">
            <v>1.5768992641913981</v>
          </cell>
          <cell r="J198">
            <v>1.6369607406417011</v>
          </cell>
        </row>
        <row r="199">
          <cell r="H199">
            <v>2043</v>
          </cell>
          <cell r="I199">
            <v>1.6084372494752261</v>
          </cell>
          <cell r="J199">
            <v>1.6696999554545349</v>
          </cell>
        </row>
        <row r="200">
          <cell r="H200">
            <v>2044</v>
          </cell>
          <cell r="I200">
            <v>1.6406059944647307</v>
          </cell>
          <cell r="J200">
            <v>1.7030939545636254</v>
          </cell>
        </row>
        <row r="201">
          <cell r="H201">
            <v>2045</v>
          </cell>
          <cell r="I201">
            <v>1.6734181143540252</v>
          </cell>
          <cell r="J201">
            <v>1.737155833654898</v>
          </cell>
        </row>
        <row r="202">
          <cell r="H202">
            <v>2046</v>
          </cell>
          <cell r="I202">
            <v>1.7068864766411058</v>
          </cell>
          <cell r="J202">
            <v>1.7718989503279963</v>
          </cell>
        </row>
        <row r="203">
          <cell r="H203">
            <v>2047</v>
          </cell>
          <cell r="I203">
            <v>1.7410242061739281</v>
          </cell>
          <cell r="J203">
            <v>1.807336929334556</v>
          </cell>
        </row>
        <row r="204">
          <cell r="H204">
            <v>2048</v>
          </cell>
          <cell r="I204">
            <v>1.7758446902974065</v>
          </cell>
          <cell r="J204">
            <v>1.843483667921247</v>
          </cell>
        </row>
        <row r="205">
          <cell r="H205">
            <v>2049</v>
          </cell>
          <cell r="I205">
            <v>1.8113615841033548</v>
          </cell>
          <cell r="J205">
            <v>1.880353341279672</v>
          </cell>
        </row>
        <row r="206">
          <cell r="H206">
            <v>2050</v>
          </cell>
          <cell r="I206">
            <v>1.8475888157854219</v>
          </cell>
          <cell r="J206">
            <v>1.9179604081052657</v>
          </cell>
        </row>
        <row r="207">
          <cell r="H207">
            <v>2051</v>
          </cell>
          <cell r="I207">
            <v>1.8845405921011305</v>
          </cell>
          <cell r="J207">
            <v>1.9563196162673708</v>
          </cell>
        </row>
        <row r="208">
          <cell r="H208">
            <v>2052</v>
          </cell>
          <cell r="I208">
            <v>1.9222314039431532</v>
          </cell>
          <cell r="J208">
            <v>1.9954460085927184</v>
          </cell>
        </row>
        <row r="209">
          <cell r="H209">
            <v>2053</v>
          </cell>
          <cell r="I209">
            <v>1.9606760320220162</v>
          </cell>
          <cell r="J209">
            <v>2.0353549287645731</v>
          </cell>
        </row>
        <row r="210">
          <cell r="H210">
            <v>2054</v>
          </cell>
          <cell r="I210">
            <v>1.9998895526624565</v>
          </cell>
          <cell r="J210">
            <v>2.0760620273398644</v>
          </cell>
        </row>
        <row r="211">
          <cell r="H211">
            <v>2055</v>
          </cell>
          <cell r="I211">
            <v>2.0398873437157055</v>
          </cell>
          <cell r="J211">
            <v>2.117583267886662</v>
          </cell>
        </row>
        <row r="212">
          <cell r="H212">
            <v>2056</v>
          </cell>
          <cell r="I212">
            <v>2.0806850905900198</v>
          </cell>
          <cell r="J212">
            <v>2.1599349332443953</v>
          </cell>
        </row>
        <row r="213">
          <cell r="H213">
            <v>2057</v>
          </cell>
          <cell r="I213">
            <v>2.1222987924018204</v>
          </cell>
          <cell r="J213">
            <v>2.2031336319092829</v>
          </cell>
        </row>
        <row r="214">
          <cell r="H214">
            <v>2058</v>
          </cell>
          <cell r="I214">
            <v>2.1647447682498568</v>
          </cell>
          <cell r="J214">
            <v>2.2471963045474692</v>
          </cell>
        </row>
        <row r="215">
          <cell r="H215">
            <v>2059</v>
          </cell>
          <cell r="I215">
            <v>2.208039663614854</v>
          </cell>
          <cell r="J215">
            <v>2.292140230638418</v>
          </cell>
        </row>
        <row r="216">
          <cell r="H216">
            <v>2060</v>
          </cell>
          <cell r="I216">
            <v>2.252200456887151</v>
          </cell>
          <cell r="J216">
            <v>2.3379830352511863</v>
          </cell>
        </row>
        <row r="217">
          <cell r="H217">
            <v>2061</v>
          </cell>
          <cell r="I217">
            <v>2.2972444660248938</v>
          </cell>
          <cell r="J217">
            <v>2.3847426959562097</v>
          </cell>
        </row>
        <row r="218">
          <cell r="H218">
            <v>2062</v>
          </cell>
          <cell r="I218">
            <v>2.343189355345392</v>
          </cell>
          <cell r="J218">
            <v>2.4324375498753339</v>
          </cell>
        </row>
        <row r="219">
          <cell r="H219">
            <v>2063</v>
          </cell>
          <cell r="I219">
            <v>2.3900531424522997</v>
          </cell>
          <cell r="J219">
            <v>2.4810863008728412</v>
          </cell>
        </row>
        <row r="220">
          <cell r="H220">
            <v>2064</v>
          </cell>
          <cell r="I220">
            <v>2.4378542053013459</v>
          </cell>
          <cell r="J220">
            <v>2.5307080268902986</v>
          </cell>
        </row>
        <row r="221">
          <cell r="H221">
            <v>2065</v>
          </cell>
          <cell r="I221">
            <v>2.4866112894073726</v>
          </cell>
          <cell r="J221">
            <v>2.5813221874281038</v>
          </cell>
        </row>
        <row r="222">
          <cell r="H222">
            <v>2066</v>
          </cell>
          <cell r="I222">
            <v>2.53634351519552</v>
          </cell>
          <cell r="J222">
            <v>2.6329486311766663</v>
          </cell>
        </row>
        <row r="223">
          <cell r="H223">
            <v>2067</v>
          </cell>
          <cell r="I223">
            <v>2.5870703854994304</v>
          </cell>
          <cell r="J223">
            <v>2.6856076038001993</v>
          </cell>
        </row>
        <row r="224">
          <cell r="H224">
            <v>2068</v>
          </cell>
          <cell r="I224">
            <v>2.6388117932094191</v>
          </cell>
          <cell r="J224">
            <v>2.7393197558762026</v>
          </cell>
        </row>
        <row r="225">
          <cell r="H225">
            <v>2069</v>
          </cell>
          <cell r="I225">
            <v>2.6915880290736074</v>
          </cell>
          <cell r="J225">
            <v>2.7941061509937271</v>
          </cell>
        </row>
        <row r="226">
          <cell r="H226">
            <v>2070</v>
          </cell>
          <cell r="I226">
            <v>2.7454197896550796</v>
          </cell>
          <cell r="J226">
            <v>2.8499882740136018</v>
          </cell>
        </row>
        <row r="227">
          <cell r="H227">
            <v>2071</v>
          </cell>
          <cell r="I227">
            <v>2.8003281854481812</v>
          </cell>
          <cell r="J227">
            <v>2.9069880394938741</v>
          </cell>
        </row>
        <row r="228">
          <cell r="H228">
            <v>2072</v>
          </cell>
          <cell r="I228">
            <v>2.8563347491571447</v>
          </cell>
          <cell r="J228">
            <v>2.9651278002837511</v>
          </cell>
        </row>
        <row r="229">
          <cell r="H229">
            <v>2073</v>
          </cell>
          <cell r="I229">
            <v>2.9134614441402875</v>
          </cell>
          <cell r="J229">
            <v>3.0244303562894261</v>
          </cell>
        </row>
        <row r="230">
          <cell r="H230">
            <v>2074</v>
          </cell>
          <cell r="I230">
            <v>2.9717306730230932</v>
          </cell>
          <cell r="J230">
            <v>3.0849189634152148</v>
          </cell>
        </row>
        <row r="231">
          <cell r="H231">
            <v>2075</v>
          </cell>
          <cell r="I231">
            <v>3.0311652864835552</v>
          </cell>
          <cell r="J231">
            <v>3.1466173426835184</v>
          </cell>
        </row>
        <row r="232">
          <cell r="H232">
            <v>2076</v>
          </cell>
          <cell r="I232">
            <v>3.0917885922132262</v>
          </cell>
          <cell r="J232">
            <v>3.2095496895371891</v>
          </cell>
        </row>
        <row r="233">
          <cell r="H233">
            <v>2077</v>
          </cell>
          <cell r="I233">
            <v>3.1536243640574906</v>
          </cell>
          <cell r="J233">
            <v>3.273740683327933</v>
          </cell>
        </row>
        <row r="234">
          <cell r="H234">
            <v>2078</v>
          </cell>
          <cell r="I234">
            <v>3.2166968513386403</v>
          </cell>
          <cell r="J234">
            <v>3.3170456555726595</v>
          </cell>
        </row>
        <row r="235">
          <cell r="H235">
            <v>2079</v>
          </cell>
          <cell r="I235">
            <v>3.2810307883654133</v>
          </cell>
          <cell r="J235" t="str">
            <v>not applicable - not enough compound indicies</v>
          </cell>
        </row>
        <row r="236">
          <cell r="H236">
            <v>2080</v>
          </cell>
          <cell r="I236">
            <v>3.3466514041327216</v>
          </cell>
          <cell r="J236" t="str">
            <v>not applicable - not enough compound indicies</v>
          </cell>
        </row>
        <row r="237">
          <cell r="H237">
            <v>2081</v>
          </cell>
          <cell r="I237">
            <v>3.4135844322153761</v>
          </cell>
          <cell r="J237" t="str">
            <v>not applicable - not enough compound indicies</v>
          </cell>
        </row>
        <row r="238">
          <cell r="H238">
            <v>2082</v>
          </cell>
          <cell r="I238">
            <v>3.4818561208596837</v>
          </cell>
          <cell r="J238" t="str">
            <v>not applicable - not enough compound indicies</v>
          </cell>
        </row>
        <row r="239">
          <cell r="H239">
            <v>2083</v>
          </cell>
          <cell r="I239">
            <v>3.5514932432768775</v>
          </cell>
          <cell r="J239" t="str">
            <v>not applicable - not enough compound indicies</v>
          </cell>
        </row>
        <row r="240">
          <cell r="H240">
            <v>2084</v>
          </cell>
          <cell r="I240">
            <v>3.6225231081424152</v>
          </cell>
          <cell r="J240" t="str">
            <v>not applicable - not enough compound indicies</v>
          </cell>
        </row>
        <row r="246">
          <cell r="H246">
            <v>0</v>
          </cell>
          <cell r="I246" t="str">
            <v>n/a</v>
          </cell>
          <cell r="J246" t="str">
            <v>n/a</v>
          </cell>
        </row>
        <row r="247">
          <cell r="H247">
            <v>2012</v>
          </cell>
          <cell r="I247">
            <v>0.89487881506658262</v>
          </cell>
          <cell r="J247">
            <v>0.91989533722641292</v>
          </cell>
        </row>
        <row r="248">
          <cell r="H248">
            <v>2013</v>
          </cell>
          <cell r="I248">
            <v>0.90830199729258132</v>
          </cell>
          <cell r="J248">
            <v>0.93626344593075195</v>
          </cell>
        </row>
        <row r="249">
          <cell r="H249">
            <v>2014</v>
          </cell>
          <cell r="I249">
            <v>0.92192652725197</v>
          </cell>
          <cell r="J249">
            <v>0.94558048096092961</v>
          </cell>
        </row>
        <row r="250">
          <cell r="H250">
            <v>2015</v>
          </cell>
          <cell r="I250">
            <v>0.93206771905174157</v>
          </cell>
          <cell r="J250">
            <v>0.95986520039765511</v>
          </cell>
        </row>
        <row r="251">
          <cell r="H251">
            <v>2016</v>
          </cell>
          <cell r="I251">
            <v>0.94325253168036249</v>
          </cell>
          <cell r="J251">
            <v>0.98025312795610287</v>
          </cell>
        </row>
        <row r="252">
          <cell r="H252">
            <v>2017</v>
          </cell>
          <cell r="I252">
            <v>0.95928782471892859</v>
          </cell>
          <cell r="J252">
            <v>1.0002919414189082</v>
          </cell>
        </row>
        <row r="253">
          <cell r="H253">
            <v>2018</v>
          </cell>
          <cell r="I253">
            <v>0.98039215686274506</v>
          </cell>
          <cell r="J253">
            <v>1.0201413956112402</v>
          </cell>
        </row>
        <row r="254">
          <cell r="H254">
            <v>2019</v>
          </cell>
          <cell r="I254">
            <v>1</v>
          </cell>
          <cell r="J254">
            <v>1.040544223523465</v>
          </cell>
        </row>
        <row r="255">
          <cell r="H255">
            <v>2020</v>
          </cell>
          <cell r="I255">
            <v>1.02</v>
          </cell>
          <cell r="J255">
            <v>1.0613551079939343</v>
          </cell>
        </row>
        <row r="256">
          <cell r="H256">
            <v>2021</v>
          </cell>
          <cell r="I256">
            <v>1.0404</v>
          </cell>
          <cell r="J256">
            <v>1.0825822101538132</v>
          </cell>
        </row>
        <row r="257">
          <cell r="H257">
            <v>2022</v>
          </cell>
          <cell r="I257">
            <v>1.0612079999999999</v>
          </cell>
          <cell r="J257">
            <v>1.1042338543568893</v>
          </cell>
        </row>
        <row r="258">
          <cell r="H258">
            <v>2023</v>
          </cell>
          <cell r="I258">
            <v>1.08243216</v>
          </cell>
          <cell r="J258">
            <v>1.1263185314440269</v>
          </cell>
        </row>
        <row r="259">
          <cell r="H259">
            <v>2024</v>
          </cell>
          <cell r="I259">
            <v>1.1040808032</v>
          </cell>
          <cell r="J259">
            <v>1.1488449020729075</v>
          </cell>
        </row>
        <row r="260">
          <cell r="H260">
            <v>2025</v>
          </cell>
          <cell r="I260">
            <v>1.1261624192640001</v>
          </cell>
          <cell r="J260">
            <v>1.1718218001143659</v>
          </cell>
        </row>
        <row r="261">
          <cell r="H261">
            <v>2026</v>
          </cell>
          <cell r="I261">
            <v>1.14868566764928</v>
          </cell>
          <cell r="J261">
            <v>1.1952582361166533</v>
          </cell>
        </row>
        <row r="262">
          <cell r="H262">
            <v>2027</v>
          </cell>
          <cell r="I262">
            <v>1.1716593810022657</v>
          </cell>
          <cell r="J262">
            <v>1.2191634008389862</v>
          </cell>
        </row>
        <row r="263">
          <cell r="H263">
            <v>2028</v>
          </cell>
          <cell r="I263">
            <v>1.1950925686223111</v>
          </cell>
          <cell r="J263">
            <v>1.2435466688557659</v>
          </cell>
        </row>
        <row r="264">
          <cell r="H264">
            <v>2029</v>
          </cell>
          <cell r="I264">
            <v>1.2189944199947573</v>
          </cell>
          <cell r="J264">
            <v>1.2684176022328815</v>
          </cell>
        </row>
        <row r="265">
          <cell r="H265">
            <v>2030</v>
          </cell>
          <cell r="I265">
            <v>1.2433743083946525</v>
          </cell>
          <cell r="J265">
            <v>1.293785954277539</v>
          </cell>
        </row>
        <row r="266">
          <cell r="H266">
            <v>2031</v>
          </cell>
          <cell r="I266">
            <v>1.2682417945625455</v>
          </cell>
          <cell r="J266">
            <v>1.3196616733630897</v>
          </cell>
        </row>
        <row r="267">
          <cell r="H267">
            <v>2032</v>
          </cell>
          <cell r="I267">
            <v>1.2936066304537963</v>
          </cell>
          <cell r="J267">
            <v>1.3460549068303518</v>
          </cell>
        </row>
        <row r="268">
          <cell r="H268">
            <v>2033</v>
          </cell>
          <cell r="I268">
            <v>1.3194787630628724</v>
          </cell>
          <cell r="J268">
            <v>1.3729760049669584</v>
          </cell>
        </row>
        <row r="269">
          <cell r="H269">
            <v>2034</v>
          </cell>
          <cell r="I269">
            <v>1.3458683383241299</v>
          </cell>
          <cell r="J269">
            <v>1.4004355250662976</v>
          </cell>
        </row>
        <row r="270">
          <cell r="H270">
            <v>2035</v>
          </cell>
          <cell r="I270">
            <v>1.3727857050906125</v>
          </cell>
          <cell r="J270">
            <v>1.4284442355676237</v>
          </cell>
        </row>
        <row r="271">
          <cell r="H271">
            <v>2036</v>
          </cell>
          <cell r="I271">
            <v>1.4002414191924248</v>
          </cell>
          <cell r="J271">
            <v>1.4570131202789764</v>
          </cell>
        </row>
        <row r="272">
          <cell r="H272">
            <v>2037</v>
          </cell>
          <cell r="I272">
            <v>1.4282462475762734</v>
          </cell>
          <cell r="J272">
            <v>1.4861533826845557</v>
          </cell>
        </row>
        <row r="273">
          <cell r="H273">
            <v>2038</v>
          </cell>
          <cell r="I273">
            <v>1.4568111725277988</v>
          </cell>
          <cell r="J273">
            <v>1.5158764503382469</v>
          </cell>
        </row>
        <row r="274">
          <cell r="H274">
            <v>2039</v>
          </cell>
          <cell r="I274">
            <v>1.4859473959783549</v>
          </cell>
          <cell r="J274">
            <v>1.5461939793450121</v>
          </cell>
        </row>
        <row r="275">
          <cell r="H275">
            <v>2040</v>
          </cell>
          <cell r="I275">
            <v>1.5156663438979221</v>
          </cell>
          <cell r="J275">
            <v>1.5771178589319121</v>
          </cell>
        </row>
        <row r="276">
          <cell r="H276">
            <v>2041</v>
          </cell>
          <cell r="I276">
            <v>1.5459796707758806</v>
          </cell>
          <cell r="J276">
            <v>1.6086602161105505</v>
          </cell>
        </row>
        <row r="277">
          <cell r="H277">
            <v>2042</v>
          </cell>
          <cell r="I277">
            <v>1.5768992641913981</v>
          </cell>
          <cell r="J277">
            <v>1.6408334204327615</v>
          </cell>
        </row>
        <row r="278">
          <cell r="H278">
            <v>2043</v>
          </cell>
          <cell r="I278">
            <v>1.6084372494752261</v>
          </cell>
          <cell r="J278">
            <v>1.6736500888414172</v>
          </cell>
        </row>
        <row r="279">
          <cell r="H279">
            <v>2044</v>
          </cell>
          <cell r="I279">
            <v>1.6406059944647307</v>
          </cell>
          <cell r="J279">
            <v>1.7071230906182453</v>
          </cell>
        </row>
        <row r="280">
          <cell r="H280">
            <v>2045</v>
          </cell>
          <cell r="I280">
            <v>1.6734181143540252</v>
          </cell>
          <cell r="J280">
            <v>1.7412655524306104</v>
          </cell>
        </row>
        <row r="281">
          <cell r="H281">
            <v>2046</v>
          </cell>
          <cell r="I281">
            <v>1.7068864766411058</v>
          </cell>
          <cell r="J281">
            <v>1.7760908634792223</v>
          </cell>
        </row>
        <row r="282">
          <cell r="H282">
            <v>2047</v>
          </cell>
          <cell r="I282">
            <v>1.7410242061739281</v>
          </cell>
          <cell r="J282">
            <v>1.8116126807488071</v>
          </cell>
        </row>
        <row r="283">
          <cell r="H283">
            <v>2048</v>
          </cell>
          <cell r="I283">
            <v>1.7758446902974065</v>
          </cell>
          <cell r="J283">
            <v>1.8478449343637828</v>
          </cell>
        </row>
        <row r="284">
          <cell r="H284">
            <v>2049</v>
          </cell>
          <cell r="I284">
            <v>1.8113615841033548</v>
          </cell>
          <cell r="J284">
            <v>1.884801833051059</v>
          </cell>
        </row>
        <row r="285">
          <cell r="H285">
            <v>2050</v>
          </cell>
          <cell r="I285">
            <v>1.8475888157854219</v>
          </cell>
          <cell r="J285">
            <v>1.9224978697120803</v>
          </cell>
        </row>
        <row r="286">
          <cell r="H286">
            <v>2051</v>
          </cell>
          <cell r="I286">
            <v>1.8845405921011305</v>
          </cell>
          <cell r="J286">
            <v>1.9609478271063219</v>
          </cell>
        </row>
        <row r="287">
          <cell r="H287">
            <v>2052</v>
          </cell>
          <cell r="I287">
            <v>1.9222314039431532</v>
          </cell>
          <cell r="J287">
            <v>2.000166783648448</v>
          </cell>
        </row>
        <row r="288">
          <cell r="H288">
            <v>2053</v>
          </cell>
          <cell r="I288">
            <v>1.9606760320220162</v>
          </cell>
          <cell r="J288">
            <v>2.040170119321417</v>
          </cell>
        </row>
        <row r="289">
          <cell r="H289">
            <v>2054</v>
          </cell>
          <cell r="I289">
            <v>1.9998895526624565</v>
          </cell>
          <cell r="J289">
            <v>2.0809735217078456</v>
          </cell>
        </row>
        <row r="290">
          <cell r="H290">
            <v>2055</v>
          </cell>
          <cell r="I290">
            <v>2.0398873437157055</v>
          </cell>
          <cell r="J290">
            <v>2.1225929921420024</v>
          </cell>
        </row>
        <row r="291">
          <cell r="H291">
            <v>2056</v>
          </cell>
          <cell r="I291">
            <v>2.0806850905900198</v>
          </cell>
          <cell r="J291">
            <v>2.1650448519848426</v>
          </cell>
        </row>
        <row r="292">
          <cell r="H292">
            <v>2057</v>
          </cell>
          <cell r="I292">
            <v>2.1222987924018204</v>
          </cell>
          <cell r="J292">
            <v>2.2083457490245402</v>
          </cell>
        </row>
        <row r="293">
          <cell r="H293">
            <v>2058</v>
          </cell>
          <cell r="I293">
            <v>2.1647447682498568</v>
          </cell>
          <cell r="J293">
            <v>2.2525126640050304</v>
          </cell>
        </row>
        <row r="294">
          <cell r="H294">
            <v>2059</v>
          </cell>
          <cell r="I294">
            <v>2.208039663614854</v>
          </cell>
          <cell r="J294">
            <v>2.2975629172851306</v>
          </cell>
        </row>
        <row r="295">
          <cell r="H295">
            <v>2060</v>
          </cell>
          <cell r="I295">
            <v>2.252200456887151</v>
          </cell>
          <cell r="J295">
            <v>2.3435141756308333</v>
          </cell>
        </row>
        <row r="296">
          <cell r="H296">
            <v>2061</v>
          </cell>
          <cell r="I296">
            <v>2.2972444660248938</v>
          </cell>
          <cell r="J296">
            <v>2.39038445914345</v>
          </cell>
        </row>
        <row r="297">
          <cell r="H297">
            <v>2062</v>
          </cell>
          <cell r="I297">
            <v>2.343189355345392</v>
          </cell>
          <cell r="J297">
            <v>2.4381921483263196</v>
          </cell>
        </row>
        <row r="298">
          <cell r="H298">
            <v>2063</v>
          </cell>
          <cell r="I298">
            <v>2.3900531424522997</v>
          </cell>
          <cell r="J298">
            <v>2.4869559912928456</v>
          </cell>
        </row>
        <row r="299">
          <cell r="H299">
            <v>2064</v>
          </cell>
          <cell r="I299">
            <v>2.4378542053013459</v>
          </cell>
          <cell r="J299">
            <v>2.5366951111187026</v>
          </cell>
        </row>
        <row r="300">
          <cell r="H300">
            <v>2065</v>
          </cell>
          <cell r="I300">
            <v>2.4866112894073726</v>
          </cell>
          <cell r="J300">
            <v>2.5874290133410764</v>
          </cell>
        </row>
        <row r="301">
          <cell r="H301">
            <v>2066</v>
          </cell>
          <cell r="I301">
            <v>2.53634351519552</v>
          </cell>
          <cell r="J301">
            <v>2.6391775936078985</v>
          </cell>
        </row>
        <row r="302">
          <cell r="H302">
            <v>2067</v>
          </cell>
          <cell r="I302">
            <v>2.5870703854994304</v>
          </cell>
          <cell r="J302">
            <v>2.6919611454800556</v>
          </cell>
        </row>
        <row r="303">
          <cell r="H303">
            <v>2068</v>
          </cell>
          <cell r="I303">
            <v>2.6388117932094191</v>
          </cell>
          <cell r="J303">
            <v>2.7458003683896575</v>
          </cell>
        </row>
        <row r="304">
          <cell r="H304">
            <v>2069</v>
          </cell>
          <cell r="I304">
            <v>2.6915880290736074</v>
          </cell>
          <cell r="J304">
            <v>2.80071637575745</v>
          </cell>
        </row>
        <row r="305">
          <cell r="H305">
            <v>2070</v>
          </cell>
          <cell r="I305">
            <v>2.7454197896550796</v>
          </cell>
          <cell r="J305">
            <v>2.856730703272599</v>
          </cell>
        </row>
        <row r="306">
          <cell r="H306">
            <v>2071</v>
          </cell>
          <cell r="I306">
            <v>2.8003281854481812</v>
          </cell>
          <cell r="J306">
            <v>2.9138653173380513</v>
          </cell>
        </row>
        <row r="307">
          <cell r="H307">
            <v>2072</v>
          </cell>
          <cell r="I307">
            <v>2.8563347491571447</v>
          </cell>
          <cell r="J307">
            <v>2.9721426236848121</v>
          </cell>
        </row>
        <row r="308">
          <cell r="H308">
            <v>2073</v>
          </cell>
          <cell r="I308">
            <v>2.9134614441402875</v>
          </cell>
          <cell r="J308">
            <v>3.0315854761585084</v>
          </cell>
        </row>
        <row r="309">
          <cell r="H309">
            <v>2074</v>
          </cell>
          <cell r="I309">
            <v>2.9717306730230932</v>
          </cell>
          <cell r="J309">
            <v>3.0922171856816782</v>
          </cell>
        </row>
        <row r="310">
          <cell r="H310">
            <v>2075</v>
          </cell>
          <cell r="I310">
            <v>3.0311652864835552</v>
          </cell>
          <cell r="J310">
            <v>3.154061529395312</v>
          </cell>
        </row>
        <row r="311">
          <cell r="H311">
            <v>2076</v>
          </cell>
          <cell r="I311">
            <v>3.0917885922132262</v>
          </cell>
          <cell r="J311">
            <v>3.2171427599832181</v>
          </cell>
        </row>
        <row r="312">
          <cell r="H312">
            <v>2077</v>
          </cell>
          <cell r="I312">
            <v>3.1536243640574906</v>
          </cell>
          <cell r="J312">
            <v>3.2814856151828824</v>
          </cell>
        </row>
        <row r="313">
          <cell r="H313">
            <v>2078</v>
          </cell>
          <cell r="I313">
            <v>3.2166968513386403</v>
          </cell>
          <cell r="J313">
            <v>3.3212505124944034</v>
          </cell>
        </row>
        <row r="314">
          <cell r="H314">
            <v>2079</v>
          </cell>
          <cell r="I314">
            <v>3.2810307883654133</v>
          </cell>
          <cell r="J314" t="str">
            <v>not applicable - not enough compound indicies</v>
          </cell>
        </row>
        <row r="315">
          <cell r="H315">
            <v>2080</v>
          </cell>
          <cell r="I315">
            <v>3.3466514041327216</v>
          </cell>
          <cell r="J315" t="str">
            <v>not applicable - not enough compound indicies</v>
          </cell>
        </row>
        <row r="316">
          <cell r="H316">
            <v>2081</v>
          </cell>
          <cell r="I316">
            <v>3.4135844322153761</v>
          </cell>
          <cell r="J316" t="str">
            <v>not applicable - not enough compound indicies</v>
          </cell>
        </row>
        <row r="317">
          <cell r="H317">
            <v>2082</v>
          </cell>
          <cell r="I317">
            <v>3.4818561208596837</v>
          </cell>
          <cell r="J317" t="str">
            <v>not applicable - not enough compound indicies</v>
          </cell>
        </row>
        <row r="318">
          <cell r="H318">
            <v>2083</v>
          </cell>
          <cell r="I318">
            <v>3.5514932432768775</v>
          </cell>
          <cell r="J318" t="str">
            <v>not applicable - not enough compound indicies</v>
          </cell>
        </row>
        <row r="319">
          <cell r="H319">
            <v>2084</v>
          </cell>
          <cell r="I319">
            <v>3.6225231081424152</v>
          </cell>
          <cell r="J319" t="str">
            <v>not applicable - not enough compound indicies</v>
          </cell>
        </row>
        <row r="325">
          <cell r="H325">
            <v>0</v>
          </cell>
          <cell r="I325" t="str">
            <v>n/a</v>
          </cell>
          <cell r="J325" t="str">
            <v>n/a</v>
          </cell>
        </row>
        <row r="326">
          <cell r="H326">
            <v>2012</v>
          </cell>
          <cell r="I326">
            <v>0.89487881506658262</v>
          </cell>
          <cell r="J326">
            <v>0.91552144014694836</v>
          </cell>
        </row>
        <row r="327">
          <cell r="H327">
            <v>2013</v>
          </cell>
          <cell r="I327">
            <v>0.90830199729258132</v>
          </cell>
          <cell r="J327">
            <v>0.93507412648575949</v>
          </cell>
        </row>
        <row r="328">
          <cell r="H328">
            <v>2014</v>
          </cell>
          <cell r="I328">
            <v>0.92192652725197</v>
          </cell>
          <cell r="J328">
            <v>0.94667781223681724</v>
          </cell>
        </row>
        <row r="329">
          <cell r="H329">
            <v>2015</v>
          </cell>
          <cell r="I329">
            <v>0.93206771905174157</v>
          </cell>
          <cell r="J329">
            <v>0.96117510444087073</v>
          </cell>
        </row>
        <row r="330">
          <cell r="H330">
            <v>2016</v>
          </cell>
          <cell r="I330">
            <v>0.94325253168036249</v>
          </cell>
          <cell r="J330">
            <v>0.97877785708175147</v>
          </cell>
        </row>
        <row r="331">
          <cell r="H331">
            <v>2017</v>
          </cell>
          <cell r="I331">
            <v>0.95928782471892859</v>
          </cell>
          <cell r="J331">
            <v>1.0000166156297083</v>
          </cell>
        </row>
        <row r="332">
          <cell r="H332">
            <v>2018</v>
          </cell>
          <cell r="I332">
            <v>0.98039215686274506</v>
          </cell>
          <cell r="J332">
            <v>1.0193399056185237</v>
          </cell>
        </row>
        <row r="333">
          <cell r="H333">
            <v>2019</v>
          </cell>
          <cell r="I333">
            <v>1</v>
          </cell>
          <cell r="J333">
            <v>1.0397267037308939</v>
          </cell>
        </row>
        <row r="334">
          <cell r="H334">
            <v>2020</v>
          </cell>
          <cell r="I334">
            <v>1.02</v>
          </cell>
          <cell r="J334">
            <v>1.0605212378055118</v>
          </cell>
        </row>
        <row r="335">
          <cell r="H335">
            <v>2021</v>
          </cell>
          <cell r="I335">
            <v>1.0404</v>
          </cell>
          <cell r="J335">
            <v>1.0817316625616222</v>
          </cell>
        </row>
        <row r="336">
          <cell r="H336">
            <v>2022</v>
          </cell>
          <cell r="I336">
            <v>1.0612079999999999</v>
          </cell>
          <cell r="J336">
            <v>1.1033662958128547</v>
          </cell>
        </row>
        <row r="337">
          <cell r="H337">
            <v>2023</v>
          </cell>
          <cell r="I337">
            <v>1.08243216</v>
          </cell>
          <cell r="J337">
            <v>1.1254336217291117</v>
          </cell>
        </row>
        <row r="338">
          <cell r="H338">
            <v>2024</v>
          </cell>
          <cell r="I338">
            <v>1.1040808032</v>
          </cell>
          <cell r="J338">
            <v>1.1479422941636941</v>
          </cell>
        </row>
        <row r="339">
          <cell r="H339">
            <v>2025</v>
          </cell>
          <cell r="I339">
            <v>1.1261624192640001</v>
          </cell>
          <cell r="J339">
            <v>1.1709011400469678</v>
          </cell>
        </row>
        <row r="340">
          <cell r="H340">
            <v>2026</v>
          </cell>
          <cell r="I340">
            <v>1.14868566764928</v>
          </cell>
          <cell r="J340">
            <v>1.1943191628479073</v>
          </cell>
        </row>
        <row r="341">
          <cell r="H341">
            <v>2027</v>
          </cell>
          <cell r="I341">
            <v>1.1716593810022657</v>
          </cell>
          <cell r="J341">
            <v>1.2182055461048655</v>
          </cell>
        </row>
        <row r="342">
          <cell r="H342">
            <v>2028</v>
          </cell>
          <cell r="I342">
            <v>1.1950925686223111</v>
          </cell>
          <cell r="J342">
            <v>1.2425696570269629</v>
          </cell>
        </row>
        <row r="343">
          <cell r="H343">
            <v>2029</v>
          </cell>
          <cell r="I343">
            <v>1.2189944199947573</v>
          </cell>
          <cell r="J343">
            <v>1.2674210501675018</v>
          </cell>
        </row>
        <row r="344">
          <cell r="H344">
            <v>2030</v>
          </cell>
          <cell r="I344">
            <v>1.2433743083946525</v>
          </cell>
          <cell r="J344">
            <v>1.2927694711708519</v>
          </cell>
        </row>
        <row r="345">
          <cell r="H345">
            <v>2031</v>
          </cell>
          <cell r="I345">
            <v>1.2682417945625455</v>
          </cell>
          <cell r="J345">
            <v>1.3186248605942692</v>
          </cell>
        </row>
        <row r="346">
          <cell r="H346">
            <v>2032</v>
          </cell>
          <cell r="I346">
            <v>1.2936066304537963</v>
          </cell>
          <cell r="J346">
            <v>1.3449973578061547</v>
          </cell>
        </row>
        <row r="347">
          <cell r="H347">
            <v>2033</v>
          </cell>
          <cell r="I347">
            <v>1.3194787630628724</v>
          </cell>
          <cell r="J347">
            <v>1.371897304962278</v>
          </cell>
        </row>
        <row r="348">
          <cell r="H348">
            <v>2034</v>
          </cell>
          <cell r="I348">
            <v>1.3458683383241299</v>
          </cell>
          <cell r="J348">
            <v>1.3993352510615233</v>
          </cell>
        </row>
        <row r="349">
          <cell r="H349">
            <v>2035</v>
          </cell>
          <cell r="I349">
            <v>1.3727857050906125</v>
          </cell>
          <cell r="J349">
            <v>1.4273219560827539</v>
          </cell>
        </row>
        <row r="350">
          <cell r="H350">
            <v>2036</v>
          </cell>
          <cell r="I350">
            <v>1.4002414191924248</v>
          </cell>
          <cell r="J350">
            <v>1.4558683952044089</v>
          </cell>
        </row>
        <row r="351">
          <cell r="H351">
            <v>2037</v>
          </cell>
          <cell r="I351">
            <v>1.4282462475762734</v>
          </cell>
          <cell r="J351">
            <v>1.4849857631084973</v>
          </cell>
        </row>
        <row r="352">
          <cell r="H352">
            <v>2038</v>
          </cell>
          <cell r="I352">
            <v>1.4568111725277988</v>
          </cell>
          <cell r="J352">
            <v>1.5146854783706674</v>
          </cell>
        </row>
        <row r="353">
          <cell r="H353">
            <v>2039</v>
          </cell>
          <cell r="I353">
            <v>1.4859473959783549</v>
          </cell>
          <cell r="J353">
            <v>1.5449791879380805</v>
          </cell>
        </row>
        <row r="354">
          <cell r="H354">
            <v>2040</v>
          </cell>
          <cell r="I354">
            <v>1.5156663438979221</v>
          </cell>
          <cell r="J354">
            <v>1.5758787716968423</v>
          </cell>
        </row>
        <row r="355">
          <cell r="H355">
            <v>2041</v>
          </cell>
          <cell r="I355">
            <v>1.5459796707758806</v>
          </cell>
          <cell r="J355">
            <v>1.6073963471307791</v>
          </cell>
        </row>
        <row r="356">
          <cell r="H356">
            <v>2042</v>
          </cell>
          <cell r="I356">
            <v>1.5768992641913981</v>
          </cell>
          <cell r="J356">
            <v>1.6395442740733948</v>
          </cell>
        </row>
        <row r="357">
          <cell r="H357">
            <v>2043</v>
          </cell>
          <cell r="I357">
            <v>1.6084372494752261</v>
          </cell>
          <cell r="J357">
            <v>1.6723351595548628</v>
          </cell>
        </row>
        <row r="358">
          <cell r="H358">
            <v>2044</v>
          </cell>
          <cell r="I358">
            <v>1.6406059944647307</v>
          </cell>
          <cell r="J358">
            <v>1.7057818627459598</v>
          </cell>
        </row>
        <row r="359">
          <cell r="H359">
            <v>2045</v>
          </cell>
          <cell r="I359">
            <v>1.6734181143540252</v>
          </cell>
          <cell r="J359">
            <v>1.7398975000008789</v>
          </cell>
        </row>
        <row r="360">
          <cell r="H360">
            <v>2046</v>
          </cell>
          <cell r="I360">
            <v>1.7068864766411058</v>
          </cell>
          <cell r="J360">
            <v>1.7746954500008967</v>
          </cell>
        </row>
        <row r="361">
          <cell r="H361">
            <v>2047</v>
          </cell>
          <cell r="I361">
            <v>1.7410242061739281</v>
          </cell>
          <cell r="J361">
            <v>1.8101893590009148</v>
          </cell>
        </row>
        <row r="362">
          <cell r="H362">
            <v>2048</v>
          </cell>
          <cell r="I362">
            <v>1.7758446902974065</v>
          </cell>
          <cell r="J362">
            <v>1.8463931461809331</v>
          </cell>
        </row>
        <row r="363">
          <cell r="H363">
            <v>2049</v>
          </cell>
          <cell r="I363">
            <v>1.8113615841033548</v>
          </cell>
          <cell r="J363">
            <v>1.8833210091045516</v>
          </cell>
        </row>
        <row r="364">
          <cell r="H364">
            <v>2050</v>
          </cell>
          <cell r="I364">
            <v>1.8475888157854219</v>
          </cell>
          <cell r="J364">
            <v>1.9209874292866429</v>
          </cell>
        </row>
        <row r="365">
          <cell r="H365">
            <v>2051</v>
          </cell>
          <cell r="I365">
            <v>1.8845405921011305</v>
          </cell>
          <cell r="J365">
            <v>1.9594071778723756</v>
          </cell>
        </row>
        <row r="366">
          <cell r="H366">
            <v>2052</v>
          </cell>
          <cell r="I366">
            <v>1.9222314039431532</v>
          </cell>
          <cell r="J366">
            <v>1.9985953214298231</v>
          </cell>
        </row>
        <row r="367">
          <cell r="H367">
            <v>2053</v>
          </cell>
          <cell r="I367">
            <v>1.9606760320220162</v>
          </cell>
          <cell r="J367">
            <v>2.0385672278584193</v>
          </cell>
        </row>
        <row r="368">
          <cell r="H368">
            <v>2054</v>
          </cell>
          <cell r="I368">
            <v>1.9998895526624565</v>
          </cell>
          <cell r="J368">
            <v>2.0793385724155886</v>
          </cell>
        </row>
        <row r="369">
          <cell r="H369">
            <v>2055</v>
          </cell>
          <cell r="I369">
            <v>2.0398873437157055</v>
          </cell>
          <cell r="J369">
            <v>2.1209253438639002</v>
          </cell>
        </row>
        <row r="370">
          <cell r="H370">
            <v>2056</v>
          </cell>
          <cell r="I370">
            <v>2.0806850905900198</v>
          </cell>
          <cell r="J370">
            <v>2.1633438507411782</v>
          </cell>
        </row>
        <row r="371">
          <cell r="H371">
            <v>2057</v>
          </cell>
          <cell r="I371">
            <v>2.1222987924018204</v>
          </cell>
          <cell r="J371">
            <v>2.2066107277560021</v>
          </cell>
        </row>
        <row r="372">
          <cell r="H372">
            <v>2058</v>
          </cell>
          <cell r="I372">
            <v>2.1647447682498568</v>
          </cell>
          <cell r="J372">
            <v>2.2507429423111218</v>
          </cell>
        </row>
        <row r="373">
          <cell r="H373">
            <v>2059</v>
          </cell>
          <cell r="I373">
            <v>2.208039663614854</v>
          </cell>
          <cell r="J373">
            <v>2.2957578011573441</v>
          </cell>
        </row>
        <row r="374">
          <cell r="H374">
            <v>2060</v>
          </cell>
          <cell r="I374">
            <v>2.252200456887151</v>
          </cell>
          <cell r="J374">
            <v>2.3416729571804917</v>
          </cell>
        </row>
        <row r="375">
          <cell r="H375">
            <v>2061</v>
          </cell>
          <cell r="I375">
            <v>2.2972444660248938</v>
          </cell>
          <cell r="J375">
            <v>2.3885064163241005</v>
          </cell>
        </row>
        <row r="376">
          <cell r="H376">
            <v>2062</v>
          </cell>
          <cell r="I376">
            <v>2.343189355345392</v>
          </cell>
          <cell r="J376">
            <v>2.4362765446505832</v>
          </cell>
        </row>
        <row r="377">
          <cell r="H377">
            <v>2063</v>
          </cell>
          <cell r="I377">
            <v>2.3900531424522997</v>
          </cell>
          <cell r="J377">
            <v>2.4850020755435946</v>
          </cell>
        </row>
        <row r="378">
          <cell r="H378">
            <v>2064</v>
          </cell>
          <cell r="I378">
            <v>2.4378542053013459</v>
          </cell>
          <cell r="J378">
            <v>2.5347021170544668</v>
          </cell>
        </row>
        <row r="379">
          <cell r="H379">
            <v>2065</v>
          </cell>
          <cell r="I379">
            <v>2.4866112894073726</v>
          </cell>
          <cell r="J379">
            <v>2.5853961593955561</v>
          </cell>
        </row>
        <row r="380">
          <cell r="H380">
            <v>2066</v>
          </cell>
          <cell r="I380">
            <v>2.53634351519552</v>
          </cell>
          <cell r="J380">
            <v>2.6371040825834671</v>
          </cell>
        </row>
        <row r="381">
          <cell r="H381">
            <v>2067</v>
          </cell>
          <cell r="I381">
            <v>2.5870703854994304</v>
          </cell>
          <cell r="J381">
            <v>2.6898461642351368</v>
          </cell>
        </row>
        <row r="382">
          <cell r="H382">
            <v>2068</v>
          </cell>
          <cell r="I382">
            <v>2.6388117932094191</v>
          </cell>
          <cell r="J382">
            <v>2.7436430875198381</v>
          </cell>
        </row>
        <row r="383">
          <cell r="H383">
            <v>2069</v>
          </cell>
          <cell r="I383">
            <v>2.6915880290736074</v>
          </cell>
          <cell r="J383">
            <v>2.7985159492702349</v>
          </cell>
        </row>
        <row r="384">
          <cell r="H384">
            <v>2070</v>
          </cell>
          <cell r="I384">
            <v>2.7454197896550796</v>
          </cell>
          <cell r="J384">
            <v>2.8544862682556404</v>
          </cell>
        </row>
        <row r="385">
          <cell r="H385">
            <v>2071</v>
          </cell>
          <cell r="I385">
            <v>2.8003281854481812</v>
          </cell>
          <cell r="J385">
            <v>2.9115759936207524</v>
          </cell>
        </row>
        <row r="386">
          <cell r="H386">
            <v>2072</v>
          </cell>
          <cell r="I386">
            <v>2.8563347491571447</v>
          </cell>
          <cell r="J386">
            <v>2.9698075134931683</v>
          </cell>
        </row>
        <row r="387">
          <cell r="H387">
            <v>2073</v>
          </cell>
          <cell r="I387">
            <v>2.9134614441402875</v>
          </cell>
          <cell r="J387">
            <v>3.0292036637630315</v>
          </cell>
        </row>
        <row r="388">
          <cell r="H388">
            <v>2074</v>
          </cell>
          <cell r="I388">
            <v>2.9717306730230932</v>
          </cell>
          <cell r="J388">
            <v>3.0897877370382925</v>
          </cell>
        </row>
        <row r="389">
          <cell r="H389">
            <v>2075</v>
          </cell>
          <cell r="I389">
            <v>3.0311652864835552</v>
          </cell>
          <cell r="J389">
            <v>3.1515834917790575</v>
          </cell>
        </row>
        <row r="390">
          <cell r="H390">
            <v>2076</v>
          </cell>
          <cell r="I390">
            <v>3.0917885922132262</v>
          </cell>
          <cell r="J390">
            <v>3.2146151616146392</v>
          </cell>
        </row>
        <row r="391">
          <cell r="H391">
            <v>2077</v>
          </cell>
          <cell r="I391">
            <v>3.1536243640574906</v>
          </cell>
          <cell r="J391">
            <v>3.2789074648469319</v>
          </cell>
        </row>
        <row r="392">
          <cell r="H392">
            <v>2078</v>
          </cell>
          <cell r="I392">
            <v>3.2166968513386403</v>
          </cell>
          <cell r="J392">
            <v>3.3038409048705124</v>
          </cell>
        </row>
        <row r="393">
          <cell r="H393">
            <v>2079</v>
          </cell>
          <cell r="I393">
            <v>3.2810307883654133</v>
          </cell>
          <cell r="J393" t="str">
            <v>not applicable - not enough compound indicies</v>
          </cell>
        </row>
        <row r="394">
          <cell r="H394">
            <v>2080</v>
          </cell>
          <cell r="I394">
            <v>3.3466514041327216</v>
          </cell>
          <cell r="J394" t="str">
            <v>not applicable - not enough compound indicies</v>
          </cell>
        </row>
        <row r="395">
          <cell r="H395">
            <v>2081</v>
          </cell>
          <cell r="I395">
            <v>3.4135844322153761</v>
          </cell>
          <cell r="J395" t="str">
            <v>not applicable - not enough compound indicies</v>
          </cell>
        </row>
        <row r="396">
          <cell r="H396">
            <v>2082</v>
          </cell>
          <cell r="I396">
            <v>3.4818561208596837</v>
          </cell>
          <cell r="J396" t="str">
            <v>not applicable - not enough compound indicies</v>
          </cell>
        </row>
        <row r="397">
          <cell r="H397">
            <v>2083</v>
          </cell>
          <cell r="I397">
            <v>3.5514932432768775</v>
          </cell>
          <cell r="J397" t="str">
            <v>not applicable - not enough compound indicies</v>
          </cell>
        </row>
        <row r="398">
          <cell r="H398">
            <v>2084</v>
          </cell>
          <cell r="I398">
            <v>3.6225231081424152</v>
          </cell>
          <cell r="J398" t="str">
            <v>not applicable - not enough compound indicies</v>
          </cell>
        </row>
        <row r="404">
          <cell r="H404">
            <v>0</v>
          </cell>
          <cell r="I404" t="str">
            <v>n/a</v>
          </cell>
          <cell r="J404" t="str">
            <v>n/a</v>
          </cell>
        </row>
        <row r="405">
          <cell r="H405">
            <v>2012</v>
          </cell>
          <cell r="I405">
            <v>0.89487881506658262</v>
          </cell>
          <cell r="J405">
            <v>0.91270370736329731</v>
          </cell>
        </row>
        <row r="406">
          <cell r="H406">
            <v>2013</v>
          </cell>
          <cell r="I406">
            <v>0.90830199729258132</v>
          </cell>
          <cell r="J406">
            <v>0.93118077554708634</v>
          </cell>
        </row>
        <row r="407">
          <cell r="H407">
            <v>2014</v>
          </cell>
          <cell r="I407">
            <v>0.92192652725197</v>
          </cell>
          <cell r="J407">
            <v>0.94697293641578484</v>
          </cell>
        </row>
        <row r="408">
          <cell r="H408">
            <v>2015</v>
          </cell>
          <cell r="I408">
            <v>0.93206771905174157</v>
          </cell>
          <cell r="J408">
            <v>0.96023698735150009</v>
          </cell>
        </row>
        <row r="409">
          <cell r="H409">
            <v>2016</v>
          </cell>
          <cell r="I409">
            <v>0.94325253168036249</v>
          </cell>
          <cell r="J409">
            <v>0.97343016022794038</v>
          </cell>
        </row>
        <row r="410">
          <cell r="H410">
            <v>2017</v>
          </cell>
          <cell r="I410">
            <v>0.95928782471892859</v>
          </cell>
          <cell r="J410">
            <v>0.99337943171710785</v>
          </cell>
        </row>
        <row r="411">
          <cell r="H411">
            <v>2018</v>
          </cell>
          <cell r="I411">
            <v>0.98039215686274506</v>
          </cell>
          <cell r="J411">
            <v>1.0130866189854242</v>
          </cell>
        </row>
        <row r="412">
          <cell r="H412">
            <v>2019</v>
          </cell>
          <cell r="I412">
            <v>1</v>
          </cell>
          <cell r="J412">
            <v>1.0333483513651327</v>
          </cell>
        </row>
        <row r="413">
          <cell r="H413">
            <v>2020</v>
          </cell>
          <cell r="I413">
            <v>1.02</v>
          </cell>
          <cell r="J413">
            <v>1.0540153183924352</v>
          </cell>
        </row>
        <row r="414">
          <cell r="H414">
            <v>2021</v>
          </cell>
          <cell r="I414">
            <v>1.0404</v>
          </cell>
          <cell r="J414">
            <v>1.0750956247602843</v>
          </cell>
        </row>
        <row r="415">
          <cell r="H415">
            <v>2022</v>
          </cell>
          <cell r="I415">
            <v>1.0612079999999999</v>
          </cell>
          <cell r="J415">
            <v>1.0965975372554899</v>
          </cell>
        </row>
        <row r="416">
          <cell r="H416">
            <v>2023</v>
          </cell>
          <cell r="I416">
            <v>1.08243216</v>
          </cell>
          <cell r="J416">
            <v>1.1185294880005998</v>
          </cell>
        </row>
        <row r="417">
          <cell r="H417">
            <v>2024</v>
          </cell>
          <cell r="I417">
            <v>1.1040808032</v>
          </cell>
          <cell r="J417">
            <v>1.1409000777606118</v>
          </cell>
        </row>
        <row r="418">
          <cell r="H418">
            <v>2025</v>
          </cell>
          <cell r="I418">
            <v>1.1261624192640001</v>
          </cell>
          <cell r="J418">
            <v>1.1637180793158239</v>
          </cell>
        </row>
        <row r="419">
          <cell r="H419">
            <v>2026</v>
          </cell>
          <cell r="I419">
            <v>1.14868566764928</v>
          </cell>
          <cell r="J419">
            <v>1.1869924409021402</v>
          </cell>
        </row>
        <row r="420">
          <cell r="H420">
            <v>2027</v>
          </cell>
          <cell r="I420">
            <v>1.1716593810022657</v>
          </cell>
          <cell r="J420">
            <v>1.2107322897201833</v>
          </cell>
        </row>
        <row r="421">
          <cell r="H421">
            <v>2028</v>
          </cell>
          <cell r="I421">
            <v>1.1950925686223111</v>
          </cell>
          <cell r="J421">
            <v>1.234946935514587</v>
          </cell>
        </row>
        <row r="422">
          <cell r="H422">
            <v>2029</v>
          </cell>
          <cell r="I422">
            <v>1.2189944199947573</v>
          </cell>
          <cell r="J422">
            <v>1.2596458742248784</v>
          </cell>
        </row>
        <row r="423">
          <cell r="H423">
            <v>2030</v>
          </cell>
          <cell r="I423">
            <v>1.2433743083946525</v>
          </cell>
          <cell r="J423">
            <v>1.284838791709376</v>
          </cell>
        </row>
        <row r="424">
          <cell r="H424">
            <v>2031</v>
          </cell>
          <cell r="I424">
            <v>1.2682417945625455</v>
          </cell>
          <cell r="J424">
            <v>1.3105355675435639</v>
          </cell>
        </row>
        <row r="425">
          <cell r="H425">
            <v>2032</v>
          </cell>
          <cell r="I425">
            <v>1.2936066304537963</v>
          </cell>
          <cell r="J425">
            <v>1.3367462788944353</v>
          </cell>
        </row>
        <row r="426">
          <cell r="H426">
            <v>2033</v>
          </cell>
          <cell r="I426">
            <v>1.3194787630628724</v>
          </cell>
          <cell r="J426">
            <v>1.3634812044723241</v>
          </cell>
        </row>
        <row r="427">
          <cell r="H427">
            <v>2034</v>
          </cell>
          <cell r="I427">
            <v>1.3458683383241299</v>
          </cell>
          <cell r="J427">
            <v>1.3907508285617702</v>
          </cell>
        </row>
        <row r="428">
          <cell r="H428">
            <v>2035</v>
          </cell>
          <cell r="I428">
            <v>1.3727857050906125</v>
          </cell>
          <cell r="J428">
            <v>1.4185658451330059</v>
          </cell>
        </row>
        <row r="429">
          <cell r="H429">
            <v>2036</v>
          </cell>
          <cell r="I429">
            <v>1.4002414191924248</v>
          </cell>
          <cell r="J429">
            <v>1.4469371620356661</v>
          </cell>
        </row>
        <row r="430">
          <cell r="H430">
            <v>2037</v>
          </cell>
          <cell r="I430">
            <v>1.4282462475762734</v>
          </cell>
          <cell r="J430">
            <v>1.4758759052763797</v>
          </cell>
        </row>
        <row r="431">
          <cell r="H431">
            <v>2038</v>
          </cell>
          <cell r="I431">
            <v>1.4568111725277988</v>
          </cell>
          <cell r="J431">
            <v>1.5053934233819073</v>
          </cell>
        </row>
        <row r="432">
          <cell r="H432">
            <v>2039</v>
          </cell>
          <cell r="I432">
            <v>1.4859473959783549</v>
          </cell>
          <cell r="J432">
            <v>1.535501291849545</v>
          </cell>
        </row>
        <row r="433">
          <cell r="H433">
            <v>2040</v>
          </cell>
          <cell r="I433">
            <v>1.5156663438979221</v>
          </cell>
          <cell r="J433">
            <v>1.5662113176865362</v>
          </cell>
        </row>
        <row r="434">
          <cell r="H434">
            <v>2041</v>
          </cell>
          <cell r="I434">
            <v>1.5459796707758806</v>
          </cell>
          <cell r="J434">
            <v>1.597535544040267</v>
          </cell>
        </row>
        <row r="435">
          <cell r="H435">
            <v>2042</v>
          </cell>
          <cell r="I435">
            <v>1.5768992641913981</v>
          </cell>
          <cell r="J435">
            <v>1.6294862549210722</v>
          </cell>
        </row>
        <row r="436">
          <cell r="H436">
            <v>2043</v>
          </cell>
          <cell r="I436">
            <v>1.6084372494752261</v>
          </cell>
          <cell r="J436">
            <v>1.6620759800194937</v>
          </cell>
        </row>
        <row r="437">
          <cell r="H437">
            <v>2044</v>
          </cell>
          <cell r="I437">
            <v>1.6406059944647307</v>
          </cell>
          <cell r="J437">
            <v>1.6953174996198836</v>
          </cell>
        </row>
        <row r="438">
          <cell r="H438">
            <v>2045</v>
          </cell>
          <cell r="I438">
            <v>1.6734181143540252</v>
          </cell>
          <cell r="J438">
            <v>1.7292238496122816</v>
          </cell>
        </row>
        <row r="439">
          <cell r="H439">
            <v>2046</v>
          </cell>
          <cell r="I439">
            <v>1.7068864766411058</v>
          </cell>
          <cell r="J439">
            <v>1.763808326604527</v>
          </cell>
        </row>
        <row r="440">
          <cell r="H440">
            <v>2047</v>
          </cell>
          <cell r="I440">
            <v>1.7410242061739281</v>
          </cell>
          <cell r="J440">
            <v>1.7990844931366179</v>
          </cell>
        </row>
        <row r="441">
          <cell r="H441">
            <v>2048</v>
          </cell>
          <cell r="I441">
            <v>1.7758446902974065</v>
          </cell>
          <cell r="J441">
            <v>1.8350661829993498</v>
          </cell>
        </row>
        <row r="442">
          <cell r="H442">
            <v>2049</v>
          </cell>
          <cell r="I442">
            <v>1.8113615841033548</v>
          </cell>
          <cell r="J442">
            <v>1.8717675066593371</v>
          </cell>
        </row>
        <row r="443">
          <cell r="H443">
            <v>2050</v>
          </cell>
          <cell r="I443">
            <v>1.8475888157854219</v>
          </cell>
          <cell r="J443">
            <v>1.9092028567925241</v>
          </cell>
        </row>
        <row r="444">
          <cell r="H444">
            <v>2051</v>
          </cell>
          <cell r="I444">
            <v>1.8845405921011305</v>
          </cell>
          <cell r="J444">
            <v>1.9473869139283746</v>
          </cell>
        </row>
        <row r="445">
          <cell r="H445">
            <v>2052</v>
          </cell>
          <cell r="I445">
            <v>1.9222314039431532</v>
          </cell>
          <cell r="J445">
            <v>1.9863346522069421</v>
          </cell>
        </row>
        <row r="446">
          <cell r="H446">
            <v>2053</v>
          </cell>
          <cell r="I446">
            <v>1.9606760320220162</v>
          </cell>
          <cell r="J446">
            <v>2.0260613452510805</v>
          </cell>
        </row>
        <row r="447">
          <cell r="H447">
            <v>2054</v>
          </cell>
          <cell r="I447">
            <v>1.9998895526624565</v>
          </cell>
          <cell r="J447">
            <v>2.0665825721561015</v>
          </cell>
        </row>
        <row r="448">
          <cell r="H448">
            <v>2055</v>
          </cell>
          <cell r="I448">
            <v>2.0398873437157055</v>
          </cell>
          <cell r="J448">
            <v>2.1079142235992241</v>
          </cell>
        </row>
        <row r="449">
          <cell r="H449">
            <v>2056</v>
          </cell>
          <cell r="I449">
            <v>2.0806850905900198</v>
          </cell>
          <cell r="J449">
            <v>2.1500725080712089</v>
          </cell>
        </row>
        <row r="450">
          <cell r="H450">
            <v>2057</v>
          </cell>
          <cell r="I450">
            <v>2.1222987924018204</v>
          </cell>
          <cell r="J450">
            <v>2.1930739582326333</v>
          </cell>
        </row>
        <row r="451">
          <cell r="H451">
            <v>2058</v>
          </cell>
          <cell r="I451">
            <v>2.1647447682498568</v>
          </cell>
          <cell r="J451">
            <v>2.2369354373972863</v>
          </cell>
        </row>
        <row r="452">
          <cell r="H452">
            <v>2059</v>
          </cell>
          <cell r="I452">
            <v>2.208039663614854</v>
          </cell>
          <cell r="J452">
            <v>2.2816741461452321</v>
          </cell>
        </row>
        <row r="453">
          <cell r="H453">
            <v>2060</v>
          </cell>
          <cell r="I453">
            <v>2.252200456887151</v>
          </cell>
          <cell r="J453">
            <v>2.3273076290681365</v>
          </cell>
        </row>
        <row r="454">
          <cell r="H454">
            <v>2061</v>
          </cell>
          <cell r="I454">
            <v>2.2972444660248938</v>
          </cell>
          <cell r="J454">
            <v>2.3738537816494989</v>
          </cell>
        </row>
        <row r="455">
          <cell r="H455">
            <v>2062</v>
          </cell>
          <cell r="I455">
            <v>2.343189355345392</v>
          </cell>
          <cell r="J455">
            <v>2.4213308572824888</v>
          </cell>
        </row>
        <row r="456">
          <cell r="H456">
            <v>2063</v>
          </cell>
          <cell r="I456">
            <v>2.3900531424522997</v>
          </cell>
          <cell r="J456">
            <v>2.469757474428139</v>
          </cell>
        </row>
        <row r="457">
          <cell r="H457">
            <v>2064</v>
          </cell>
          <cell r="I457">
            <v>2.4378542053013459</v>
          </cell>
          <cell r="J457">
            <v>2.5191526239167019</v>
          </cell>
        </row>
        <row r="458">
          <cell r="H458">
            <v>2065</v>
          </cell>
          <cell r="I458">
            <v>2.4866112894073726</v>
          </cell>
          <cell r="J458">
            <v>2.5695356763950357</v>
          </cell>
        </row>
        <row r="459">
          <cell r="H459">
            <v>2066</v>
          </cell>
          <cell r="I459">
            <v>2.53634351519552</v>
          </cell>
          <cell r="J459">
            <v>2.6209263899229369</v>
          </cell>
        </row>
        <row r="460">
          <cell r="H460">
            <v>2067</v>
          </cell>
          <cell r="I460">
            <v>2.5870703854994304</v>
          </cell>
          <cell r="J460">
            <v>2.6733449177213955</v>
          </cell>
        </row>
        <row r="461">
          <cell r="H461">
            <v>2068</v>
          </cell>
          <cell r="I461">
            <v>2.6388117932094191</v>
          </cell>
          <cell r="J461">
            <v>2.7268118160758226</v>
          </cell>
        </row>
        <row r="462">
          <cell r="H462">
            <v>2069</v>
          </cell>
          <cell r="I462">
            <v>2.6915880290736074</v>
          </cell>
          <cell r="J462">
            <v>2.7813480523973393</v>
          </cell>
        </row>
        <row r="463">
          <cell r="H463">
            <v>2070</v>
          </cell>
          <cell r="I463">
            <v>2.7454197896550796</v>
          </cell>
          <cell r="J463">
            <v>2.8369750134452865</v>
          </cell>
        </row>
        <row r="464">
          <cell r="H464">
            <v>2071</v>
          </cell>
          <cell r="I464">
            <v>2.8003281854481812</v>
          </cell>
          <cell r="J464">
            <v>2.8937145137141922</v>
          </cell>
        </row>
        <row r="465">
          <cell r="H465">
            <v>2072</v>
          </cell>
          <cell r="I465">
            <v>2.8563347491571447</v>
          </cell>
          <cell r="J465">
            <v>2.9515888039884755</v>
          </cell>
        </row>
        <row r="466">
          <cell r="H466">
            <v>2073</v>
          </cell>
          <cell r="I466">
            <v>2.9134614441402875</v>
          </cell>
          <cell r="J466">
            <v>3.0106205800682448</v>
          </cell>
        </row>
        <row r="467">
          <cell r="H467">
            <v>2074</v>
          </cell>
          <cell r="I467">
            <v>2.9717306730230932</v>
          </cell>
          <cell r="J467">
            <v>3.0708329916696093</v>
          </cell>
        </row>
        <row r="468">
          <cell r="H468">
            <v>2075</v>
          </cell>
          <cell r="I468">
            <v>3.0311652864835552</v>
          </cell>
          <cell r="J468">
            <v>3.1322496515030016</v>
          </cell>
        </row>
        <row r="469">
          <cell r="H469">
            <v>2076</v>
          </cell>
          <cell r="I469">
            <v>3.0917885922132262</v>
          </cell>
          <cell r="J469">
            <v>3.1948946445330617</v>
          </cell>
        </row>
        <row r="470">
          <cell r="H470">
            <v>2077</v>
          </cell>
          <cell r="I470">
            <v>3.1536243640574906</v>
          </cell>
          <cell r="J470">
            <v>3.2587925374237234</v>
          </cell>
        </row>
        <row r="471">
          <cell r="H471">
            <v>2078</v>
          </cell>
          <cell r="I471">
            <v>3.2166968513386403</v>
          </cell>
          <cell r="J471">
            <v>3.2870186524691452</v>
          </cell>
        </row>
        <row r="472">
          <cell r="H472">
            <v>2079</v>
          </cell>
          <cell r="I472">
            <v>3.2810307883654133</v>
          </cell>
          <cell r="J472" t="str">
            <v>not applicable - not enough compound indicies</v>
          </cell>
        </row>
        <row r="473">
          <cell r="H473">
            <v>2080</v>
          </cell>
          <cell r="I473">
            <v>3.3466514041327216</v>
          </cell>
          <cell r="J473" t="str">
            <v>not applicable - not enough compound indicies</v>
          </cell>
        </row>
        <row r="474">
          <cell r="H474">
            <v>2081</v>
          </cell>
          <cell r="I474">
            <v>3.4135844322153761</v>
          </cell>
          <cell r="J474" t="str">
            <v>not applicable - not enough compound indicies</v>
          </cell>
        </row>
        <row r="475">
          <cell r="H475">
            <v>2082</v>
          </cell>
          <cell r="I475">
            <v>3.4818561208596837</v>
          </cell>
          <cell r="J475" t="str">
            <v>not applicable - not enough compound indicies</v>
          </cell>
        </row>
        <row r="476">
          <cell r="H476">
            <v>2083</v>
          </cell>
          <cell r="I476">
            <v>3.5514932432768775</v>
          </cell>
          <cell r="J476" t="str">
            <v>not applicable - not enough compound indicies</v>
          </cell>
        </row>
        <row r="477">
          <cell r="H477">
            <v>2084</v>
          </cell>
          <cell r="I477">
            <v>3.6225231081424152</v>
          </cell>
          <cell r="J477" t="str">
            <v>not applicable - not enough compound indicies</v>
          </cell>
        </row>
        <row r="483">
          <cell r="H483">
            <v>0</v>
          </cell>
          <cell r="I483" t="str">
            <v>n/a</v>
          </cell>
          <cell r="J483" t="str">
            <v>n/a</v>
          </cell>
        </row>
        <row r="484">
          <cell r="H484">
            <v>2012</v>
          </cell>
          <cell r="I484">
            <v>0.89487881506658262</v>
          </cell>
          <cell r="J484">
            <v>0.90629843486073824</v>
          </cell>
        </row>
        <row r="485">
          <cell r="H485">
            <v>2013</v>
          </cell>
          <cell r="I485">
            <v>0.90830199729258132</v>
          </cell>
          <cell r="J485">
            <v>0.91879305130209621</v>
          </cell>
        </row>
        <row r="486">
          <cell r="H486">
            <v>2014</v>
          </cell>
          <cell r="I486">
            <v>0.92192652725197</v>
          </cell>
          <cell r="J486">
            <v>0.93326447317250072</v>
          </cell>
        </row>
        <row r="487">
          <cell r="H487">
            <v>2015</v>
          </cell>
          <cell r="I487">
            <v>0.93206771905174157</v>
          </cell>
          <cell r="J487">
            <v>0.9426938446391</v>
          </cell>
        </row>
        <row r="488">
          <cell r="H488">
            <v>2016</v>
          </cell>
          <cell r="I488">
            <v>0.94325253168036249</v>
          </cell>
          <cell r="J488">
            <v>0.95983126187093681</v>
          </cell>
        </row>
        <row r="489">
          <cell r="H489">
            <v>2017</v>
          </cell>
          <cell r="I489">
            <v>0.95928782471892859</v>
          </cell>
          <cell r="J489">
            <v>0.9759891774559688</v>
          </cell>
        </row>
        <row r="490">
          <cell r="H490">
            <v>2018</v>
          </cell>
          <cell r="I490">
            <v>0.98039215686274506</v>
          </cell>
          <cell r="J490">
            <v>0.99558745665882364</v>
          </cell>
        </row>
        <row r="491">
          <cell r="H491">
            <v>2019</v>
          </cell>
          <cell r="I491">
            <v>1</v>
          </cell>
          <cell r="J491">
            <v>1.0191479940799999</v>
          </cell>
        </row>
        <row r="492">
          <cell r="H492">
            <v>2020</v>
          </cell>
          <cell r="I492">
            <v>1.02</v>
          </cell>
          <cell r="J492">
            <v>1.03753480296192</v>
          </cell>
        </row>
        <row r="493">
          <cell r="H493">
            <v>2021</v>
          </cell>
          <cell r="I493">
            <v>1.0404</v>
          </cell>
          <cell r="J493">
            <v>1.0582854990211583</v>
          </cell>
        </row>
        <row r="494">
          <cell r="H494">
            <v>2022</v>
          </cell>
          <cell r="I494">
            <v>1.0612079999999999</v>
          </cell>
          <cell r="J494">
            <v>1.0794512090015815</v>
          </cell>
        </row>
        <row r="495">
          <cell r="H495">
            <v>2023</v>
          </cell>
          <cell r="I495">
            <v>1.08243216</v>
          </cell>
          <cell r="J495">
            <v>1.1010402331816134</v>
          </cell>
        </row>
        <row r="496">
          <cell r="H496">
            <v>2024</v>
          </cell>
          <cell r="I496">
            <v>1.1040808032</v>
          </cell>
          <cell r="J496">
            <v>1.1230610378452455</v>
          </cell>
        </row>
        <row r="497">
          <cell r="H497">
            <v>2025</v>
          </cell>
          <cell r="I497">
            <v>1.1261624192640001</v>
          </cell>
          <cell r="J497">
            <v>1.1455222586021503</v>
          </cell>
        </row>
        <row r="498">
          <cell r="H498">
            <v>2026</v>
          </cell>
          <cell r="I498">
            <v>1.14868566764928</v>
          </cell>
          <cell r="J498">
            <v>1.1684327037741935</v>
          </cell>
        </row>
        <row r="499">
          <cell r="H499">
            <v>2027</v>
          </cell>
          <cell r="I499">
            <v>1.1716593810022657</v>
          </cell>
          <cell r="J499">
            <v>1.1918013578496776</v>
          </cell>
        </row>
        <row r="500">
          <cell r="H500">
            <v>2028</v>
          </cell>
          <cell r="I500">
            <v>1.1950925686223111</v>
          </cell>
          <cell r="J500">
            <v>1.2156373850066708</v>
          </cell>
        </row>
        <row r="501">
          <cell r="H501">
            <v>2029</v>
          </cell>
          <cell r="I501">
            <v>1.2189944199947573</v>
          </cell>
          <cell r="J501">
            <v>1.2399501327068043</v>
          </cell>
        </row>
        <row r="502">
          <cell r="H502">
            <v>2030</v>
          </cell>
          <cell r="I502">
            <v>1.2433743083946525</v>
          </cell>
          <cell r="J502">
            <v>1.2647491353609408</v>
          </cell>
        </row>
        <row r="503">
          <cell r="H503">
            <v>2031</v>
          </cell>
          <cell r="I503">
            <v>1.2682417945625455</v>
          </cell>
          <cell r="J503">
            <v>1.2900441180681594</v>
          </cell>
        </row>
        <row r="504">
          <cell r="H504">
            <v>2032</v>
          </cell>
          <cell r="I504">
            <v>1.2936066304537963</v>
          </cell>
          <cell r="J504">
            <v>1.3158450004295226</v>
          </cell>
        </row>
        <row r="505">
          <cell r="H505">
            <v>2033</v>
          </cell>
          <cell r="I505">
            <v>1.3194787630628724</v>
          </cell>
          <cell r="J505">
            <v>1.3421619004381129</v>
          </cell>
        </row>
        <row r="506">
          <cell r="H506">
            <v>2034</v>
          </cell>
          <cell r="I506">
            <v>1.3458683383241299</v>
          </cell>
          <cell r="J506">
            <v>1.3690051384468753</v>
          </cell>
        </row>
        <row r="507">
          <cell r="H507">
            <v>2035</v>
          </cell>
          <cell r="I507">
            <v>1.3727857050906125</v>
          </cell>
          <cell r="J507">
            <v>1.3963852412158129</v>
          </cell>
        </row>
        <row r="508">
          <cell r="H508">
            <v>2036</v>
          </cell>
          <cell r="I508">
            <v>1.4002414191924248</v>
          </cell>
          <cell r="J508">
            <v>1.4243129460401291</v>
          </cell>
        </row>
        <row r="509">
          <cell r="H509">
            <v>2037</v>
          </cell>
          <cell r="I509">
            <v>1.4282462475762734</v>
          </cell>
          <cell r="J509">
            <v>1.452799204960932</v>
          </cell>
        </row>
        <row r="510">
          <cell r="H510">
            <v>2038</v>
          </cell>
          <cell r="I510">
            <v>1.4568111725277988</v>
          </cell>
          <cell r="J510">
            <v>1.4818551890601506</v>
          </cell>
        </row>
        <row r="511">
          <cell r="H511">
            <v>2039</v>
          </cell>
          <cell r="I511">
            <v>1.4859473959783549</v>
          </cell>
          <cell r="J511">
            <v>1.5114922928413537</v>
          </cell>
        </row>
        <row r="512">
          <cell r="H512">
            <v>2040</v>
          </cell>
          <cell r="I512">
            <v>1.5156663438979221</v>
          </cell>
          <cell r="J512">
            <v>1.5417221386981808</v>
          </cell>
        </row>
        <row r="513">
          <cell r="H513">
            <v>2041</v>
          </cell>
          <cell r="I513">
            <v>1.5459796707758806</v>
          </cell>
          <cell r="J513">
            <v>1.5725565814721445</v>
          </cell>
        </row>
        <row r="514">
          <cell r="H514">
            <v>2042</v>
          </cell>
          <cell r="I514">
            <v>1.5768992641913981</v>
          </cell>
          <cell r="J514">
            <v>1.6040077131015871</v>
          </cell>
        </row>
        <row r="515">
          <cell r="H515">
            <v>2043</v>
          </cell>
          <cell r="I515">
            <v>1.6084372494752261</v>
          </cell>
          <cell r="J515">
            <v>1.636087867363619</v>
          </cell>
        </row>
        <row r="516">
          <cell r="H516">
            <v>2044</v>
          </cell>
          <cell r="I516">
            <v>1.6406059944647307</v>
          </cell>
          <cell r="J516">
            <v>1.6688096247108914</v>
          </cell>
        </row>
        <row r="517">
          <cell r="H517">
            <v>2045</v>
          </cell>
          <cell r="I517">
            <v>1.6734181143540252</v>
          </cell>
          <cell r="J517">
            <v>1.7021858172051092</v>
          </cell>
        </row>
        <row r="518">
          <cell r="H518">
            <v>2046</v>
          </cell>
          <cell r="I518">
            <v>1.7068864766411058</v>
          </cell>
          <cell r="J518">
            <v>1.7362295335492117</v>
          </cell>
        </row>
        <row r="519">
          <cell r="H519">
            <v>2047</v>
          </cell>
          <cell r="I519">
            <v>1.7410242061739281</v>
          </cell>
          <cell r="J519">
            <v>1.7709541242201956</v>
          </cell>
        </row>
        <row r="520">
          <cell r="H520">
            <v>2048</v>
          </cell>
          <cell r="I520">
            <v>1.7758446902974065</v>
          </cell>
          <cell r="J520">
            <v>1.8063732067045999</v>
          </cell>
        </row>
        <row r="521">
          <cell r="H521">
            <v>2049</v>
          </cell>
          <cell r="I521">
            <v>1.8113615841033548</v>
          </cell>
          <cell r="J521">
            <v>1.8425006708386917</v>
          </cell>
        </row>
        <row r="522">
          <cell r="H522">
            <v>2050</v>
          </cell>
          <cell r="I522">
            <v>1.8475888157854219</v>
          </cell>
          <cell r="J522">
            <v>1.8793506842554655</v>
          </cell>
        </row>
        <row r="523">
          <cell r="H523">
            <v>2051</v>
          </cell>
          <cell r="I523">
            <v>1.8845405921011305</v>
          </cell>
          <cell r="J523">
            <v>1.916937697940575</v>
          </cell>
        </row>
        <row r="524">
          <cell r="H524">
            <v>2052</v>
          </cell>
          <cell r="I524">
            <v>1.9222314039431532</v>
          </cell>
          <cell r="J524">
            <v>1.9552764518993864</v>
          </cell>
        </row>
        <row r="525">
          <cell r="H525">
            <v>2053</v>
          </cell>
          <cell r="I525">
            <v>1.9606760320220162</v>
          </cell>
          <cell r="J525">
            <v>1.9943819809373744</v>
          </cell>
        </row>
        <row r="526">
          <cell r="H526">
            <v>2054</v>
          </cell>
          <cell r="I526">
            <v>1.9998895526624565</v>
          </cell>
          <cell r="J526">
            <v>2.0342696205561217</v>
          </cell>
        </row>
        <row r="527">
          <cell r="H527">
            <v>2055</v>
          </cell>
          <cell r="I527">
            <v>2.0398873437157055</v>
          </cell>
          <cell r="J527">
            <v>2.0749550129672443</v>
          </cell>
        </row>
        <row r="528">
          <cell r="H528">
            <v>2056</v>
          </cell>
          <cell r="I528">
            <v>2.0806850905900198</v>
          </cell>
          <cell r="J528">
            <v>2.1164541132265895</v>
          </cell>
        </row>
        <row r="529">
          <cell r="H529">
            <v>2057</v>
          </cell>
          <cell r="I529">
            <v>2.1222987924018204</v>
          </cell>
          <cell r="J529">
            <v>2.1587831954911212</v>
          </cell>
        </row>
        <row r="530">
          <cell r="H530">
            <v>2058</v>
          </cell>
          <cell r="I530">
            <v>2.1647447682498568</v>
          </cell>
          <cell r="J530">
            <v>2.2019588594009436</v>
          </cell>
        </row>
        <row r="531">
          <cell r="H531">
            <v>2059</v>
          </cell>
          <cell r="I531">
            <v>2.208039663614854</v>
          </cell>
          <cell r="J531">
            <v>2.2459980365889627</v>
          </cell>
        </row>
        <row r="532">
          <cell r="H532">
            <v>2060</v>
          </cell>
          <cell r="I532">
            <v>2.252200456887151</v>
          </cell>
          <cell r="J532">
            <v>2.2909179973207414</v>
          </cell>
        </row>
        <row r="533">
          <cell r="H533">
            <v>2061</v>
          </cell>
          <cell r="I533">
            <v>2.2972444660248938</v>
          </cell>
          <cell r="J533">
            <v>2.336736357267156</v>
          </cell>
        </row>
        <row r="534">
          <cell r="H534">
            <v>2062</v>
          </cell>
          <cell r="I534">
            <v>2.343189355345392</v>
          </cell>
          <cell r="J534">
            <v>2.3834710844124998</v>
          </cell>
        </row>
        <row r="535">
          <cell r="H535">
            <v>2063</v>
          </cell>
          <cell r="I535">
            <v>2.3900531424522997</v>
          </cell>
          <cell r="J535">
            <v>2.4311405061007498</v>
          </cell>
        </row>
        <row r="536">
          <cell r="H536">
            <v>2064</v>
          </cell>
          <cell r="I536">
            <v>2.4378542053013459</v>
          </cell>
          <cell r="J536">
            <v>2.4797633162227646</v>
          </cell>
        </row>
        <row r="537">
          <cell r="H537">
            <v>2065</v>
          </cell>
          <cell r="I537">
            <v>2.4866112894073726</v>
          </cell>
          <cell r="J537">
            <v>2.5293585825472196</v>
          </cell>
        </row>
        <row r="538">
          <cell r="H538">
            <v>2066</v>
          </cell>
          <cell r="I538">
            <v>2.53634351519552</v>
          </cell>
          <cell r="J538">
            <v>2.5799457541981643</v>
          </cell>
        </row>
        <row r="539">
          <cell r="H539">
            <v>2067</v>
          </cell>
          <cell r="I539">
            <v>2.5870703854994304</v>
          </cell>
          <cell r="J539">
            <v>2.6315446692821278</v>
          </cell>
        </row>
        <row r="540">
          <cell r="H540">
            <v>2068</v>
          </cell>
          <cell r="I540">
            <v>2.6388117932094191</v>
          </cell>
          <cell r="J540">
            <v>2.6841755626677695</v>
          </cell>
        </row>
        <row r="541">
          <cell r="H541">
            <v>2069</v>
          </cell>
          <cell r="I541">
            <v>2.6915880290736074</v>
          </cell>
          <cell r="J541">
            <v>2.7378590739211255</v>
          </cell>
        </row>
        <row r="542">
          <cell r="H542">
            <v>2070</v>
          </cell>
          <cell r="I542">
            <v>2.7454197896550796</v>
          </cell>
          <cell r="J542">
            <v>2.7926162553995475</v>
          </cell>
        </row>
        <row r="543">
          <cell r="H543">
            <v>2071</v>
          </cell>
          <cell r="I543">
            <v>2.8003281854481812</v>
          </cell>
          <cell r="J543">
            <v>2.8484685805075389</v>
          </cell>
        </row>
        <row r="544">
          <cell r="H544">
            <v>2072</v>
          </cell>
          <cell r="I544">
            <v>2.8563347491571447</v>
          </cell>
          <cell r="J544">
            <v>2.9054379521176892</v>
          </cell>
        </row>
        <row r="545">
          <cell r="H545">
            <v>2073</v>
          </cell>
          <cell r="I545">
            <v>2.9134614441402875</v>
          </cell>
          <cell r="J545">
            <v>2.9635467111600433</v>
          </cell>
        </row>
        <row r="546">
          <cell r="H546">
            <v>2074</v>
          </cell>
          <cell r="I546">
            <v>2.9717306730230932</v>
          </cell>
          <cell r="J546">
            <v>3.022817645383244</v>
          </cell>
        </row>
        <row r="547">
          <cell r="H547">
            <v>2075</v>
          </cell>
          <cell r="I547">
            <v>3.0311652864835552</v>
          </cell>
          <cell r="J547">
            <v>3.0832739982909092</v>
          </cell>
        </row>
        <row r="548">
          <cell r="H548">
            <v>2076</v>
          </cell>
          <cell r="I548">
            <v>3.0917885922132262</v>
          </cell>
          <cell r="J548">
            <v>3.1449394782567275</v>
          </cell>
        </row>
        <row r="549">
          <cell r="H549">
            <v>2077</v>
          </cell>
          <cell r="I549">
            <v>3.1536243640574906</v>
          </cell>
          <cell r="J549">
            <v>3.2078382678218618</v>
          </cell>
        </row>
        <row r="550">
          <cell r="H550">
            <v>2078</v>
          </cell>
          <cell r="I550">
            <v>3.2166968513386403</v>
          </cell>
          <cell r="J550">
            <v>3.2719950331782992</v>
          </cell>
        </row>
        <row r="551">
          <cell r="H551">
            <v>2079</v>
          </cell>
          <cell r="I551">
            <v>3.2810307883654133</v>
          </cell>
          <cell r="J551" t="str">
            <v>not applicable - not enough compound indicies</v>
          </cell>
        </row>
        <row r="552">
          <cell r="H552">
            <v>2080</v>
          </cell>
          <cell r="I552">
            <v>3.3466514041327216</v>
          </cell>
          <cell r="J552" t="str">
            <v>not applicable - not enough compound indicies</v>
          </cell>
        </row>
        <row r="553">
          <cell r="H553">
            <v>2081</v>
          </cell>
          <cell r="I553">
            <v>3.4135844322153761</v>
          </cell>
          <cell r="J553" t="str">
            <v>not applicable - not enough compound indicies</v>
          </cell>
        </row>
        <row r="554">
          <cell r="H554">
            <v>2082</v>
          </cell>
          <cell r="I554">
            <v>3.4818561208596837</v>
          </cell>
          <cell r="J554" t="str">
            <v>not applicable - not enough compound indicies</v>
          </cell>
        </row>
        <row r="555">
          <cell r="H555">
            <v>2083</v>
          </cell>
          <cell r="I555">
            <v>3.5514932432768775</v>
          </cell>
          <cell r="J555" t="str">
            <v>not applicable - not enough compound indicies</v>
          </cell>
        </row>
        <row r="556">
          <cell r="H556">
            <v>2084</v>
          </cell>
          <cell r="I556">
            <v>3.6225231081424152</v>
          </cell>
          <cell r="J556" t="str">
            <v>not applicable - not enough compound indicies</v>
          </cell>
        </row>
        <row r="562">
          <cell r="H562">
            <v>0</v>
          </cell>
          <cell r="I562" t="str">
            <v>n/a</v>
          </cell>
          <cell r="J562" t="str">
            <v>n/a</v>
          </cell>
        </row>
        <row r="563">
          <cell r="H563">
            <v>2012</v>
          </cell>
          <cell r="I563">
            <v>0.89487881506658262</v>
          </cell>
          <cell r="J563">
            <v>0.92221844898799377</v>
          </cell>
        </row>
        <row r="564">
          <cell r="H564">
            <v>2013</v>
          </cell>
          <cell r="I564">
            <v>0.90830199729258132</v>
          </cell>
          <cell r="J564">
            <v>0.93550992918697662</v>
          </cell>
        </row>
        <row r="565">
          <cell r="H565">
            <v>2014</v>
          </cell>
          <cell r="I565">
            <v>0.92192652725197</v>
          </cell>
          <cell r="J565">
            <v>0.96306141470810613</v>
          </cell>
        </row>
        <row r="566">
          <cell r="H566">
            <v>2015</v>
          </cell>
          <cell r="I566">
            <v>0.93206771905174157</v>
          </cell>
          <cell r="J566">
            <v>0.97943296108511657</v>
          </cell>
        </row>
        <row r="567">
          <cell r="H567">
            <v>2016</v>
          </cell>
          <cell r="I567">
            <v>0.94325253168036249</v>
          </cell>
          <cell r="J567">
            <v>0.99848280485825236</v>
          </cell>
        </row>
        <row r="568">
          <cell r="H568">
            <v>2017</v>
          </cell>
          <cell r="I568">
            <v>0.95928782471892859</v>
          </cell>
          <cell r="J568">
            <v>1.019038107587287</v>
          </cell>
        </row>
        <row r="569">
          <cell r="H569">
            <v>2018</v>
          </cell>
          <cell r="I569">
            <v>0.98039215686274506</v>
          </cell>
          <cell r="J569">
            <v>1.0412578986327818</v>
          </cell>
        </row>
        <row r="570">
          <cell r="H570">
            <v>2019</v>
          </cell>
          <cell r="I570">
            <v>1</v>
          </cell>
          <cell r="J570">
            <v>1.0620830566054376</v>
          </cell>
        </row>
        <row r="571">
          <cell r="H571">
            <v>2020</v>
          </cell>
          <cell r="I571">
            <v>1.02</v>
          </cell>
          <cell r="J571">
            <v>1.0889147230833822</v>
          </cell>
        </row>
        <row r="572">
          <cell r="H572">
            <v>2021</v>
          </cell>
          <cell r="I572">
            <v>1.0404</v>
          </cell>
          <cell r="J572">
            <v>1.1106930175450498</v>
          </cell>
        </row>
        <row r="573">
          <cell r="H573">
            <v>2022</v>
          </cell>
          <cell r="I573">
            <v>1.0612079999999999</v>
          </cell>
          <cell r="J573">
            <v>1.1329068778959508</v>
          </cell>
        </row>
        <row r="574">
          <cell r="H574">
            <v>2023</v>
          </cell>
          <cell r="I574">
            <v>1.08243216</v>
          </cell>
          <cell r="J574">
            <v>1.1555650154538699</v>
          </cell>
        </row>
        <row r="575">
          <cell r="H575">
            <v>2024</v>
          </cell>
          <cell r="I575">
            <v>1.1040808032</v>
          </cell>
          <cell r="J575">
            <v>1.1786763157629474</v>
          </cell>
        </row>
        <row r="576">
          <cell r="H576">
            <v>2025</v>
          </cell>
          <cell r="I576">
            <v>1.1261624192640001</v>
          </cell>
          <cell r="J576">
            <v>1.2022498420782066</v>
          </cell>
        </row>
        <row r="577">
          <cell r="H577">
            <v>2026</v>
          </cell>
          <cell r="I577">
            <v>1.14868566764928</v>
          </cell>
          <cell r="J577">
            <v>1.2262948389197708</v>
          </cell>
        </row>
        <row r="578">
          <cell r="H578">
            <v>2027</v>
          </cell>
          <cell r="I578">
            <v>1.1716593810022657</v>
          </cell>
          <cell r="J578">
            <v>1.250820735698166</v>
          </cell>
        </row>
        <row r="579">
          <cell r="H579">
            <v>2028</v>
          </cell>
          <cell r="I579">
            <v>1.1950925686223111</v>
          </cell>
          <cell r="J579">
            <v>1.2758371504121293</v>
          </cell>
        </row>
        <row r="580">
          <cell r="H580">
            <v>2029</v>
          </cell>
          <cell r="I580">
            <v>1.2189944199947573</v>
          </cell>
          <cell r="J580">
            <v>1.3013538934203719</v>
          </cell>
        </row>
        <row r="581">
          <cell r="H581">
            <v>2030</v>
          </cell>
          <cell r="I581">
            <v>1.2433743083946525</v>
          </cell>
          <cell r="J581">
            <v>1.3273809712887792</v>
          </cell>
        </row>
        <row r="582">
          <cell r="H582">
            <v>2031</v>
          </cell>
          <cell r="I582">
            <v>1.2682417945625455</v>
          </cell>
          <cell r="J582">
            <v>1.3539285907145553</v>
          </cell>
        </row>
        <row r="583">
          <cell r="H583">
            <v>2032</v>
          </cell>
          <cell r="I583">
            <v>1.2936066304537963</v>
          </cell>
          <cell r="J583">
            <v>1.381007162528846</v>
          </cell>
        </row>
        <row r="584">
          <cell r="H584">
            <v>2033</v>
          </cell>
          <cell r="I584">
            <v>1.3194787630628724</v>
          </cell>
          <cell r="J584">
            <v>1.4086273057794232</v>
          </cell>
        </row>
        <row r="585">
          <cell r="H585">
            <v>2034</v>
          </cell>
          <cell r="I585">
            <v>1.3458683383241299</v>
          </cell>
          <cell r="J585">
            <v>1.4367998518950116</v>
          </cell>
        </row>
        <row r="586">
          <cell r="H586">
            <v>2035</v>
          </cell>
          <cell r="I586">
            <v>1.3727857050906125</v>
          </cell>
          <cell r="J586">
            <v>1.4655358489329118</v>
          </cell>
        </row>
        <row r="587">
          <cell r="H587">
            <v>2036</v>
          </cell>
          <cell r="I587">
            <v>1.4002414191924248</v>
          </cell>
          <cell r="J587">
            <v>1.4948465659115699</v>
          </cell>
        </row>
        <row r="588">
          <cell r="H588">
            <v>2037</v>
          </cell>
          <cell r="I588">
            <v>1.4282462475762734</v>
          </cell>
          <cell r="J588">
            <v>1.5247434972298015</v>
          </cell>
        </row>
        <row r="589">
          <cell r="H589">
            <v>2038</v>
          </cell>
          <cell r="I589">
            <v>1.4568111725277988</v>
          </cell>
          <cell r="J589">
            <v>1.5552383671743972</v>
          </cell>
        </row>
        <row r="590">
          <cell r="H590">
            <v>2039</v>
          </cell>
          <cell r="I590">
            <v>1.4859473959783549</v>
          </cell>
          <cell r="J590">
            <v>1.5863431345178858</v>
          </cell>
        </row>
        <row r="591">
          <cell r="H591">
            <v>2040</v>
          </cell>
          <cell r="I591">
            <v>1.5156663438979221</v>
          </cell>
          <cell r="J591">
            <v>1.6180699972082431</v>
          </cell>
        </row>
        <row r="592">
          <cell r="H592">
            <v>2041</v>
          </cell>
          <cell r="I592">
            <v>1.5459796707758806</v>
          </cell>
          <cell r="J592">
            <v>1.6504313971524083</v>
          </cell>
        </row>
        <row r="593">
          <cell r="H593">
            <v>2042</v>
          </cell>
          <cell r="I593">
            <v>1.5768992641913981</v>
          </cell>
          <cell r="J593">
            <v>1.6834400250954564</v>
          </cell>
        </row>
        <row r="594">
          <cell r="H594">
            <v>2043</v>
          </cell>
          <cell r="I594">
            <v>1.6084372494752261</v>
          </cell>
          <cell r="J594">
            <v>1.7171088255973654</v>
          </cell>
        </row>
        <row r="595">
          <cell r="H595">
            <v>2044</v>
          </cell>
          <cell r="I595">
            <v>1.6406059944647307</v>
          </cell>
          <cell r="J595">
            <v>1.751451002109313</v>
          </cell>
        </row>
        <row r="596">
          <cell r="H596">
            <v>2045</v>
          </cell>
          <cell r="I596">
            <v>1.6734181143540252</v>
          </cell>
          <cell r="J596">
            <v>1.7864800221514991</v>
          </cell>
        </row>
        <row r="597">
          <cell r="H597">
            <v>2046</v>
          </cell>
          <cell r="I597">
            <v>1.7068864766411058</v>
          </cell>
          <cell r="J597">
            <v>1.8222096225945292</v>
          </cell>
        </row>
        <row r="598">
          <cell r="H598">
            <v>2047</v>
          </cell>
          <cell r="I598">
            <v>1.7410242061739281</v>
          </cell>
          <cell r="J598">
            <v>1.85865381504642</v>
          </cell>
        </row>
        <row r="599">
          <cell r="H599">
            <v>2048</v>
          </cell>
          <cell r="I599">
            <v>1.7758446902974065</v>
          </cell>
          <cell r="J599">
            <v>1.8958268913473484</v>
          </cell>
        </row>
        <row r="600">
          <cell r="H600">
            <v>2049</v>
          </cell>
          <cell r="I600">
            <v>1.8113615841033548</v>
          </cell>
          <cell r="J600">
            <v>1.9337434291742956</v>
          </cell>
        </row>
        <row r="601">
          <cell r="H601">
            <v>2050</v>
          </cell>
          <cell r="I601">
            <v>1.8475888157854219</v>
          </cell>
          <cell r="J601">
            <v>1.9724182977577815</v>
          </cell>
        </row>
        <row r="602">
          <cell r="H602">
            <v>2051</v>
          </cell>
          <cell r="I602">
            <v>1.8845405921011305</v>
          </cell>
          <cell r="J602">
            <v>2.0118666637129374</v>
          </cell>
        </row>
        <row r="603">
          <cell r="H603">
            <v>2052</v>
          </cell>
          <cell r="I603">
            <v>1.9222314039431532</v>
          </cell>
          <cell r="J603">
            <v>2.0521039969871957</v>
          </cell>
        </row>
        <row r="604">
          <cell r="H604">
            <v>2053</v>
          </cell>
          <cell r="I604">
            <v>1.9606760320220162</v>
          </cell>
          <cell r="J604">
            <v>2.0931460769269399</v>
          </cell>
        </row>
        <row r="605">
          <cell r="H605">
            <v>2054</v>
          </cell>
          <cell r="I605">
            <v>1.9998895526624565</v>
          </cell>
          <cell r="J605">
            <v>2.1350089984654788</v>
          </cell>
        </row>
        <row r="606">
          <cell r="H606">
            <v>2055</v>
          </cell>
          <cell r="I606">
            <v>2.0398873437157055</v>
          </cell>
          <cell r="J606">
            <v>2.1777091784347884</v>
          </cell>
        </row>
        <row r="607">
          <cell r="H607">
            <v>2056</v>
          </cell>
          <cell r="I607">
            <v>2.0806850905900198</v>
          </cell>
          <cell r="J607">
            <v>2.2212633620034841</v>
          </cell>
        </row>
        <row r="608">
          <cell r="H608">
            <v>2057</v>
          </cell>
          <cell r="I608">
            <v>2.1222987924018204</v>
          </cell>
          <cell r="J608">
            <v>2.2656886292435536</v>
          </cell>
        </row>
        <row r="609">
          <cell r="H609">
            <v>2058</v>
          </cell>
          <cell r="I609">
            <v>2.1647447682498568</v>
          </cell>
          <cell r="J609">
            <v>2.311002401828425</v>
          </cell>
        </row>
        <row r="610">
          <cell r="H610">
            <v>2059</v>
          </cell>
          <cell r="I610">
            <v>2.208039663614854</v>
          </cell>
          <cell r="J610">
            <v>2.3572224498649934</v>
          </cell>
        </row>
        <row r="611">
          <cell r="H611">
            <v>2060</v>
          </cell>
          <cell r="I611">
            <v>2.252200456887151</v>
          </cell>
          <cell r="J611">
            <v>2.404366898862293</v>
          </cell>
        </row>
        <row r="612">
          <cell r="H612">
            <v>2061</v>
          </cell>
          <cell r="I612">
            <v>2.2972444660248938</v>
          </cell>
          <cell r="J612">
            <v>2.452454236839539</v>
          </cell>
        </row>
        <row r="613">
          <cell r="H613">
            <v>2062</v>
          </cell>
          <cell r="I613">
            <v>2.343189355345392</v>
          </cell>
          <cell r="J613">
            <v>2.50150332157633</v>
          </cell>
        </row>
        <row r="614">
          <cell r="H614">
            <v>2063</v>
          </cell>
          <cell r="I614">
            <v>2.3900531424522997</v>
          </cell>
          <cell r="J614">
            <v>2.5515333880078566</v>
          </cell>
        </row>
        <row r="615">
          <cell r="H615">
            <v>2064</v>
          </cell>
          <cell r="I615">
            <v>2.4378542053013459</v>
          </cell>
          <cell r="J615">
            <v>2.6025640557680134</v>
          </cell>
        </row>
        <row r="616">
          <cell r="H616">
            <v>2065</v>
          </cell>
          <cell r="I616">
            <v>2.4866112894073726</v>
          </cell>
          <cell r="J616">
            <v>2.6546153368833738</v>
          </cell>
        </row>
        <row r="617">
          <cell r="H617">
            <v>2066</v>
          </cell>
          <cell r="I617">
            <v>2.53634351519552</v>
          </cell>
          <cell r="J617">
            <v>2.707707643621041</v>
          </cell>
        </row>
        <row r="618">
          <cell r="H618">
            <v>2067</v>
          </cell>
          <cell r="I618">
            <v>2.5870703854994304</v>
          </cell>
          <cell r="J618">
            <v>2.7618617964934615</v>
          </cell>
        </row>
        <row r="619">
          <cell r="H619">
            <v>2068</v>
          </cell>
          <cell r="I619">
            <v>2.6388117932094191</v>
          </cell>
          <cell r="J619">
            <v>2.8170990324233314</v>
          </cell>
        </row>
        <row r="620">
          <cell r="H620">
            <v>2069</v>
          </cell>
          <cell r="I620">
            <v>2.6915880290736074</v>
          </cell>
          <cell r="J620">
            <v>2.8734410130717976</v>
          </cell>
        </row>
        <row r="621">
          <cell r="H621">
            <v>2070</v>
          </cell>
          <cell r="I621">
            <v>2.7454197896550796</v>
          </cell>
          <cell r="J621">
            <v>2.9309098333332337</v>
          </cell>
        </row>
        <row r="622">
          <cell r="H622">
            <v>2071</v>
          </cell>
          <cell r="I622">
            <v>2.8003281854481812</v>
          </cell>
          <cell r="J622">
            <v>2.9895280299998981</v>
          </cell>
        </row>
        <row r="623">
          <cell r="H623">
            <v>2072</v>
          </cell>
          <cell r="I623">
            <v>2.8563347491571447</v>
          </cell>
          <cell r="J623">
            <v>3.0493185905998961</v>
          </cell>
        </row>
        <row r="624">
          <cell r="H624">
            <v>2073</v>
          </cell>
          <cell r="I624">
            <v>2.9134614441402875</v>
          </cell>
          <cell r="J624">
            <v>3.1103049624118939</v>
          </cell>
        </row>
        <row r="625">
          <cell r="H625">
            <v>2074</v>
          </cell>
          <cell r="I625">
            <v>2.9717306730230932</v>
          </cell>
          <cell r="J625">
            <v>3.1725110616601322</v>
          </cell>
        </row>
        <row r="626">
          <cell r="H626">
            <v>2075</v>
          </cell>
          <cell r="I626">
            <v>3.0311652864835552</v>
          </cell>
          <cell r="J626">
            <v>3.2359612828933346</v>
          </cell>
        </row>
        <row r="627">
          <cell r="H627">
            <v>2076</v>
          </cell>
          <cell r="I627">
            <v>3.0917885922132262</v>
          </cell>
          <cell r="J627">
            <v>3.1296032322460681</v>
          </cell>
        </row>
        <row r="628">
          <cell r="H628">
            <v>2077</v>
          </cell>
          <cell r="I628">
            <v>3.1536243640574906</v>
          </cell>
          <cell r="J628" t="str">
            <v>not applicable - not enough compound indicies</v>
          </cell>
        </row>
        <row r="629">
          <cell r="H629">
            <v>2078</v>
          </cell>
          <cell r="I629">
            <v>3.2166968513386403</v>
          </cell>
          <cell r="J629" t="str">
            <v>not applicable - not enough compound indicies</v>
          </cell>
        </row>
        <row r="630">
          <cell r="H630">
            <v>2079</v>
          </cell>
          <cell r="I630">
            <v>3.2810307883654133</v>
          </cell>
          <cell r="J630" t="str">
            <v>not applicable - not enough compound indicies</v>
          </cell>
        </row>
        <row r="631">
          <cell r="H631">
            <v>2080</v>
          </cell>
          <cell r="I631">
            <v>3.3466514041327216</v>
          </cell>
          <cell r="J631" t="str">
            <v>not applicable - not enough compound indicies</v>
          </cell>
        </row>
        <row r="632">
          <cell r="H632">
            <v>2081</v>
          </cell>
          <cell r="I632">
            <v>3.4135844322153761</v>
          </cell>
          <cell r="J632" t="str">
            <v>not applicable - not enough compound indicies</v>
          </cell>
        </row>
        <row r="633">
          <cell r="H633">
            <v>2082</v>
          </cell>
          <cell r="I633">
            <v>3.4818561208596837</v>
          </cell>
          <cell r="J633" t="str">
            <v>not applicable - not enough compound indicies</v>
          </cell>
        </row>
        <row r="634">
          <cell r="H634">
            <v>2083</v>
          </cell>
          <cell r="I634">
            <v>3.5514932432768775</v>
          </cell>
          <cell r="J634" t="str">
            <v>not applicable - not enough compound indicies</v>
          </cell>
        </row>
        <row r="635">
          <cell r="H635">
            <v>2084</v>
          </cell>
          <cell r="I635">
            <v>3.6225231081424152</v>
          </cell>
          <cell r="J635" t="str">
            <v>not applicable - not enough compound indicies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26" Type="http://schemas.openxmlformats.org/officeDocument/2006/relationships/ctrlProp" Target="../ctrlProps/ctrlProp4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7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5" Type="http://schemas.openxmlformats.org/officeDocument/2006/relationships/ctrlProp" Target="../ctrlProps/ctrlProp4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24" Type="http://schemas.openxmlformats.org/officeDocument/2006/relationships/ctrlProp" Target="../ctrlProps/ctrlProp40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23" Type="http://schemas.openxmlformats.org/officeDocument/2006/relationships/ctrlProp" Target="../ctrlProps/ctrlProp39.xml"/><Relationship Id="rId28" Type="http://schemas.openxmlformats.org/officeDocument/2006/relationships/ctrlProp" Target="../ctrlProps/ctrlProp44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Relationship Id="rId27" Type="http://schemas.openxmlformats.org/officeDocument/2006/relationships/ctrlProp" Target="../ctrlProps/ctrlProp4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4.xml"/><Relationship Id="rId18" Type="http://schemas.openxmlformats.org/officeDocument/2006/relationships/ctrlProp" Target="../ctrlProps/ctrlProp59.xml"/><Relationship Id="rId26" Type="http://schemas.openxmlformats.org/officeDocument/2006/relationships/ctrlProp" Target="../ctrlProps/ctrlProp67.xml"/><Relationship Id="rId21" Type="http://schemas.openxmlformats.org/officeDocument/2006/relationships/ctrlProp" Target="../ctrlProps/ctrlProp62.xml"/><Relationship Id="rId34" Type="http://schemas.openxmlformats.org/officeDocument/2006/relationships/ctrlProp" Target="../ctrlProps/ctrlProp75.xml"/><Relationship Id="rId7" Type="http://schemas.openxmlformats.org/officeDocument/2006/relationships/ctrlProp" Target="../ctrlProps/ctrlProp48.xml"/><Relationship Id="rId12" Type="http://schemas.openxmlformats.org/officeDocument/2006/relationships/ctrlProp" Target="../ctrlProps/ctrlProp53.xml"/><Relationship Id="rId17" Type="http://schemas.openxmlformats.org/officeDocument/2006/relationships/ctrlProp" Target="../ctrlProps/ctrlProp58.xml"/><Relationship Id="rId25" Type="http://schemas.openxmlformats.org/officeDocument/2006/relationships/ctrlProp" Target="../ctrlProps/ctrlProp66.xml"/><Relationship Id="rId33" Type="http://schemas.openxmlformats.org/officeDocument/2006/relationships/ctrlProp" Target="../ctrlProps/ctrlProp7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7.xml"/><Relationship Id="rId20" Type="http://schemas.openxmlformats.org/officeDocument/2006/relationships/ctrlProp" Target="../ctrlProps/ctrlProp61.xml"/><Relationship Id="rId29" Type="http://schemas.openxmlformats.org/officeDocument/2006/relationships/ctrlProp" Target="../ctrlProps/ctrlProp7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7.xml"/><Relationship Id="rId11" Type="http://schemas.openxmlformats.org/officeDocument/2006/relationships/ctrlProp" Target="../ctrlProps/ctrlProp52.xml"/><Relationship Id="rId24" Type="http://schemas.openxmlformats.org/officeDocument/2006/relationships/ctrlProp" Target="../ctrlProps/ctrlProp65.xml"/><Relationship Id="rId32" Type="http://schemas.openxmlformats.org/officeDocument/2006/relationships/ctrlProp" Target="../ctrlProps/ctrlProp73.xml"/><Relationship Id="rId37" Type="http://schemas.openxmlformats.org/officeDocument/2006/relationships/ctrlProp" Target="../ctrlProps/ctrlProp78.xml"/><Relationship Id="rId5" Type="http://schemas.openxmlformats.org/officeDocument/2006/relationships/ctrlProp" Target="../ctrlProps/ctrlProp46.xml"/><Relationship Id="rId15" Type="http://schemas.openxmlformats.org/officeDocument/2006/relationships/ctrlProp" Target="../ctrlProps/ctrlProp56.xml"/><Relationship Id="rId23" Type="http://schemas.openxmlformats.org/officeDocument/2006/relationships/ctrlProp" Target="../ctrlProps/ctrlProp64.xml"/><Relationship Id="rId28" Type="http://schemas.openxmlformats.org/officeDocument/2006/relationships/ctrlProp" Target="../ctrlProps/ctrlProp69.xml"/><Relationship Id="rId36" Type="http://schemas.openxmlformats.org/officeDocument/2006/relationships/ctrlProp" Target="../ctrlProps/ctrlProp77.xml"/><Relationship Id="rId10" Type="http://schemas.openxmlformats.org/officeDocument/2006/relationships/ctrlProp" Target="../ctrlProps/ctrlProp51.xml"/><Relationship Id="rId19" Type="http://schemas.openxmlformats.org/officeDocument/2006/relationships/ctrlProp" Target="../ctrlProps/ctrlProp60.xml"/><Relationship Id="rId31" Type="http://schemas.openxmlformats.org/officeDocument/2006/relationships/ctrlProp" Target="../ctrlProps/ctrlProp72.xml"/><Relationship Id="rId4" Type="http://schemas.openxmlformats.org/officeDocument/2006/relationships/ctrlProp" Target="../ctrlProps/ctrlProp45.xml"/><Relationship Id="rId9" Type="http://schemas.openxmlformats.org/officeDocument/2006/relationships/ctrlProp" Target="../ctrlProps/ctrlProp50.xml"/><Relationship Id="rId14" Type="http://schemas.openxmlformats.org/officeDocument/2006/relationships/ctrlProp" Target="../ctrlProps/ctrlProp55.xml"/><Relationship Id="rId22" Type="http://schemas.openxmlformats.org/officeDocument/2006/relationships/ctrlProp" Target="../ctrlProps/ctrlProp63.xml"/><Relationship Id="rId27" Type="http://schemas.openxmlformats.org/officeDocument/2006/relationships/ctrlProp" Target="../ctrlProps/ctrlProp68.xml"/><Relationship Id="rId30" Type="http://schemas.openxmlformats.org/officeDocument/2006/relationships/ctrlProp" Target="../ctrlProps/ctrlProp71.xml"/><Relationship Id="rId35" Type="http://schemas.openxmlformats.org/officeDocument/2006/relationships/ctrlProp" Target="../ctrlProps/ctrlProp76.xml"/><Relationship Id="rId8" Type="http://schemas.openxmlformats.org/officeDocument/2006/relationships/ctrlProp" Target="../ctrlProps/ctrlProp49.xml"/><Relationship Id="rId3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8.xml"/><Relationship Id="rId18" Type="http://schemas.openxmlformats.org/officeDocument/2006/relationships/ctrlProp" Target="../ctrlProps/ctrlProp93.xml"/><Relationship Id="rId26" Type="http://schemas.openxmlformats.org/officeDocument/2006/relationships/ctrlProp" Target="../ctrlProps/ctrlProp101.xml"/><Relationship Id="rId21" Type="http://schemas.openxmlformats.org/officeDocument/2006/relationships/ctrlProp" Target="../ctrlProps/ctrlProp96.xml"/><Relationship Id="rId34" Type="http://schemas.openxmlformats.org/officeDocument/2006/relationships/ctrlProp" Target="../ctrlProps/ctrlProp109.xml"/><Relationship Id="rId7" Type="http://schemas.openxmlformats.org/officeDocument/2006/relationships/ctrlProp" Target="../ctrlProps/ctrlProp82.xml"/><Relationship Id="rId12" Type="http://schemas.openxmlformats.org/officeDocument/2006/relationships/ctrlProp" Target="../ctrlProps/ctrlProp87.xml"/><Relationship Id="rId17" Type="http://schemas.openxmlformats.org/officeDocument/2006/relationships/ctrlProp" Target="../ctrlProps/ctrlProp92.xml"/><Relationship Id="rId25" Type="http://schemas.openxmlformats.org/officeDocument/2006/relationships/ctrlProp" Target="../ctrlProps/ctrlProp100.xml"/><Relationship Id="rId33" Type="http://schemas.openxmlformats.org/officeDocument/2006/relationships/ctrlProp" Target="../ctrlProps/ctrlProp108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91.xml"/><Relationship Id="rId20" Type="http://schemas.openxmlformats.org/officeDocument/2006/relationships/ctrlProp" Target="../ctrlProps/ctrlProp95.xml"/><Relationship Id="rId29" Type="http://schemas.openxmlformats.org/officeDocument/2006/relationships/ctrlProp" Target="../ctrlProps/ctrlProp10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81.xml"/><Relationship Id="rId11" Type="http://schemas.openxmlformats.org/officeDocument/2006/relationships/ctrlProp" Target="../ctrlProps/ctrlProp86.xml"/><Relationship Id="rId24" Type="http://schemas.openxmlformats.org/officeDocument/2006/relationships/ctrlProp" Target="../ctrlProps/ctrlProp99.xml"/><Relationship Id="rId32" Type="http://schemas.openxmlformats.org/officeDocument/2006/relationships/ctrlProp" Target="../ctrlProps/ctrlProp107.xml"/><Relationship Id="rId37" Type="http://schemas.openxmlformats.org/officeDocument/2006/relationships/ctrlProp" Target="../ctrlProps/ctrlProp112.xml"/><Relationship Id="rId5" Type="http://schemas.openxmlformats.org/officeDocument/2006/relationships/ctrlProp" Target="../ctrlProps/ctrlProp80.xml"/><Relationship Id="rId15" Type="http://schemas.openxmlformats.org/officeDocument/2006/relationships/ctrlProp" Target="../ctrlProps/ctrlProp90.xml"/><Relationship Id="rId23" Type="http://schemas.openxmlformats.org/officeDocument/2006/relationships/ctrlProp" Target="../ctrlProps/ctrlProp98.xml"/><Relationship Id="rId28" Type="http://schemas.openxmlformats.org/officeDocument/2006/relationships/ctrlProp" Target="../ctrlProps/ctrlProp103.xml"/><Relationship Id="rId36" Type="http://schemas.openxmlformats.org/officeDocument/2006/relationships/ctrlProp" Target="../ctrlProps/ctrlProp111.xml"/><Relationship Id="rId10" Type="http://schemas.openxmlformats.org/officeDocument/2006/relationships/ctrlProp" Target="../ctrlProps/ctrlProp85.xml"/><Relationship Id="rId19" Type="http://schemas.openxmlformats.org/officeDocument/2006/relationships/ctrlProp" Target="../ctrlProps/ctrlProp94.xml"/><Relationship Id="rId31" Type="http://schemas.openxmlformats.org/officeDocument/2006/relationships/ctrlProp" Target="../ctrlProps/ctrlProp106.xml"/><Relationship Id="rId4" Type="http://schemas.openxmlformats.org/officeDocument/2006/relationships/ctrlProp" Target="../ctrlProps/ctrlProp79.xml"/><Relationship Id="rId9" Type="http://schemas.openxmlformats.org/officeDocument/2006/relationships/ctrlProp" Target="../ctrlProps/ctrlProp84.xml"/><Relationship Id="rId14" Type="http://schemas.openxmlformats.org/officeDocument/2006/relationships/ctrlProp" Target="../ctrlProps/ctrlProp89.xml"/><Relationship Id="rId22" Type="http://schemas.openxmlformats.org/officeDocument/2006/relationships/ctrlProp" Target="../ctrlProps/ctrlProp97.xml"/><Relationship Id="rId27" Type="http://schemas.openxmlformats.org/officeDocument/2006/relationships/ctrlProp" Target="../ctrlProps/ctrlProp102.xml"/><Relationship Id="rId30" Type="http://schemas.openxmlformats.org/officeDocument/2006/relationships/ctrlProp" Target="../ctrlProps/ctrlProp105.xml"/><Relationship Id="rId35" Type="http://schemas.openxmlformats.org/officeDocument/2006/relationships/ctrlProp" Target="../ctrlProps/ctrlProp110.xml"/><Relationship Id="rId8" Type="http://schemas.openxmlformats.org/officeDocument/2006/relationships/ctrlProp" Target="../ctrlProps/ctrlProp83.xml"/><Relationship Id="rId3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2.xml"/><Relationship Id="rId18" Type="http://schemas.openxmlformats.org/officeDocument/2006/relationships/ctrlProp" Target="../ctrlProps/ctrlProp127.xml"/><Relationship Id="rId26" Type="http://schemas.openxmlformats.org/officeDocument/2006/relationships/ctrlProp" Target="../ctrlProps/ctrlProp135.xml"/><Relationship Id="rId21" Type="http://schemas.openxmlformats.org/officeDocument/2006/relationships/ctrlProp" Target="../ctrlProps/ctrlProp130.xml"/><Relationship Id="rId34" Type="http://schemas.openxmlformats.org/officeDocument/2006/relationships/ctrlProp" Target="../ctrlProps/ctrlProp143.xml"/><Relationship Id="rId7" Type="http://schemas.openxmlformats.org/officeDocument/2006/relationships/ctrlProp" Target="../ctrlProps/ctrlProp116.xml"/><Relationship Id="rId12" Type="http://schemas.openxmlformats.org/officeDocument/2006/relationships/ctrlProp" Target="../ctrlProps/ctrlProp121.xml"/><Relationship Id="rId17" Type="http://schemas.openxmlformats.org/officeDocument/2006/relationships/ctrlProp" Target="../ctrlProps/ctrlProp126.xml"/><Relationship Id="rId25" Type="http://schemas.openxmlformats.org/officeDocument/2006/relationships/ctrlProp" Target="../ctrlProps/ctrlProp134.xml"/><Relationship Id="rId33" Type="http://schemas.openxmlformats.org/officeDocument/2006/relationships/ctrlProp" Target="../ctrlProps/ctrlProp14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25.xml"/><Relationship Id="rId20" Type="http://schemas.openxmlformats.org/officeDocument/2006/relationships/ctrlProp" Target="../ctrlProps/ctrlProp129.xml"/><Relationship Id="rId29" Type="http://schemas.openxmlformats.org/officeDocument/2006/relationships/ctrlProp" Target="../ctrlProps/ctrlProp138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15.xml"/><Relationship Id="rId11" Type="http://schemas.openxmlformats.org/officeDocument/2006/relationships/ctrlProp" Target="../ctrlProps/ctrlProp120.xml"/><Relationship Id="rId24" Type="http://schemas.openxmlformats.org/officeDocument/2006/relationships/ctrlProp" Target="../ctrlProps/ctrlProp133.xml"/><Relationship Id="rId32" Type="http://schemas.openxmlformats.org/officeDocument/2006/relationships/ctrlProp" Target="../ctrlProps/ctrlProp141.xml"/><Relationship Id="rId37" Type="http://schemas.openxmlformats.org/officeDocument/2006/relationships/ctrlProp" Target="../ctrlProps/ctrlProp146.xml"/><Relationship Id="rId5" Type="http://schemas.openxmlformats.org/officeDocument/2006/relationships/ctrlProp" Target="../ctrlProps/ctrlProp114.xml"/><Relationship Id="rId15" Type="http://schemas.openxmlformats.org/officeDocument/2006/relationships/ctrlProp" Target="../ctrlProps/ctrlProp124.xml"/><Relationship Id="rId23" Type="http://schemas.openxmlformats.org/officeDocument/2006/relationships/ctrlProp" Target="../ctrlProps/ctrlProp132.xml"/><Relationship Id="rId28" Type="http://schemas.openxmlformats.org/officeDocument/2006/relationships/ctrlProp" Target="../ctrlProps/ctrlProp137.xml"/><Relationship Id="rId36" Type="http://schemas.openxmlformats.org/officeDocument/2006/relationships/ctrlProp" Target="../ctrlProps/ctrlProp145.xml"/><Relationship Id="rId10" Type="http://schemas.openxmlformats.org/officeDocument/2006/relationships/ctrlProp" Target="../ctrlProps/ctrlProp119.xml"/><Relationship Id="rId19" Type="http://schemas.openxmlformats.org/officeDocument/2006/relationships/ctrlProp" Target="../ctrlProps/ctrlProp128.xml"/><Relationship Id="rId31" Type="http://schemas.openxmlformats.org/officeDocument/2006/relationships/ctrlProp" Target="../ctrlProps/ctrlProp140.xml"/><Relationship Id="rId4" Type="http://schemas.openxmlformats.org/officeDocument/2006/relationships/ctrlProp" Target="../ctrlProps/ctrlProp113.xml"/><Relationship Id="rId9" Type="http://schemas.openxmlformats.org/officeDocument/2006/relationships/ctrlProp" Target="../ctrlProps/ctrlProp118.xml"/><Relationship Id="rId14" Type="http://schemas.openxmlformats.org/officeDocument/2006/relationships/ctrlProp" Target="../ctrlProps/ctrlProp123.xml"/><Relationship Id="rId22" Type="http://schemas.openxmlformats.org/officeDocument/2006/relationships/ctrlProp" Target="../ctrlProps/ctrlProp131.xml"/><Relationship Id="rId27" Type="http://schemas.openxmlformats.org/officeDocument/2006/relationships/ctrlProp" Target="../ctrlProps/ctrlProp136.xml"/><Relationship Id="rId30" Type="http://schemas.openxmlformats.org/officeDocument/2006/relationships/ctrlProp" Target="../ctrlProps/ctrlProp139.xml"/><Relationship Id="rId35" Type="http://schemas.openxmlformats.org/officeDocument/2006/relationships/ctrlProp" Target="../ctrlProps/ctrlProp144.xml"/><Relationship Id="rId8" Type="http://schemas.openxmlformats.org/officeDocument/2006/relationships/ctrlProp" Target="../ctrlProps/ctrlProp117.xml"/><Relationship Id="rId3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6.xml"/><Relationship Id="rId18" Type="http://schemas.openxmlformats.org/officeDocument/2006/relationships/ctrlProp" Target="../ctrlProps/ctrlProp161.xml"/><Relationship Id="rId26" Type="http://schemas.openxmlformats.org/officeDocument/2006/relationships/ctrlProp" Target="../ctrlProps/ctrlProp169.xml"/><Relationship Id="rId21" Type="http://schemas.openxmlformats.org/officeDocument/2006/relationships/ctrlProp" Target="../ctrlProps/ctrlProp164.xml"/><Relationship Id="rId34" Type="http://schemas.openxmlformats.org/officeDocument/2006/relationships/ctrlProp" Target="../ctrlProps/ctrlProp177.xml"/><Relationship Id="rId7" Type="http://schemas.openxmlformats.org/officeDocument/2006/relationships/ctrlProp" Target="../ctrlProps/ctrlProp150.xml"/><Relationship Id="rId12" Type="http://schemas.openxmlformats.org/officeDocument/2006/relationships/ctrlProp" Target="../ctrlProps/ctrlProp155.xml"/><Relationship Id="rId17" Type="http://schemas.openxmlformats.org/officeDocument/2006/relationships/ctrlProp" Target="../ctrlProps/ctrlProp160.xml"/><Relationship Id="rId25" Type="http://schemas.openxmlformats.org/officeDocument/2006/relationships/ctrlProp" Target="../ctrlProps/ctrlProp168.xml"/><Relationship Id="rId33" Type="http://schemas.openxmlformats.org/officeDocument/2006/relationships/ctrlProp" Target="../ctrlProps/ctrlProp176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59.xml"/><Relationship Id="rId20" Type="http://schemas.openxmlformats.org/officeDocument/2006/relationships/ctrlProp" Target="../ctrlProps/ctrlProp163.xml"/><Relationship Id="rId29" Type="http://schemas.openxmlformats.org/officeDocument/2006/relationships/ctrlProp" Target="../ctrlProps/ctrlProp172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49.xml"/><Relationship Id="rId11" Type="http://schemas.openxmlformats.org/officeDocument/2006/relationships/ctrlProp" Target="../ctrlProps/ctrlProp154.xml"/><Relationship Id="rId24" Type="http://schemas.openxmlformats.org/officeDocument/2006/relationships/ctrlProp" Target="../ctrlProps/ctrlProp167.xml"/><Relationship Id="rId32" Type="http://schemas.openxmlformats.org/officeDocument/2006/relationships/ctrlProp" Target="../ctrlProps/ctrlProp175.xml"/><Relationship Id="rId37" Type="http://schemas.openxmlformats.org/officeDocument/2006/relationships/ctrlProp" Target="../ctrlProps/ctrlProp180.xml"/><Relationship Id="rId5" Type="http://schemas.openxmlformats.org/officeDocument/2006/relationships/ctrlProp" Target="../ctrlProps/ctrlProp148.xml"/><Relationship Id="rId15" Type="http://schemas.openxmlformats.org/officeDocument/2006/relationships/ctrlProp" Target="../ctrlProps/ctrlProp158.xml"/><Relationship Id="rId23" Type="http://schemas.openxmlformats.org/officeDocument/2006/relationships/ctrlProp" Target="../ctrlProps/ctrlProp166.xml"/><Relationship Id="rId28" Type="http://schemas.openxmlformats.org/officeDocument/2006/relationships/ctrlProp" Target="../ctrlProps/ctrlProp171.xml"/><Relationship Id="rId36" Type="http://schemas.openxmlformats.org/officeDocument/2006/relationships/ctrlProp" Target="../ctrlProps/ctrlProp179.xml"/><Relationship Id="rId10" Type="http://schemas.openxmlformats.org/officeDocument/2006/relationships/ctrlProp" Target="../ctrlProps/ctrlProp153.xml"/><Relationship Id="rId19" Type="http://schemas.openxmlformats.org/officeDocument/2006/relationships/ctrlProp" Target="../ctrlProps/ctrlProp162.xml"/><Relationship Id="rId31" Type="http://schemas.openxmlformats.org/officeDocument/2006/relationships/ctrlProp" Target="../ctrlProps/ctrlProp174.xml"/><Relationship Id="rId4" Type="http://schemas.openxmlformats.org/officeDocument/2006/relationships/ctrlProp" Target="../ctrlProps/ctrlProp147.xml"/><Relationship Id="rId9" Type="http://schemas.openxmlformats.org/officeDocument/2006/relationships/ctrlProp" Target="../ctrlProps/ctrlProp152.xml"/><Relationship Id="rId14" Type="http://schemas.openxmlformats.org/officeDocument/2006/relationships/ctrlProp" Target="../ctrlProps/ctrlProp157.xml"/><Relationship Id="rId22" Type="http://schemas.openxmlformats.org/officeDocument/2006/relationships/ctrlProp" Target="../ctrlProps/ctrlProp165.xml"/><Relationship Id="rId27" Type="http://schemas.openxmlformats.org/officeDocument/2006/relationships/ctrlProp" Target="../ctrlProps/ctrlProp170.xml"/><Relationship Id="rId30" Type="http://schemas.openxmlformats.org/officeDocument/2006/relationships/ctrlProp" Target="../ctrlProps/ctrlProp173.xml"/><Relationship Id="rId35" Type="http://schemas.openxmlformats.org/officeDocument/2006/relationships/ctrlProp" Target="../ctrlProps/ctrlProp178.xml"/><Relationship Id="rId8" Type="http://schemas.openxmlformats.org/officeDocument/2006/relationships/ctrlProp" Target="../ctrlProps/ctrlProp151.xml"/><Relationship Id="rId3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comptroller.defense.gov/Budget-Material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8"/>
  <sheetViews>
    <sheetView showGridLines="0" showRowColHeaders="0" tabSelected="1" workbookViewId="0">
      <selection activeCell="B2" sqref="B2"/>
    </sheetView>
  </sheetViews>
  <sheetFormatPr defaultRowHeight="14.4" x14ac:dyDescent="0.3"/>
  <cols>
    <col min="1" max="1" width="8.5546875" customWidth="1"/>
  </cols>
  <sheetData>
    <row r="1" spans="2:12" x14ac:dyDescent="0.3">
      <c r="B1" s="555" t="s">
        <v>1080</v>
      </c>
      <c r="C1" s="555"/>
      <c r="D1" s="555"/>
      <c r="E1" s="555"/>
      <c r="F1" s="555"/>
      <c r="G1" s="555"/>
      <c r="H1" s="555"/>
      <c r="I1" s="555"/>
      <c r="J1" s="555"/>
      <c r="K1" s="555"/>
      <c r="L1" s="555"/>
    </row>
    <row r="2" spans="2:12" x14ac:dyDescent="0.3"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</row>
    <row r="3" spans="2:12" ht="15" thickBot="1" x14ac:dyDescent="0.35">
      <c r="B3" s="555"/>
      <c r="C3" s="555"/>
      <c r="D3" s="555"/>
      <c r="E3" s="555"/>
      <c r="F3" s="555"/>
      <c r="G3" s="555"/>
      <c r="H3" s="555"/>
      <c r="I3" s="555"/>
      <c r="J3" s="555"/>
      <c r="K3" s="555"/>
      <c r="L3" s="555"/>
    </row>
    <row r="4" spans="2:12" x14ac:dyDescent="0.3">
      <c r="B4" s="555"/>
      <c r="C4" s="556"/>
      <c r="D4" s="557"/>
      <c r="E4" s="557"/>
      <c r="F4" s="557"/>
      <c r="G4" s="557"/>
      <c r="H4" s="557"/>
      <c r="I4" s="557"/>
      <c r="J4" s="557"/>
      <c r="K4" s="558"/>
      <c r="L4" s="555"/>
    </row>
    <row r="5" spans="2:12" x14ac:dyDescent="0.3">
      <c r="B5" s="555"/>
      <c r="C5" s="559" t="s">
        <v>1050</v>
      </c>
      <c r="D5" s="560"/>
      <c r="E5" s="560"/>
      <c r="F5" s="560"/>
      <c r="G5" s="560"/>
      <c r="H5" s="560"/>
      <c r="I5" s="560"/>
      <c r="J5" s="560"/>
      <c r="K5" s="561"/>
      <c r="L5" s="555"/>
    </row>
    <row r="6" spans="2:12" x14ac:dyDescent="0.3">
      <c r="B6" s="555"/>
      <c r="C6" s="559"/>
      <c r="D6" s="560"/>
      <c r="E6" s="560"/>
      <c r="F6" s="560"/>
      <c r="G6" s="560"/>
      <c r="H6" s="560"/>
      <c r="I6" s="560"/>
      <c r="J6" s="560"/>
      <c r="K6" s="561"/>
      <c r="L6" s="555"/>
    </row>
    <row r="7" spans="2:12" x14ac:dyDescent="0.3">
      <c r="B7" s="555"/>
      <c r="C7" s="559" t="s">
        <v>1051</v>
      </c>
      <c r="D7" s="560"/>
      <c r="E7" s="560"/>
      <c r="F7" s="560"/>
      <c r="G7" s="560"/>
      <c r="H7" s="560"/>
      <c r="I7" s="560"/>
      <c r="J7" s="560"/>
      <c r="K7" s="561"/>
      <c r="L7" s="555"/>
    </row>
    <row r="8" spans="2:12" x14ac:dyDescent="0.3">
      <c r="B8" s="555"/>
      <c r="C8" s="559"/>
      <c r="D8" s="560"/>
      <c r="E8" s="560"/>
      <c r="F8" s="560"/>
      <c r="G8" s="560"/>
      <c r="H8" s="560"/>
      <c r="I8" s="560"/>
      <c r="J8" s="560"/>
      <c r="K8" s="561"/>
      <c r="L8" s="555"/>
    </row>
    <row r="9" spans="2:12" x14ac:dyDescent="0.3">
      <c r="B9" s="555"/>
      <c r="C9" s="559" t="s">
        <v>296</v>
      </c>
      <c r="D9" s="560"/>
      <c r="E9" s="560"/>
      <c r="F9" s="560"/>
      <c r="G9" s="560"/>
      <c r="H9" s="560"/>
      <c r="I9" s="560"/>
      <c r="J9" s="560"/>
      <c r="K9" s="561"/>
      <c r="L9" s="555"/>
    </row>
    <row r="10" spans="2:12" x14ac:dyDescent="0.3">
      <c r="B10" s="555"/>
      <c r="C10" s="559"/>
      <c r="D10" s="560"/>
      <c r="E10" s="560"/>
      <c r="F10" s="560"/>
      <c r="G10" s="560"/>
      <c r="H10" s="560"/>
      <c r="I10" s="560"/>
      <c r="J10" s="560"/>
      <c r="K10" s="561"/>
      <c r="L10" s="555"/>
    </row>
    <row r="11" spans="2:12" x14ac:dyDescent="0.3">
      <c r="B11" s="555"/>
      <c r="C11" s="559" t="s">
        <v>1052</v>
      </c>
      <c r="D11" s="560"/>
      <c r="E11" s="560"/>
      <c r="F11" s="560"/>
      <c r="G11" s="560"/>
      <c r="H11" s="560"/>
      <c r="I11" s="560"/>
      <c r="J11" s="560"/>
      <c r="K11" s="561"/>
      <c r="L11" s="555"/>
    </row>
    <row r="12" spans="2:12" x14ac:dyDescent="0.3">
      <c r="B12" s="555"/>
      <c r="C12" s="559"/>
      <c r="D12" s="560"/>
      <c r="E12" s="560"/>
      <c r="F12" s="560"/>
      <c r="G12" s="560"/>
      <c r="H12" s="560"/>
      <c r="I12" s="560"/>
      <c r="J12" s="560"/>
      <c r="K12" s="561"/>
      <c r="L12" s="555"/>
    </row>
    <row r="13" spans="2:12" x14ac:dyDescent="0.3">
      <c r="B13" s="555"/>
      <c r="C13" s="559" t="s">
        <v>449</v>
      </c>
      <c r="D13" s="560"/>
      <c r="E13" s="560"/>
      <c r="F13" s="560"/>
      <c r="G13" s="560"/>
      <c r="H13" s="560"/>
      <c r="I13" s="560"/>
      <c r="J13" s="560"/>
      <c r="K13" s="561"/>
      <c r="L13" s="555"/>
    </row>
    <row r="14" spans="2:12" x14ac:dyDescent="0.3">
      <c r="B14" s="555"/>
      <c r="C14" s="559"/>
      <c r="D14" s="560"/>
      <c r="E14" s="560"/>
      <c r="F14" s="560"/>
      <c r="G14" s="560"/>
      <c r="H14" s="560"/>
      <c r="I14" s="560"/>
      <c r="J14" s="560"/>
      <c r="K14" s="561"/>
      <c r="L14" s="555"/>
    </row>
    <row r="15" spans="2:12" x14ac:dyDescent="0.3">
      <c r="B15" s="555"/>
      <c r="C15" s="559" t="s">
        <v>1053</v>
      </c>
      <c r="D15" s="560"/>
      <c r="E15" s="560"/>
      <c r="F15" s="560"/>
      <c r="G15" s="560"/>
      <c r="H15" s="560"/>
      <c r="I15" s="560"/>
      <c r="J15" s="560"/>
      <c r="K15" s="561"/>
      <c r="L15" s="555"/>
    </row>
    <row r="16" spans="2:12" ht="15" thickBot="1" x14ac:dyDescent="0.35">
      <c r="B16" s="555"/>
      <c r="C16" s="562"/>
      <c r="D16" s="563"/>
      <c r="E16" s="563"/>
      <c r="F16" s="563"/>
      <c r="G16" s="563"/>
      <c r="H16" s="563"/>
      <c r="I16" s="563"/>
      <c r="J16" s="563"/>
      <c r="K16" s="564"/>
      <c r="L16" s="555"/>
    </row>
    <row r="17" spans="2:12" x14ac:dyDescent="0.3">
      <c r="B17" s="555"/>
      <c r="C17" s="565"/>
      <c r="D17" s="566"/>
      <c r="E17" s="566"/>
      <c r="F17" s="566"/>
      <c r="G17" s="566"/>
      <c r="H17" s="566"/>
      <c r="I17" s="566"/>
      <c r="J17" s="566"/>
      <c r="K17" s="567"/>
      <c r="L17" s="555"/>
    </row>
    <row r="18" spans="2:12" x14ac:dyDescent="0.3">
      <c r="B18" s="555"/>
      <c r="C18" s="568" t="s">
        <v>1063</v>
      </c>
      <c r="D18" s="569"/>
      <c r="E18" s="569"/>
      <c r="F18" s="569"/>
      <c r="G18" s="569"/>
      <c r="H18" s="569"/>
      <c r="I18" s="569"/>
      <c r="J18" s="569"/>
      <c r="K18" s="570"/>
      <c r="L18" s="555"/>
    </row>
    <row r="19" spans="2:12" ht="15" thickBot="1" x14ac:dyDescent="0.35">
      <c r="B19" s="555"/>
      <c r="C19" s="571"/>
      <c r="D19" s="572"/>
      <c r="E19" s="572"/>
      <c r="F19" s="572"/>
      <c r="G19" s="572"/>
      <c r="H19" s="572"/>
      <c r="I19" s="572"/>
      <c r="J19" s="572"/>
      <c r="K19" s="573"/>
      <c r="L19" s="555"/>
    </row>
    <row r="20" spans="2:12" x14ac:dyDescent="0.3">
      <c r="B20" s="555"/>
      <c r="C20" s="556"/>
      <c r="D20" s="557"/>
      <c r="E20" s="557"/>
      <c r="F20" s="557"/>
      <c r="G20" s="557"/>
      <c r="H20" s="557"/>
      <c r="I20" s="557"/>
      <c r="J20" s="557"/>
      <c r="K20" s="558"/>
      <c r="L20" s="555"/>
    </row>
    <row r="21" spans="2:12" x14ac:dyDescent="0.3">
      <c r="B21" s="555"/>
      <c r="C21" s="559" t="s">
        <v>1065</v>
      </c>
      <c r="D21" s="560"/>
      <c r="E21" s="560"/>
      <c r="F21" s="560"/>
      <c r="G21" s="560"/>
      <c r="H21" s="560"/>
      <c r="I21" s="560"/>
      <c r="J21" s="560"/>
      <c r="K21" s="561"/>
      <c r="L21" s="555"/>
    </row>
    <row r="22" spans="2:12" x14ac:dyDescent="0.3">
      <c r="B22" s="555"/>
      <c r="C22" s="559"/>
      <c r="D22" s="560"/>
      <c r="E22" s="560"/>
      <c r="F22" s="560"/>
      <c r="G22" s="560"/>
      <c r="H22" s="560"/>
      <c r="I22" s="560"/>
      <c r="J22" s="560"/>
      <c r="K22" s="561"/>
      <c r="L22" s="555"/>
    </row>
    <row r="23" spans="2:12" x14ac:dyDescent="0.3">
      <c r="B23" s="555"/>
      <c r="C23" s="559" t="s">
        <v>1064</v>
      </c>
      <c r="D23" s="560"/>
      <c r="E23" s="560"/>
      <c r="F23" s="560"/>
      <c r="G23" s="560"/>
      <c r="H23" s="560"/>
      <c r="I23" s="560"/>
      <c r="J23" s="560"/>
      <c r="K23" s="561"/>
      <c r="L23" s="555"/>
    </row>
    <row r="24" spans="2:12" x14ac:dyDescent="0.3">
      <c r="B24" s="555"/>
      <c r="C24" s="559"/>
      <c r="D24" s="560"/>
      <c r="E24" s="560"/>
      <c r="F24" s="560"/>
      <c r="G24" s="560"/>
      <c r="H24" s="560"/>
      <c r="I24" s="560"/>
      <c r="J24" s="560"/>
      <c r="K24" s="561"/>
      <c r="L24" s="555"/>
    </row>
    <row r="25" spans="2:12" x14ac:dyDescent="0.3">
      <c r="B25" s="555"/>
      <c r="C25" s="559"/>
      <c r="D25" s="560" t="s">
        <v>1054</v>
      </c>
      <c r="E25" s="560"/>
      <c r="F25" s="560"/>
      <c r="G25" s="560"/>
      <c r="H25" s="560"/>
      <c r="I25" s="560"/>
      <c r="J25" s="560"/>
      <c r="K25" s="561"/>
      <c r="L25" s="555"/>
    </row>
    <row r="26" spans="2:12" x14ac:dyDescent="0.3">
      <c r="B26" s="555"/>
      <c r="C26" s="559"/>
      <c r="D26" s="560"/>
      <c r="E26" s="560"/>
      <c r="F26" s="560"/>
      <c r="G26" s="560"/>
      <c r="H26" s="560"/>
      <c r="I26" s="560"/>
      <c r="J26" s="560"/>
      <c r="K26" s="561"/>
      <c r="L26" s="555"/>
    </row>
    <row r="27" spans="2:12" x14ac:dyDescent="0.3">
      <c r="B27" s="555"/>
      <c r="C27" s="559"/>
      <c r="D27" s="560" t="s">
        <v>1058</v>
      </c>
      <c r="E27" s="560"/>
      <c r="F27" s="560"/>
      <c r="G27" s="560"/>
      <c r="H27" s="560"/>
      <c r="I27" s="560"/>
      <c r="J27" s="560"/>
      <c r="K27" s="561"/>
      <c r="L27" s="555"/>
    </row>
    <row r="28" spans="2:12" ht="15" thickBot="1" x14ac:dyDescent="0.35">
      <c r="B28" s="555"/>
      <c r="C28" s="562"/>
      <c r="D28" s="563"/>
      <c r="E28" s="563"/>
      <c r="F28" s="563"/>
      <c r="G28" s="563"/>
      <c r="H28" s="563"/>
      <c r="I28" s="563"/>
      <c r="J28" s="563"/>
      <c r="K28" s="564"/>
      <c r="L28" s="555"/>
    </row>
    <row r="29" spans="2:12" x14ac:dyDescent="0.3">
      <c r="B29" s="555"/>
      <c r="C29" s="565"/>
      <c r="D29" s="566"/>
      <c r="E29" s="566"/>
      <c r="F29" s="566"/>
      <c r="G29" s="566"/>
      <c r="H29" s="566"/>
      <c r="I29" s="566"/>
      <c r="J29" s="566"/>
      <c r="K29" s="567"/>
      <c r="L29" s="555"/>
    </row>
    <row r="30" spans="2:12" x14ac:dyDescent="0.3">
      <c r="B30" s="555"/>
      <c r="C30" s="568" t="s">
        <v>1066</v>
      </c>
      <c r="D30" s="569"/>
      <c r="E30" s="569"/>
      <c r="F30" s="569"/>
      <c r="G30" s="569"/>
      <c r="H30" s="569"/>
      <c r="I30" s="569"/>
      <c r="J30" s="569"/>
      <c r="K30" s="570"/>
      <c r="L30" s="555"/>
    </row>
    <row r="31" spans="2:12" x14ac:dyDescent="0.3">
      <c r="B31" s="555"/>
      <c r="C31" s="568"/>
      <c r="D31" s="569"/>
      <c r="E31" s="569"/>
      <c r="F31" s="569"/>
      <c r="G31" s="569"/>
      <c r="H31" s="569"/>
      <c r="I31" s="569"/>
      <c r="J31" s="569"/>
      <c r="K31" s="570"/>
      <c r="L31" s="555"/>
    </row>
    <row r="32" spans="2:12" x14ac:dyDescent="0.3">
      <c r="B32" s="555"/>
      <c r="C32" s="568" t="s">
        <v>1064</v>
      </c>
      <c r="D32" s="569"/>
      <c r="E32" s="569"/>
      <c r="F32" s="569"/>
      <c r="G32" s="569"/>
      <c r="H32" s="569"/>
      <c r="I32" s="569"/>
      <c r="J32" s="569"/>
      <c r="K32" s="570"/>
      <c r="L32" s="555"/>
    </row>
    <row r="33" spans="2:12" x14ac:dyDescent="0.3">
      <c r="B33" s="555"/>
      <c r="C33" s="568"/>
      <c r="D33" s="569"/>
      <c r="E33" s="569"/>
      <c r="F33" s="569"/>
      <c r="G33" s="569"/>
      <c r="H33" s="569"/>
      <c r="I33" s="569"/>
      <c r="J33" s="569"/>
      <c r="K33" s="570"/>
      <c r="L33" s="555"/>
    </row>
    <row r="34" spans="2:12" x14ac:dyDescent="0.3">
      <c r="B34" s="555"/>
      <c r="C34" s="568"/>
      <c r="D34" s="569" t="s">
        <v>1055</v>
      </c>
      <c r="E34" s="569"/>
      <c r="F34" s="569"/>
      <c r="G34" s="569"/>
      <c r="H34" s="569"/>
      <c r="I34" s="569"/>
      <c r="J34" s="569"/>
      <c r="K34" s="570"/>
      <c r="L34" s="555"/>
    </row>
    <row r="35" spans="2:12" x14ac:dyDescent="0.3">
      <c r="B35" s="555"/>
      <c r="C35" s="568"/>
      <c r="D35" s="569"/>
      <c r="E35" s="569"/>
      <c r="F35" s="569"/>
      <c r="G35" s="569"/>
      <c r="H35" s="569"/>
      <c r="I35" s="569"/>
      <c r="J35" s="569"/>
      <c r="K35" s="570"/>
      <c r="L35" s="555"/>
    </row>
    <row r="36" spans="2:12" x14ac:dyDescent="0.3">
      <c r="B36" s="555"/>
      <c r="C36" s="568"/>
      <c r="D36" s="569" t="s">
        <v>1059</v>
      </c>
      <c r="E36" s="569"/>
      <c r="F36" s="569"/>
      <c r="G36" s="569"/>
      <c r="H36" s="569"/>
      <c r="I36" s="569"/>
      <c r="J36" s="569"/>
      <c r="K36" s="570"/>
      <c r="L36" s="555"/>
    </row>
    <row r="37" spans="2:12" ht="15" thickBot="1" x14ac:dyDescent="0.35">
      <c r="B37" s="555"/>
      <c r="C37" s="571"/>
      <c r="D37" s="572"/>
      <c r="E37" s="572"/>
      <c r="F37" s="572"/>
      <c r="G37" s="572"/>
      <c r="H37" s="572"/>
      <c r="I37" s="572"/>
      <c r="J37" s="572"/>
      <c r="K37" s="573"/>
      <c r="L37" s="555"/>
    </row>
    <row r="38" spans="2:12" x14ac:dyDescent="0.3">
      <c r="B38" s="555"/>
      <c r="C38" s="556"/>
      <c r="D38" s="557"/>
      <c r="E38" s="557"/>
      <c r="F38" s="557"/>
      <c r="G38" s="557"/>
      <c r="H38" s="557"/>
      <c r="I38" s="557"/>
      <c r="J38" s="557"/>
      <c r="K38" s="558"/>
      <c r="L38" s="555"/>
    </row>
    <row r="39" spans="2:12" x14ac:dyDescent="0.3">
      <c r="B39" s="555"/>
      <c r="C39" s="559" t="s">
        <v>1067</v>
      </c>
      <c r="D39" s="560"/>
      <c r="E39" s="560"/>
      <c r="F39" s="560"/>
      <c r="G39" s="560"/>
      <c r="H39" s="560"/>
      <c r="I39" s="560"/>
      <c r="J39" s="560"/>
      <c r="K39" s="561"/>
      <c r="L39" s="555"/>
    </row>
    <row r="40" spans="2:12" x14ac:dyDescent="0.3">
      <c r="B40" s="555"/>
      <c r="C40" s="559"/>
      <c r="D40" s="560"/>
      <c r="E40" s="560"/>
      <c r="F40" s="560"/>
      <c r="G40" s="560"/>
      <c r="H40" s="560"/>
      <c r="I40" s="560"/>
      <c r="J40" s="560"/>
      <c r="K40" s="561"/>
      <c r="L40" s="555"/>
    </row>
    <row r="41" spans="2:12" x14ac:dyDescent="0.3">
      <c r="B41" s="555"/>
      <c r="C41" s="559" t="s">
        <v>1064</v>
      </c>
      <c r="D41" s="560"/>
      <c r="E41" s="560"/>
      <c r="F41" s="560"/>
      <c r="G41" s="560"/>
      <c r="H41" s="560"/>
      <c r="I41" s="560"/>
      <c r="J41" s="560"/>
      <c r="K41" s="561"/>
      <c r="L41" s="555"/>
    </row>
    <row r="42" spans="2:12" x14ac:dyDescent="0.3">
      <c r="B42" s="555"/>
      <c r="C42" s="559"/>
      <c r="D42" s="560"/>
      <c r="E42" s="560"/>
      <c r="F42" s="560"/>
      <c r="G42" s="560"/>
      <c r="H42" s="560"/>
      <c r="I42" s="560"/>
      <c r="J42" s="560"/>
      <c r="K42" s="561"/>
      <c r="L42" s="555"/>
    </row>
    <row r="43" spans="2:12" x14ac:dyDescent="0.3">
      <c r="B43" s="555"/>
      <c r="C43" s="559"/>
      <c r="D43" s="560" t="s">
        <v>1056</v>
      </c>
      <c r="E43" s="560"/>
      <c r="F43" s="560"/>
      <c r="G43" s="560"/>
      <c r="H43" s="560"/>
      <c r="I43" s="560"/>
      <c r="J43" s="560"/>
      <c r="K43" s="561"/>
      <c r="L43" s="555"/>
    </row>
    <row r="44" spans="2:12" x14ac:dyDescent="0.3">
      <c r="B44" s="555"/>
      <c r="C44" s="559"/>
      <c r="D44" s="560"/>
      <c r="E44" s="560"/>
      <c r="F44" s="560"/>
      <c r="G44" s="560"/>
      <c r="H44" s="560"/>
      <c r="I44" s="560"/>
      <c r="J44" s="560"/>
      <c r="K44" s="561"/>
      <c r="L44" s="555"/>
    </row>
    <row r="45" spans="2:12" x14ac:dyDescent="0.3">
      <c r="B45" s="555"/>
      <c r="C45" s="559"/>
      <c r="D45" s="560" t="s">
        <v>1060</v>
      </c>
      <c r="E45" s="560"/>
      <c r="F45" s="560"/>
      <c r="G45" s="560"/>
      <c r="H45" s="560"/>
      <c r="I45" s="560"/>
      <c r="J45" s="560"/>
      <c r="K45" s="561"/>
      <c r="L45" s="555"/>
    </row>
    <row r="46" spans="2:12" ht="15" thickBot="1" x14ac:dyDescent="0.35">
      <c r="B46" s="555"/>
      <c r="C46" s="562"/>
      <c r="D46" s="563"/>
      <c r="E46" s="563"/>
      <c r="F46" s="563"/>
      <c r="G46" s="563"/>
      <c r="H46" s="563"/>
      <c r="I46" s="563"/>
      <c r="J46" s="563"/>
      <c r="K46" s="564"/>
      <c r="L46" s="555"/>
    </row>
    <row r="47" spans="2:12" x14ac:dyDescent="0.3">
      <c r="B47" s="555"/>
      <c r="C47" s="565"/>
      <c r="D47" s="566"/>
      <c r="E47" s="566"/>
      <c r="F47" s="566"/>
      <c r="G47" s="566"/>
      <c r="H47" s="566"/>
      <c r="I47" s="566"/>
      <c r="J47" s="566"/>
      <c r="K47" s="567"/>
      <c r="L47" s="555"/>
    </row>
    <row r="48" spans="2:12" x14ac:dyDescent="0.3">
      <c r="B48" s="555"/>
      <c r="C48" s="568" t="s">
        <v>1068</v>
      </c>
      <c r="D48" s="569"/>
      <c r="E48" s="569"/>
      <c r="F48" s="569"/>
      <c r="G48" s="569"/>
      <c r="H48" s="569"/>
      <c r="I48" s="569"/>
      <c r="J48" s="569"/>
      <c r="K48" s="570"/>
      <c r="L48" s="555"/>
    </row>
    <row r="49" spans="2:12" x14ac:dyDescent="0.3">
      <c r="B49" s="555"/>
      <c r="C49" s="568"/>
      <c r="D49" s="569"/>
      <c r="E49" s="569"/>
      <c r="F49" s="569"/>
      <c r="G49" s="569"/>
      <c r="H49" s="569"/>
      <c r="I49" s="569"/>
      <c r="J49" s="569"/>
      <c r="K49" s="570"/>
      <c r="L49" s="555"/>
    </row>
    <row r="50" spans="2:12" x14ac:dyDescent="0.3">
      <c r="B50" s="555"/>
      <c r="C50" s="568"/>
      <c r="D50" s="569" t="s">
        <v>1064</v>
      </c>
      <c r="E50" s="569"/>
      <c r="F50" s="569"/>
      <c r="G50" s="569"/>
      <c r="H50" s="569"/>
      <c r="I50" s="569"/>
      <c r="J50" s="569"/>
      <c r="K50" s="570"/>
      <c r="L50" s="555"/>
    </row>
    <row r="51" spans="2:12" x14ac:dyDescent="0.3">
      <c r="B51" s="555"/>
      <c r="C51" s="568"/>
      <c r="D51" s="569"/>
      <c r="E51" s="569"/>
      <c r="F51" s="569"/>
      <c r="G51" s="569"/>
      <c r="H51" s="569"/>
      <c r="I51" s="569"/>
      <c r="J51" s="569"/>
      <c r="K51" s="570"/>
      <c r="L51" s="555"/>
    </row>
    <row r="52" spans="2:12" x14ac:dyDescent="0.3">
      <c r="B52" s="555"/>
      <c r="C52" s="568"/>
      <c r="D52" s="569" t="s">
        <v>1057</v>
      </c>
      <c r="E52" s="569"/>
      <c r="F52" s="569"/>
      <c r="G52" s="569"/>
      <c r="H52" s="569"/>
      <c r="I52" s="569"/>
      <c r="J52" s="569"/>
      <c r="K52" s="570"/>
      <c r="L52" s="555"/>
    </row>
    <row r="53" spans="2:12" x14ac:dyDescent="0.3">
      <c r="B53" s="555"/>
      <c r="C53" s="568"/>
      <c r="D53" s="569"/>
      <c r="E53" s="569"/>
      <c r="F53" s="569"/>
      <c r="G53" s="569"/>
      <c r="H53" s="569"/>
      <c r="I53" s="569"/>
      <c r="J53" s="569"/>
      <c r="K53" s="570"/>
      <c r="L53" s="555"/>
    </row>
    <row r="54" spans="2:12" x14ac:dyDescent="0.3">
      <c r="B54" s="555"/>
      <c r="C54" s="568"/>
      <c r="D54" s="569" t="s">
        <v>1061</v>
      </c>
      <c r="E54" s="569"/>
      <c r="F54" s="569"/>
      <c r="G54" s="569"/>
      <c r="H54" s="569"/>
      <c r="I54" s="569"/>
      <c r="J54" s="569"/>
      <c r="K54" s="570"/>
      <c r="L54" s="555"/>
    </row>
    <row r="55" spans="2:12" ht="15" thickBot="1" x14ac:dyDescent="0.35">
      <c r="B55" s="555"/>
      <c r="C55" s="571"/>
      <c r="D55" s="572"/>
      <c r="E55" s="572"/>
      <c r="F55" s="572"/>
      <c r="G55" s="572"/>
      <c r="H55" s="572"/>
      <c r="I55" s="572"/>
      <c r="J55" s="572"/>
      <c r="K55" s="573"/>
      <c r="L55" s="555"/>
    </row>
    <row r="56" spans="2:12" x14ac:dyDescent="0.3">
      <c r="B56" s="555"/>
      <c r="C56" s="555"/>
      <c r="D56" s="555"/>
      <c r="E56" s="555"/>
      <c r="F56" s="555"/>
      <c r="G56" s="555"/>
      <c r="H56" s="555"/>
      <c r="I56" s="555"/>
      <c r="J56" s="555"/>
      <c r="K56" s="555"/>
      <c r="L56" s="555"/>
    </row>
    <row r="57" spans="2:12" x14ac:dyDescent="0.3">
      <c r="B57" s="555"/>
      <c r="C57" s="555"/>
      <c r="D57" s="555"/>
      <c r="E57" s="555"/>
      <c r="F57" s="555"/>
      <c r="G57" s="555"/>
      <c r="H57" s="555"/>
      <c r="I57" s="555"/>
      <c r="J57" s="555"/>
      <c r="K57" s="555"/>
      <c r="L57" s="555"/>
    </row>
    <row r="58" spans="2:12" x14ac:dyDescent="0.3">
      <c r="B58" s="555"/>
      <c r="C58" s="555"/>
      <c r="D58" s="555"/>
      <c r="E58" s="555"/>
      <c r="F58" s="555"/>
      <c r="G58" s="555"/>
      <c r="H58" s="555"/>
      <c r="I58" s="555"/>
      <c r="J58" s="555"/>
      <c r="K58" s="555"/>
      <c r="L58" s="555"/>
    </row>
  </sheetData>
  <pageMargins left="0.7" right="0.7" top="0.75" bottom="0.75" header="0.3" footer="0.3"/>
  <pageSetup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5</xdr:col>
                    <xdr:colOff>7620</xdr:colOff>
                    <xdr:row>4</xdr:row>
                    <xdr:rowOff>0</xdr:rowOff>
                  </from>
                  <to>
                    <xdr:col>8</xdr:col>
                    <xdr:colOff>464820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5</xdr:col>
                    <xdr:colOff>7620</xdr:colOff>
                    <xdr:row>6</xdr:row>
                    <xdr:rowOff>0</xdr:rowOff>
                  </from>
                  <to>
                    <xdr:col>8</xdr:col>
                    <xdr:colOff>464820</xdr:colOff>
                    <xdr:row>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Drop Down 4">
              <controlPr defaultSize="0" autoLine="0" autoPict="0">
                <anchor moveWithCells="1">
                  <from>
                    <xdr:col>5</xdr:col>
                    <xdr:colOff>7620</xdr:colOff>
                    <xdr:row>7</xdr:row>
                    <xdr:rowOff>182880</xdr:rowOff>
                  </from>
                  <to>
                    <xdr:col>6</xdr:col>
                    <xdr:colOff>541020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Drop Down 6">
              <controlPr defaultSize="0" autoLine="0" autoPict="0">
                <anchor moveWithCells="1">
                  <from>
                    <xdr:col>5</xdr:col>
                    <xdr:colOff>7620</xdr:colOff>
                    <xdr:row>9</xdr:row>
                    <xdr:rowOff>182880</xdr:rowOff>
                  </from>
                  <to>
                    <xdr:col>6</xdr:col>
                    <xdr:colOff>541020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8" name="Drop Down 8">
              <controlPr defaultSize="0" autoLine="0" autoPict="0">
                <anchor moveWithCells="1">
                  <from>
                    <xdr:col>5</xdr:col>
                    <xdr:colOff>7620</xdr:colOff>
                    <xdr:row>11</xdr:row>
                    <xdr:rowOff>182880</xdr:rowOff>
                  </from>
                  <to>
                    <xdr:col>6</xdr:col>
                    <xdr:colOff>541020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9" name="Drop Down 14">
              <controlPr defaultSize="0" autoLine="0" autoPict="0">
                <anchor moveWithCells="1">
                  <from>
                    <xdr:col>5</xdr:col>
                    <xdr:colOff>7620</xdr:colOff>
                    <xdr:row>16</xdr:row>
                    <xdr:rowOff>144780</xdr:rowOff>
                  </from>
                  <to>
                    <xdr:col>6</xdr:col>
                    <xdr:colOff>541020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0" name="Drop Down 15">
              <controlPr defaultSize="0" autoLine="0" autoPict="0">
                <anchor moveWithCells="1">
                  <from>
                    <xdr:col>5</xdr:col>
                    <xdr:colOff>7620</xdr:colOff>
                    <xdr:row>19</xdr:row>
                    <xdr:rowOff>144780</xdr:rowOff>
                  </from>
                  <to>
                    <xdr:col>6</xdr:col>
                    <xdr:colOff>541020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1" name="Drop Down 16">
              <controlPr defaultSize="0" autoLine="0" autoPict="0">
                <anchor moveWithCells="1">
                  <from>
                    <xdr:col>5</xdr:col>
                    <xdr:colOff>7620</xdr:colOff>
                    <xdr:row>28</xdr:row>
                    <xdr:rowOff>160020</xdr:rowOff>
                  </from>
                  <to>
                    <xdr:col>6</xdr:col>
                    <xdr:colOff>541020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2" name="Drop Down 17">
              <controlPr defaultSize="0" autoLine="0" autoPict="0">
                <anchor moveWithCells="1">
                  <from>
                    <xdr:col>5</xdr:col>
                    <xdr:colOff>7620</xdr:colOff>
                    <xdr:row>37</xdr:row>
                    <xdr:rowOff>152400</xdr:rowOff>
                  </from>
                  <to>
                    <xdr:col>6</xdr:col>
                    <xdr:colOff>541020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3" name="Drop Down 18">
              <controlPr defaultSize="0" autoLine="0" autoPict="0">
                <anchor moveWithCells="1">
                  <from>
                    <xdr:col>5</xdr:col>
                    <xdr:colOff>7620</xdr:colOff>
                    <xdr:row>46</xdr:row>
                    <xdr:rowOff>152400</xdr:rowOff>
                  </from>
                  <to>
                    <xdr:col>6</xdr:col>
                    <xdr:colOff>541020</xdr:colOff>
                    <xdr:row>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4" name="Drop Down 19">
              <controlPr defaultSize="0" autoLine="0" autoPict="0">
                <anchor moveWithCells="1">
                  <from>
                    <xdr:col>5</xdr:col>
                    <xdr:colOff>7620</xdr:colOff>
                    <xdr:row>13</xdr:row>
                    <xdr:rowOff>182880</xdr:rowOff>
                  </from>
                  <to>
                    <xdr:col>6</xdr:col>
                    <xdr:colOff>541020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5" name="Drop Down 20">
              <controlPr defaultSize="0" autoLine="0" autoPict="0">
                <anchor moveWithCells="1">
                  <from>
                    <xdr:col>7</xdr:col>
                    <xdr:colOff>38100</xdr:colOff>
                    <xdr:row>23</xdr:row>
                    <xdr:rowOff>160020</xdr:rowOff>
                  </from>
                  <to>
                    <xdr:col>10</xdr:col>
                    <xdr:colOff>495300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16" name="Drop Down 21">
              <controlPr defaultSize="0" autoLine="0" autoPict="0">
                <anchor moveWithCells="1">
                  <from>
                    <xdr:col>7</xdr:col>
                    <xdr:colOff>30480</xdr:colOff>
                    <xdr:row>25</xdr:row>
                    <xdr:rowOff>175260</xdr:rowOff>
                  </from>
                  <to>
                    <xdr:col>10</xdr:col>
                    <xdr:colOff>487680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17" name="Drop Down 22">
              <controlPr defaultSize="0" autoLine="0" autoPict="0">
                <anchor moveWithCells="1">
                  <from>
                    <xdr:col>7</xdr:col>
                    <xdr:colOff>7620</xdr:colOff>
                    <xdr:row>32</xdr:row>
                    <xdr:rowOff>175260</xdr:rowOff>
                  </from>
                  <to>
                    <xdr:col>10</xdr:col>
                    <xdr:colOff>464820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18" name="Drop Down 23">
              <controlPr defaultSize="0" autoLine="0" autoPict="0">
                <anchor moveWithCells="1">
                  <from>
                    <xdr:col>7</xdr:col>
                    <xdr:colOff>0</xdr:colOff>
                    <xdr:row>41</xdr:row>
                    <xdr:rowOff>160020</xdr:rowOff>
                  </from>
                  <to>
                    <xdr:col>10</xdr:col>
                    <xdr:colOff>457200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19" name="Drop Down 24">
              <controlPr defaultSize="0" autoLine="0" autoPict="0">
                <anchor moveWithCells="1">
                  <from>
                    <xdr:col>6</xdr:col>
                    <xdr:colOff>601980</xdr:colOff>
                    <xdr:row>50</xdr:row>
                    <xdr:rowOff>160020</xdr:rowOff>
                  </from>
                  <to>
                    <xdr:col>10</xdr:col>
                    <xdr:colOff>449580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0" name="Drop Down 25">
              <controlPr defaultSize="0" autoLine="0" autoPict="0">
                <anchor moveWithCells="1">
                  <from>
                    <xdr:col>7</xdr:col>
                    <xdr:colOff>0</xdr:colOff>
                    <xdr:row>34</xdr:row>
                    <xdr:rowOff>175260</xdr:rowOff>
                  </from>
                  <to>
                    <xdr:col>10</xdr:col>
                    <xdr:colOff>457200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1" name="Drop Down 26">
              <controlPr defaultSize="0" autoLine="0" autoPict="0">
                <anchor moveWithCells="1">
                  <from>
                    <xdr:col>6</xdr:col>
                    <xdr:colOff>601980</xdr:colOff>
                    <xdr:row>43</xdr:row>
                    <xdr:rowOff>160020</xdr:rowOff>
                  </from>
                  <to>
                    <xdr:col>10</xdr:col>
                    <xdr:colOff>449580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2" name="Drop Down 27">
              <controlPr defaultSize="0" autoLine="0" autoPict="0">
                <anchor moveWithCells="1">
                  <from>
                    <xdr:col>6</xdr:col>
                    <xdr:colOff>601980</xdr:colOff>
                    <xdr:row>52</xdr:row>
                    <xdr:rowOff>160020</xdr:rowOff>
                  </from>
                  <to>
                    <xdr:col>10</xdr:col>
                    <xdr:colOff>449580</xdr:colOff>
                    <xdr:row>54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P535"/>
  <sheetViews>
    <sheetView workbookViewId="0">
      <selection activeCell="A4" sqref="A4"/>
    </sheetView>
  </sheetViews>
  <sheetFormatPr defaultColWidth="9.109375" defaultRowHeight="10.199999999999999" x14ac:dyDescent="0.2"/>
  <cols>
    <col min="1" max="1" width="9.109375" style="4"/>
    <col min="2" max="2" width="18" style="4" customWidth="1"/>
    <col min="3" max="3" width="25" style="4" customWidth="1"/>
    <col min="4" max="5" width="9.109375" style="4"/>
    <col min="6" max="6" width="20.6640625" style="4" customWidth="1"/>
    <col min="7" max="12" width="9.109375" style="4"/>
    <col min="13" max="13" width="25" style="4" customWidth="1"/>
    <col min="14" max="14" width="21.5546875" style="4" customWidth="1"/>
    <col min="15" max="15" width="18.5546875" style="4" customWidth="1"/>
    <col min="16" max="257" width="9.109375" style="4"/>
    <col min="258" max="258" width="18" style="4" customWidth="1"/>
    <col min="259" max="259" width="25" style="4" customWidth="1"/>
    <col min="260" max="261" width="9.109375" style="4"/>
    <col min="262" max="262" width="20.6640625" style="4" customWidth="1"/>
    <col min="263" max="268" width="9.109375" style="4"/>
    <col min="269" max="269" width="25" style="4" customWidth="1"/>
    <col min="270" max="270" width="21.5546875" style="4" customWidth="1"/>
    <col min="271" max="271" width="18.5546875" style="4" customWidth="1"/>
    <col min="272" max="513" width="9.109375" style="4"/>
    <col min="514" max="514" width="18" style="4" customWidth="1"/>
    <col min="515" max="515" width="25" style="4" customWidth="1"/>
    <col min="516" max="517" width="9.109375" style="4"/>
    <col min="518" max="518" width="20.6640625" style="4" customWidth="1"/>
    <col min="519" max="524" width="9.109375" style="4"/>
    <col min="525" max="525" width="25" style="4" customWidth="1"/>
    <col min="526" max="526" width="21.5546875" style="4" customWidth="1"/>
    <col min="527" max="527" width="18.5546875" style="4" customWidth="1"/>
    <col min="528" max="769" width="9.109375" style="4"/>
    <col min="770" max="770" width="18" style="4" customWidth="1"/>
    <col min="771" max="771" width="25" style="4" customWidth="1"/>
    <col min="772" max="773" width="9.109375" style="4"/>
    <col min="774" max="774" width="20.6640625" style="4" customWidth="1"/>
    <col min="775" max="780" width="9.109375" style="4"/>
    <col min="781" max="781" width="25" style="4" customWidth="1"/>
    <col min="782" max="782" width="21.5546875" style="4" customWidth="1"/>
    <col min="783" max="783" width="18.5546875" style="4" customWidth="1"/>
    <col min="784" max="1025" width="9.109375" style="4"/>
    <col min="1026" max="1026" width="18" style="4" customWidth="1"/>
    <col min="1027" max="1027" width="25" style="4" customWidth="1"/>
    <col min="1028" max="1029" width="9.109375" style="4"/>
    <col min="1030" max="1030" width="20.6640625" style="4" customWidth="1"/>
    <col min="1031" max="1036" width="9.109375" style="4"/>
    <col min="1037" max="1037" width="25" style="4" customWidth="1"/>
    <col min="1038" max="1038" width="21.5546875" style="4" customWidth="1"/>
    <col min="1039" max="1039" width="18.5546875" style="4" customWidth="1"/>
    <col min="1040" max="1281" width="9.109375" style="4"/>
    <col min="1282" max="1282" width="18" style="4" customWidth="1"/>
    <col min="1283" max="1283" width="25" style="4" customWidth="1"/>
    <col min="1284" max="1285" width="9.109375" style="4"/>
    <col min="1286" max="1286" width="20.6640625" style="4" customWidth="1"/>
    <col min="1287" max="1292" width="9.109375" style="4"/>
    <col min="1293" max="1293" width="25" style="4" customWidth="1"/>
    <col min="1294" max="1294" width="21.5546875" style="4" customWidth="1"/>
    <col min="1295" max="1295" width="18.5546875" style="4" customWidth="1"/>
    <col min="1296" max="1537" width="9.109375" style="4"/>
    <col min="1538" max="1538" width="18" style="4" customWidth="1"/>
    <col min="1539" max="1539" width="25" style="4" customWidth="1"/>
    <col min="1540" max="1541" width="9.109375" style="4"/>
    <col min="1542" max="1542" width="20.6640625" style="4" customWidth="1"/>
    <col min="1543" max="1548" width="9.109375" style="4"/>
    <col min="1549" max="1549" width="25" style="4" customWidth="1"/>
    <col min="1550" max="1550" width="21.5546875" style="4" customWidth="1"/>
    <col min="1551" max="1551" width="18.5546875" style="4" customWidth="1"/>
    <col min="1552" max="1793" width="9.109375" style="4"/>
    <col min="1794" max="1794" width="18" style="4" customWidth="1"/>
    <col min="1795" max="1795" width="25" style="4" customWidth="1"/>
    <col min="1796" max="1797" width="9.109375" style="4"/>
    <col min="1798" max="1798" width="20.6640625" style="4" customWidth="1"/>
    <col min="1799" max="1804" width="9.109375" style="4"/>
    <col min="1805" max="1805" width="25" style="4" customWidth="1"/>
    <col min="1806" max="1806" width="21.5546875" style="4" customWidth="1"/>
    <col min="1807" max="1807" width="18.5546875" style="4" customWidth="1"/>
    <col min="1808" max="2049" width="9.109375" style="4"/>
    <col min="2050" max="2050" width="18" style="4" customWidth="1"/>
    <col min="2051" max="2051" width="25" style="4" customWidth="1"/>
    <col min="2052" max="2053" width="9.109375" style="4"/>
    <col min="2054" max="2054" width="20.6640625" style="4" customWidth="1"/>
    <col min="2055" max="2060" width="9.109375" style="4"/>
    <col min="2061" max="2061" width="25" style="4" customWidth="1"/>
    <col min="2062" max="2062" width="21.5546875" style="4" customWidth="1"/>
    <col min="2063" max="2063" width="18.5546875" style="4" customWidth="1"/>
    <col min="2064" max="2305" width="9.109375" style="4"/>
    <col min="2306" max="2306" width="18" style="4" customWidth="1"/>
    <col min="2307" max="2307" width="25" style="4" customWidth="1"/>
    <col min="2308" max="2309" width="9.109375" style="4"/>
    <col min="2310" max="2310" width="20.6640625" style="4" customWidth="1"/>
    <col min="2311" max="2316" width="9.109375" style="4"/>
    <col min="2317" max="2317" width="25" style="4" customWidth="1"/>
    <col min="2318" max="2318" width="21.5546875" style="4" customWidth="1"/>
    <col min="2319" max="2319" width="18.5546875" style="4" customWidth="1"/>
    <col min="2320" max="2561" width="9.109375" style="4"/>
    <col min="2562" max="2562" width="18" style="4" customWidth="1"/>
    <col min="2563" max="2563" width="25" style="4" customWidth="1"/>
    <col min="2564" max="2565" width="9.109375" style="4"/>
    <col min="2566" max="2566" width="20.6640625" style="4" customWidth="1"/>
    <col min="2567" max="2572" width="9.109375" style="4"/>
    <col min="2573" max="2573" width="25" style="4" customWidth="1"/>
    <col min="2574" max="2574" width="21.5546875" style="4" customWidth="1"/>
    <col min="2575" max="2575" width="18.5546875" style="4" customWidth="1"/>
    <col min="2576" max="2817" width="9.109375" style="4"/>
    <col min="2818" max="2818" width="18" style="4" customWidth="1"/>
    <col min="2819" max="2819" width="25" style="4" customWidth="1"/>
    <col min="2820" max="2821" width="9.109375" style="4"/>
    <col min="2822" max="2822" width="20.6640625" style="4" customWidth="1"/>
    <col min="2823" max="2828" width="9.109375" style="4"/>
    <col min="2829" max="2829" width="25" style="4" customWidth="1"/>
    <col min="2830" max="2830" width="21.5546875" style="4" customWidth="1"/>
    <col min="2831" max="2831" width="18.5546875" style="4" customWidth="1"/>
    <col min="2832" max="3073" width="9.109375" style="4"/>
    <col min="3074" max="3074" width="18" style="4" customWidth="1"/>
    <col min="3075" max="3075" width="25" style="4" customWidth="1"/>
    <col min="3076" max="3077" width="9.109375" style="4"/>
    <col min="3078" max="3078" width="20.6640625" style="4" customWidth="1"/>
    <col min="3079" max="3084" width="9.109375" style="4"/>
    <col min="3085" max="3085" width="25" style="4" customWidth="1"/>
    <col min="3086" max="3086" width="21.5546875" style="4" customWidth="1"/>
    <col min="3087" max="3087" width="18.5546875" style="4" customWidth="1"/>
    <col min="3088" max="3329" width="9.109375" style="4"/>
    <col min="3330" max="3330" width="18" style="4" customWidth="1"/>
    <col min="3331" max="3331" width="25" style="4" customWidth="1"/>
    <col min="3332" max="3333" width="9.109375" style="4"/>
    <col min="3334" max="3334" width="20.6640625" style="4" customWidth="1"/>
    <col min="3335" max="3340" width="9.109375" style="4"/>
    <col min="3341" max="3341" width="25" style="4" customWidth="1"/>
    <col min="3342" max="3342" width="21.5546875" style="4" customWidth="1"/>
    <col min="3343" max="3343" width="18.5546875" style="4" customWidth="1"/>
    <col min="3344" max="3585" width="9.109375" style="4"/>
    <col min="3586" max="3586" width="18" style="4" customWidth="1"/>
    <col min="3587" max="3587" width="25" style="4" customWidth="1"/>
    <col min="3588" max="3589" width="9.109375" style="4"/>
    <col min="3590" max="3590" width="20.6640625" style="4" customWidth="1"/>
    <col min="3591" max="3596" width="9.109375" style="4"/>
    <col min="3597" max="3597" width="25" style="4" customWidth="1"/>
    <col min="3598" max="3598" width="21.5546875" style="4" customWidth="1"/>
    <col min="3599" max="3599" width="18.5546875" style="4" customWidth="1"/>
    <col min="3600" max="3841" width="9.109375" style="4"/>
    <col min="3842" max="3842" width="18" style="4" customWidth="1"/>
    <col min="3843" max="3843" width="25" style="4" customWidth="1"/>
    <col min="3844" max="3845" width="9.109375" style="4"/>
    <col min="3846" max="3846" width="20.6640625" style="4" customWidth="1"/>
    <col min="3847" max="3852" width="9.109375" style="4"/>
    <col min="3853" max="3853" width="25" style="4" customWidth="1"/>
    <col min="3854" max="3854" width="21.5546875" style="4" customWidth="1"/>
    <col min="3855" max="3855" width="18.5546875" style="4" customWidth="1"/>
    <col min="3856" max="4097" width="9.109375" style="4"/>
    <col min="4098" max="4098" width="18" style="4" customWidth="1"/>
    <col min="4099" max="4099" width="25" style="4" customWidth="1"/>
    <col min="4100" max="4101" width="9.109375" style="4"/>
    <col min="4102" max="4102" width="20.6640625" style="4" customWidth="1"/>
    <col min="4103" max="4108" width="9.109375" style="4"/>
    <col min="4109" max="4109" width="25" style="4" customWidth="1"/>
    <col min="4110" max="4110" width="21.5546875" style="4" customWidth="1"/>
    <col min="4111" max="4111" width="18.5546875" style="4" customWidth="1"/>
    <col min="4112" max="4353" width="9.109375" style="4"/>
    <col min="4354" max="4354" width="18" style="4" customWidth="1"/>
    <col min="4355" max="4355" width="25" style="4" customWidth="1"/>
    <col min="4356" max="4357" width="9.109375" style="4"/>
    <col min="4358" max="4358" width="20.6640625" style="4" customWidth="1"/>
    <col min="4359" max="4364" width="9.109375" style="4"/>
    <col min="4365" max="4365" width="25" style="4" customWidth="1"/>
    <col min="4366" max="4366" width="21.5546875" style="4" customWidth="1"/>
    <col min="4367" max="4367" width="18.5546875" style="4" customWidth="1"/>
    <col min="4368" max="4609" width="9.109375" style="4"/>
    <col min="4610" max="4610" width="18" style="4" customWidth="1"/>
    <col min="4611" max="4611" width="25" style="4" customWidth="1"/>
    <col min="4612" max="4613" width="9.109375" style="4"/>
    <col min="4614" max="4614" width="20.6640625" style="4" customWidth="1"/>
    <col min="4615" max="4620" width="9.109375" style="4"/>
    <col min="4621" max="4621" width="25" style="4" customWidth="1"/>
    <col min="4622" max="4622" width="21.5546875" style="4" customWidth="1"/>
    <col min="4623" max="4623" width="18.5546875" style="4" customWidth="1"/>
    <col min="4624" max="4865" width="9.109375" style="4"/>
    <col min="4866" max="4866" width="18" style="4" customWidth="1"/>
    <col min="4867" max="4867" width="25" style="4" customWidth="1"/>
    <col min="4868" max="4869" width="9.109375" style="4"/>
    <col min="4870" max="4870" width="20.6640625" style="4" customWidth="1"/>
    <col min="4871" max="4876" width="9.109375" style="4"/>
    <col min="4877" max="4877" width="25" style="4" customWidth="1"/>
    <col min="4878" max="4878" width="21.5546875" style="4" customWidth="1"/>
    <col min="4879" max="4879" width="18.5546875" style="4" customWidth="1"/>
    <col min="4880" max="5121" width="9.109375" style="4"/>
    <col min="5122" max="5122" width="18" style="4" customWidth="1"/>
    <col min="5123" max="5123" width="25" style="4" customWidth="1"/>
    <col min="5124" max="5125" width="9.109375" style="4"/>
    <col min="5126" max="5126" width="20.6640625" style="4" customWidth="1"/>
    <col min="5127" max="5132" width="9.109375" style="4"/>
    <col min="5133" max="5133" width="25" style="4" customWidth="1"/>
    <col min="5134" max="5134" width="21.5546875" style="4" customWidth="1"/>
    <col min="5135" max="5135" width="18.5546875" style="4" customWidth="1"/>
    <col min="5136" max="5377" width="9.109375" style="4"/>
    <col min="5378" max="5378" width="18" style="4" customWidth="1"/>
    <col min="5379" max="5379" width="25" style="4" customWidth="1"/>
    <col min="5380" max="5381" width="9.109375" style="4"/>
    <col min="5382" max="5382" width="20.6640625" style="4" customWidth="1"/>
    <col min="5383" max="5388" width="9.109375" style="4"/>
    <col min="5389" max="5389" width="25" style="4" customWidth="1"/>
    <col min="5390" max="5390" width="21.5546875" style="4" customWidth="1"/>
    <col min="5391" max="5391" width="18.5546875" style="4" customWidth="1"/>
    <col min="5392" max="5633" width="9.109375" style="4"/>
    <col min="5634" max="5634" width="18" style="4" customWidth="1"/>
    <col min="5635" max="5635" width="25" style="4" customWidth="1"/>
    <col min="5636" max="5637" width="9.109375" style="4"/>
    <col min="5638" max="5638" width="20.6640625" style="4" customWidth="1"/>
    <col min="5639" max="5644" width="9.109375" style="4"/>
    <col min="5645" max="5645" width="25" style="4" customWidth="1"/>
    <col min="5646" max="5646" width="21.5546875" style="4" customWidth="1"/>
    <col min="5647" max="5647" width="18.5546875" style="4" customWidth="1"/>
    <col min="5648" max="5889" width="9.109375" style="4"/>
    <col min="5890" max="5890" width="18" style="4" customWidth="1"/>
    <col min="5891" max="5891" width="25" style="4" customWidth="1"/>
    <col min="5892" max="5893" width="9.109375" style="4"/>
    <col min="5894" max="5894" width="20.6640625" style="4" customWidth="1"/>
    <col min="5895" max="5900" width="9.109375" style="4"/>
    <col min="5901" max="5901" width="25" style="4" customWidth="1"/>
    <col min="5902" max="5902" width="21.5546875" style="4" customWidth="1"/>
    <col min="5903" max="5903" width="18.5546875" style="4" customWidth="1"/>
    <col min="5904" max="6145" width="9.109375" style="4"/>
    <col min="6146" max="6146" width="18" style="4" customWidth="1"/>
    <col min="6147" max="6147" width="25" style="4" customWidth="1"/>
    <col min="6148" max="6149" width="9.109375" style="4"/>
    <col min="6150" max="6150" width="20.6640625" style="4" customWidth="1"/>
    <col min="6151" max="6156" width="9.109375" style="4"/>
    <col min="6157" max="6157" width="25" style="4" customWidth="1"/>
    <col min="6158" max="6158" width="21.5546875" style="4" customWidth="1"/>
    <col min="6159" max="6159" width="18.5546875" style="4" customWidth="1"/>
    <col min="6160" max="6401" width="9.109375" style="4"/>
    <col min="6402" max="6402" width="18" style="4" customWidth="1"/>
    <col min="6403" max="6403" width="25" style="4" customWidth="1"/>
    <col min="6404" max="6405" width="9.109375" style="4"/>
    <col min="6406" max="6406" width="20.6640625" style="4" customWidth="1"/>
    <col min="6407" max="6412" width="9.109375" style="4"/>
    <col min="6413" max="6413" width="25" style="4" customWidth="1"/>
    <col min="6414" max="6414" width="21.5546875" style="4" customWidth="1"/>
    <col min="6415" max="6415" width="18.5546875" style="4" customWidth="1"/>
    <col min="6416" max="6657" width="9.109375" style="4"/>
    <col min="6658" max="6658" width="18" style="4" customWidth="1"/>
    <col min="6659" max="6659" width="25" style="4" customWidth="1"/>
    <col min="6660" max="6661" width="9.109375" style="4"/>
    <col min="6662" max="6662" width="20.6640625" style="4" customWidth="1"/>
    <col min="6663" max="6668" width="9.109375" style="4"/>
    <col min="6669" max="6669" width="25" style="4" customWidth="1"/>
    <col min="6670" max="6670" width="21.5546875" style="4" customWidth="1"/>
    <col min="6671" max="6671" width="18.5546875" style="4" customWidth="1"/>
    <col min="6672" max="6913" width="9.109375" style="4"/>
    <col min="6914" max="6914" width="18" style="4" customWidth="1"/>
    <col min="6915" max="6915" width="25" style="4" customWidth="1"/>
    <col min="6916" max="6917" width="9.109375" style="4"/>
    <col min="6918" max="6918" width="20.6640625" style="4" customWidth="1"/>
    <col min="6919" max="6924" width="9.109375" style="4"/>
    <col min="6925" max="6925" width="25" style="4" customWidth="1"/>
    <col min="6926" max="6926" width="21.5546875" style="4" customWidth="1"/>
    <col min="6927" max="6927" width="18.5546875" style="4" customWidth="1"/>
    <col min="6928" max="7169" width="9.109375" style="4"/>
    <col min="7170" max="7170" width="18" style="4" customWidth="1"/>
    <col min="7171" max="7171" width="25" style="4" customWidth="1"/>
    <col min="7172" max="7173" width="9.109375" style="4"/>
    <col min="7174" max="7174" width="20.6640625" style="4" customWidth="1"/>
    <col min="7175" max="7180" width="9.109375" style="4"/>
    <col min="7181" max="7181" width="25" style="4" customWidth="1"/>
    <col min="7182" max="7182" width="21.5546875" style="4" customWidth="1"/>
    <col min="7183" max="7183" width="18.5546875" style="4" customWidth="1"/>
    <col min="7184" max="7425" width="9.109375" style="4"/>
    <col min="7426" max="7426" width="18" style="4" customWidth="1"/>
    <col min="7427" max="7427" width="25" style="4" customWidth="1"/>
    <col min="7428" max="7429" width="9.109375" style="4"/>
    <col min="7430" max="7430" width="20.6640625" style="4" customWidth="1"/>
    <col min="7431" max="7436" width="9.109375" style="4"/>
    <col min="7437" max="7437" width="25" style="4" customWidth="1"/>
    <col min="7438" max="7438" width="21.5546875" style="4" customWidth="1"/>
    <col min="7439" max="7439" width="18.5546875" style="4" customWidth="1"/>
    <col min="7440" max="7681" width="9.109375" style="4"/>
    <col min="7682" max="7682" width="18" style="4" customWidth="1"/>
    <col min="7683" max="7683" width="25" style="4" customWidth="1"/>
    <col min="7684" max="7685" width="9.109375" style="4"/>
    <col min="7686" max="7686" width="20.6640625" style="4" customWidth="1"/>
    <col min="7687" max="7692" width="9.109375" style="4"/>
    <col min="7693" max="7693" width="25" style="4" customWidth="1"/>
    <col min="7694" max="7694" width="21.5546875" style="4" customWidth="1"/>
    <col min="7695" max="7695" width="18.5546875" style="4" customWidth="1"/>
    <col min="7696" max="7937" width="9.109375" style="4"/>
    <col min="7938" max="7938" width="18" style="4" customWidth="1"/>
    <col min="7939" max="7939" width="25" style="4" customWidth="1"/>
    <col min="7940" max="7941" width="9.109375" style="4"/>
    <col min="7942" max="7942" width="20.6640625" style="4" customWidth="1"/>
    <col min="7943" max="7948" width="9.109375" style="4"/>
    <col min="7949" max="7949" width="25" style="4" customWidth="1"/>
    <col min="7950" max="7950" width="21.5546875" style="4" customWidth="1"/>
    <col min="7951" max="7951" width="18.5546875" style="4" customWidth="1"/>
    <col min="7952" max="8193" width="9.109375" style="4"/>
    <col min="8194" max="8194" width="18" style="4" customWidth="1"/>
    <col min="8195" max="8195" width="25" style="4" customWidth="1"/>
    <col min="8196" max="8197" width="9.109375" style="4"/>
    <col min="8198" max="8198" width="20.6640625" style="4" customWidth="1"/>
    <col min="8199" max="8204" width="9.109375" style="4"/>
    <col min="8205" max="8205" width="25" style="4" customWidth="1"/>
    <col min="8206" max="8206" width="21.5546875" style="4" customWidth="1"/>
    <col min="8207" max="8207" width="18.5546875" style="4" customWidth="1"/>
    <col min="8208" max="8449" width="9.109375" style="4"/>
    <col min="8450" max="8450" width="18" style="4" customWidth="1"/>
    <col min="8451" max="8451" width="25" style="4" customWidth="1"/>
    <col min="8452" max="8453" width="9.109375" style="4"/>
    <col min="8454" max="8454" width="20.6640625" style="4" customWidth="1"/>
    <col min="8455" max="8460" width="9.109375" style="4"/>
    <col min="8461" max="8461" width="25" style="4" customWidth="1"/>
    <col min="8462" max="8462" width="21.5546875" style="4" customWidth="1"/>
    <col min="8463" max="8463" width="18.5546875" style="4" customWidth="1"/>
    <col min="8464" max="8705" width="9.109375" style="4"/>
    <col min="8706" max="8706" width="18" style="4" customWidth="1"/>
    <col min="8707" max="8707" width="25" style="4" customWidth="1"/>
    <col min="8708" max="8709" width="9.109375" style="4"/>
    <col min="8710" max="8710" width="20.6640625" style="4" customWidth="1"/>
    <col min="8711" max="8716" width="9.109375" style="4"/>
    <col min="8717" max="8717" width="25" style="4" customWidth="1"/>
    <col min="8718" max="8718" width="21.5546875" style="4" customWidth="1"/>
    <col min="8719" max="8719" width="18.5546875" style="4" customWidth="1"/>
    <col min="8720" max="8961" width="9.109375" style="4"/>
    <col min="8962" max="8962" width="18" style="4" customWidth="1"/>
    <col min="8963" max="8963" width="25" style="4" customWidth="1"/>
    <col min="8964" max="8965" width="9.109375" style="4"/>
    <col min="8966" max="8966" width="20.6640625" style="4" customWidth="1"/>
    <col min="8967" max="8972" width="9.109375" style="4"/>
    <col min="8973" max="8973" width="25" style="4" customWidth="1"/>
    <col min="8974" max="8974" width="21.5546875" style="4" customWidth="1"/>
    <col min="8975" max="8975" width="18.5546875" style="4" customWidth="1"/>
    <col min="8976" max="9217" width="9.109375" style="4"/>
    <col min="9218" max="9218" width="18" style="4" customWidth="1"/>
    <col min="9219" max="9219" width="25" style="4" customWidth="1"/>
    <col min="9220" max="9221" width="9.109375" style="4"/>
    <col min="9222" max="9222" width="20.6640625" style="4" customWidth="1"/>
    <col min="9223" max="9228" width="9.109375" style="4"/>
    <col min="9229" max="9229" width="25" style="4" customWidth="1"/>
    <col min="9230" max="9230" width="21.5546875" style="4" customWidth="1"/>
    <col min="9231" max="9231" width="18.5546875" style="4" customWidth="1"/>
    <col min="9232" max="9473" width="9.109375" style="4"/>
    <col min="9474" max="9474" width="18" style="4" customWidth="1"/>
    <col min="9475" max="9475" width="25" style="4" customWidth="1"/>
    <col min="9476" max="9477" width="9.109375" style="4"/>
    <col min="9478" max="9478" width="20.6640625" style="4" customWidth="1"/>
    <col min="9479" max="9484" width="9.109375" style="4"/>
    <col min="9485" max="9485" width="25" style="4" customWidth="1"/>
    <col min="9486" max="9486" width="21.5546875" style="4" customWidth="1"/>
    <col min="9487" max="9487" width="18.5546875" style="4" customWidth="1"/>
    <col min="9488" max="9729" width="9.109375" style="4"/>
    <col min="9730" max="9730" width="18" style="4" customWidth="1"/>
    <col min="9731" max="9731" width="25" style="4" customWidth="1"/>
    <col min="9732" max="9733" width="9.109375" style="4"/>
    <col min="9734" max="9734" width="20.6640625" style="4" customWidth="1"/>
    <col min="9735" max="9740" width="9.109375" style="4"/>
    <col min="9741" max="9741" width="25" style="4" customWidth="1"/>
    <col min="9742" max="9742" width="21.5546875" style="4" customWidth="1"/>
    <col min="9743" max="9743" width="18.5546875" style="4" customWidth="1"/>
    <col min="9744" max="9985" width="9.109375" style="4"/>
    <col min="9986" max="9986" width="18" style="4" customWidth="1"/>
    <col min="9987" max="9987" width="25" style="4" customWidth="1"/>
    <col min="9988" max="9989" width="9.109375" style="4"/>
    <col min="9990" max="9990" width="20.6640625" style="4" customWidth="1"/>
    <col min="9991" max="9996" width="9.109375" style="4"/>
    <col min="9997" max="9997" width="25" style="4" customWidth="1"/>
    <col min="9998" max="9998" width="21.5546875" style="4" customWidth="1"/>
    <col min="9999" max="9999" width="18.5546875" style="4" customWidth="1"/>
    <col min="10000" max="10241" width="9.109375" style="4"/>
    <col min="10242" max="10242" width="18" style="4" customWidth="1"/>
    <col min="10243" max="10243" width="25" style="4" customWidth="1"/>
    <col min="10244" max="10245" width="9.109375" style="4"/>
    <col min="10246" max="10246" width="20.6640625" style="4" customWidth="1"/>
    <col min="10247" max="10252" width="9.109375" style="4"/>
    <col min="10253" max="10253" width="25" style="4" customWidth="1"/>
    <col min="10254" max="10254" width="21.5546875" style="4" customWidth="1"/>
    <col min="10255" max="10255" width="18.5546875" style="4" customWidth="1"/>
    <col min="10256" max="10497" width="9.109375" style="4"/>
    <col min="10498" max="10498" width="18" style="4" customWidth="1"/>
    <col min="10499" max="10499" width="25" style="4" customWidth="1"/>
    <col min="10500" max="10501" width="9.109375" style="4"/>
    <col min="10502" max="10502" width="20.6640625" style="4" customWidth="1"/>
    <col min="10503" max="10508" width="9.109375" style="4"/>
    <col min="10509" max="10509" width="25" style="4" customWidth="1"/>
    <col min="10510" max="10510" width="21.5546875" style="4" customWidth="1"/>
    <col min="10511" max="10511" width="18.5546875" style="4" customWidth="1"/>
    <col min="10512" max="10753" width="9.109375" style="4"/>
    <col min="10754" max="10754" width="18" style="4" customWidth="1"/>
    <col min="10755" max="10755" width="25" style="4" customWidth="1"/>
    <col min="10756" max="10757" width="9.109375" style="4"/>
    <col min="10758" max="10758" width="20.6640625" style="4" customWidth="1"/>
    <col min="10759" max="10764" width="9.109375" style="4"/>
    <col min="10765" max="10765" width="25" style="4" customWidth="1"/>
    <col min="10766" max="10766" width="21.5546875" style="4" customWidth="1"/>
    <col min="10767" max="10767" width="18.5546875" style="4" customWidth="1"/>
    <col min="10768" max="11009" width="9.109375" style="4"/>
    <col min="11010" max="11010" width="18" style="4" customWidth="1"/>
    <col min="11011" max="11011" width="25" style="4" customWidth="1"/>
    <col min="11012" max="11013" width="9.109375" style="4"/>
    <col min="11014" max="11014" width="20.6640625" style="4" customWidth="1"/>
    <col min="11015" max="11020" width="9.109375" style="4"/>
    <col min="11021" max="11021" width="25" style="4" customWidth="1"/>
    <col min="11022" max="11022" width="21.5546875" style="4" customWidth="1"/>
    <col min="11023" max="11023" width="18.5546875" style="4" customWidth="1"/>
    <col min="11024" max="11265" width="9.109375" style="4"/>
    <col min="11266" max="11266" width="18" style="4" customWidth="1"/>
    <col min="11267" max="11267" width="25" style="4" customWidth="1"/>
    <col min="11268" max="11269" width="9.109375" style="4"/>
    <col min="11270" max="11270" width="20.6640625" style="4" customWidth="1"/>
    <col min="11271" max="11276" width="9.109375" style="4"/>
    <col min="11277" max="11277" width="25" style="4" customWidth="1"/>
    <col min="11278" max="11278" width="21.5546875" style="4" customWidth="1"/>
    <col min="11279" max="11279" width="18.5546875" style="4" customWidth="1"/>
    <col min="11280" max="11521" width="9.109375" style="4"/>
    <col min="11522" max="11522" width="18" style="4" customWidth="1"/>
    <col min="11523" max="11523" width="25" style="4" customWidth="1"/>
    <col min="11524" max="11525" width="9.109375" style="4"/>
    <col min="11526" max="11526" width="20.6640625" style="4" customWidth="1"/>
    <col min="11527" max="11532" width="9.109375" style="4"/>
    <col min="11533" max="11533" width="25" style="4" customWidth="1"/>
    <col min="11534" max="11534" width="21.5546875" style="4" customWidth="1"/>
    <col min="11535" max="11535" width="18.5546875" style="4" customWidth="1"/>
    <col min="11536" max="11777" width="9.109375" style="4"/>
    <col min="11778" max="11778" width="18" style="4" customWidth="1"/>
    <col min="11779" max="11779" width="25" style="4" customWidth="1"/>
    <col min="11780" max="11781" width="9.109375" style="4"/>
    <col min="11782" max="11782" width="20.6640625" style="4" customWidth="1"/>
    <col min="11783" max="11788" width="9.109375" style="4"/>
    <col min="11789" max="11789" width="25" style="4" customWidth="1"/>
    <col min="11790" max="11790" width="21.5546875" style="4" customWidth="1"/>
    <col min="11791" max="11791" width="18.5546875" style="4" customWidth="1"/>
    <col min="11792" max="12033" width="9.109375" style="4"/>
    <col min="12034" max="12034" width="18" style="4" customWidth="1"/>
    <col min="12035" max="12035" width="25" style="4" customWidth="1"/>
    <col min="12036" max="12037" width="9.109375" style="4"/>
    <col min="12038" max="12038" width="20.6640625" style="4" customWidth="1"/>
    <col min="12039" max="12044" width="9.109375" style="4"/>
    <col min="12045" max="12045" width="25" style="4" customWidth="1"/>
    <col min="12046" max="12046" width="21.5546875" style="4" customWidth="1"/>
    <col min="12047" max="12047" width="18.5546875" style="4" customWidth="1"/>
    <col min="12048" max="12289" width="9.109375" style="4"/>
    <col min="12290" max="12290" width="18" style="4" customWidth="1"/>
    <col min="12291" max="12291" width="25" style="4" customWidth="1"/>
    <col min="12292" max="12293" width="9.109375" style="4"/>
    <col min="12294" max="12294" width="20.6640625" style="4" customWidth="1"/>
    <col min="12295" max="12300" width="9.109375" style="4"/>
    <col min="12301" max="12301" width="25" style="4" customWidth="1"/>
    <col min="12302" max="12302" width="21.5546875" style="4" customWidth="1"/>
    <col min="12303" max="12303" width="18.5546875" style="4" customWidth="1"/>
    <col min="12304" max="12545" width="9.109375" style="4"/>
    <col min="12546" max="12546" width="18" style="4" customWidth="1"/>
    <col min="12547" max="12547" width="25" style="4" customWidth="1"/>
    <col min="12548" max="12549" width="9.109375" style="4"/>
    <col min="12550" max="12550" width="20.6640625" style="4" customWidth="1"/>
    <col min="12551" max="12556" width="9.109375" style="4"/>
    <col min="12557" max="12557" width="25" style="4" customWidth="1"/>
    <col min="12558" max="12558" width="21.5546875" style="4" customWidth="1"/>
    <col min="12559" max="12559" width="18.5546875" style="4" customWidth="1"/>
    <col min="12560" max="12801" width="9.109375" style="4"/>
    <col min="12802" max="12802" width="18" style="4" customWidth="1"/>
    <col min="12803" max="12803" width="25" style="4" customWidth="1"/>
    <col min="12804" max="12805" width="9.109375" style="4"/>
    <col min="12806" max="12806" width="20.6640625" style="4" customWidth="1"/>
    <col min="12807" max="12812" width="9.109375" style="4"/>
    <col min="12813" max="12813" width="25" style="4" customWidth="1"/>
    <col min="12814" max="12814" width="21.5546875" style="4" customWidth="1"/>
    <col min="12815" max="12815" width="18.5546875" style="4" customWidth="1"/>
    <col min="12816" max="13057" width="9.109375" style="4"/>
    <col min="13058" max="13058" width="18" style="4" customWidth="1"/>
    <col min="13059" max="13059" width="25" style="4" customWidth="1"/>
    <col min="13060" max="13061" width="9.109375" style="4"/>
    <col min="13062" max="13062" width="20.6640625" style="4" customWidth="1"/>
    <col min="13063" max="13068" width="9.109375" style="4"/>
    <col min="13069" max="13069" width="25" style="4" customWidth="1"/>
    <col min="13070" max="13070" width="21.5546875" style="4" customWidth="1"/>
    <col min="13071" max="13071" width="18.5546875" style="4" customWidth="1"/>
    <col min="13072" max="13313" width="9.109375" style="4"/>
    <col min="13314" max="13314" width="18" style="4" customWidth="1"/>
    <col min="13315" max="13315" width="25" style="4" customWidth="1"/>
    <col min="13316" max="13317" width="9.109375" style="4"/>
    <col min="13318" max="13318" width="20.6640625" style="4" customWidth="1"/>
    <col min="13319" max="13324" width="9.109375" style="4"/>
    <col min="13325" max="13325" width="25" style="4" customWidth="1"/>
    <col min="13326" max="13326" width="21.5546875" style="4" customWidth="1"/>
    <col min="13327" max="13327" width="18.5546875" style="4" customWidth="1"/>
    <col min="13328" max="13569" width="9.109375" style="4"/>
    <col min="13570" max="13570" width="18" style="4" customWidth="1"/>
    <col min="13571" max="13571" width="25" style="4" customWidth="1"/>
    <col min="13572" max="13573" width="9.109375" style="4"/>
    <col min="13574" max="13574" width="20.6640625" style="4" customWidth="1"/>
    <col min="13575" max="13580" width="9.109375" style="4"/>
    <col min="13581" max="13581" width="25" style="4" customWidth="1"/>
    <col min="13582" max="13582" width="21.5546875" style="4" customWidth="1"/>
    <col min="13583" max="13583" width="18.5546875" style="4" customWidth="1"/>
    <col min="13584" max="13825" width="9.109375" style="4"/>
    <col min="13826" max="13826" width="18" style="4" customWidth="1"/>
    <col min="13827" max="13827" width="25" style="4" customWidth="1"/>
    <col min="13828" max="13829" width="9.109375" style="4"/>
    <col min="13830" max="13830" width="20.6640625" style="4" customWidth="1"/>
    <col min="13831" max="13836" width="9.109375" style="4"/>
    <col min="13837" max="13837" width="25" style="4" customWidth="1"/>
    <col min="13838" max="13838" width="21.5546875" style="4" customWidth="1"/>
    <col min="13839" max="13839" width="18.5546875" style="4" customWidth="1"/>
    <col min="13840" max="14081" width="9.109375" style="4"/>
    <col min="14082" max="14082" width="18" style="4" customWidth="1"/>
    <col min="14083" max="14083" width="25" style="4" customWidth="1"/>
    <col min="14084" max="14085" width="9.109375" style="4"/>
    <col min="14086" max="14086" width="20.6640625" style="4" customWidth="1"/>
    <col min="14087" max="14092" width="9.109375" style="4"/>
    <col min="14093" max="14093" width="25" style="4" customWidth="1"/>
    <col min="14094" max="14094" width="21.5546875" style="4" customWidth="1"/>
    <col min="14095" max="14095" width="18.5546875" style="4" customWidth="1"/>
    <col min="14096" max="14337" width="9.109375" style="4"/>
    <col min="14338" max="14338" width="18" style="4" customWidth="1"/>
    <col min="14339" max="14339" width="25" style="4" customWidth="1"/>
    <col min="14340" max="14341" width="9.109375" style="4"/>
    <col min="14342" max="14342" width="20.6640625" style="4" customWidth="1"/>
    <col min="14343" max="14348" width="9.109375" style="4"/>
    <col min="14349" max="14349" width="25" style="4" customWidth="1"/>
    <col min="14350" max="14350" width="21.5546875" style="4" customWidth="1"/>
    <col min="14351" max="14351" width="18.5546875" style="4" customWidth="1"/>
    <col min="14352" max="14593" width="9.109375" style="4"/>
    <col min="14594" max="14594" width="18" style="4" customWidth="1"/>
    <col min="14595" max="14595" width="25" style="4" customWidth="1"/>
    <col min="14596" max="14597" width="9.109375" style="4"/>
    <col min="14598" max="14598" width="20.6640625" style="4" customWidth="1"/>
    <col min="14599" max="14604" width="9.109375" style="4"/>
    <col min="14605" max="14605" width="25" style="4" customWidth="1"/>
    <col min="14606" max="14606" width="21.5546875" style="4" customWidth="1"/>
    <col min="14607" max="14607" width="18.5546875" style="4" customWidth="1"/>
    <col min="14608" max="14849" width="9.109375" style="4"/>
    <col min="14850" max="14850" width="18" style="4" customWidth="1"/>
    <col min="14851" max="14851" width="25" style="4" customWidth="1"/>
    <col min="14852" max="14853" width="9.109375" style="4"/>
    <col min="14854" max="14854" width="20.6640625" style="4" customWidth="1"/>
    <col min="14855" max="14860" width="9.109375" style="4"/>
    <col min="14861" max="14861" width="25" style="4" customWidth="1"/>
    <col min="14862" max="14862" width="21.5546875" style="4" customWidth="1"/>
    <col min="14863" max="14863" width="18.5546875" style="4" customWidth="1"/>
    <col min="14864" max="15105" width="9.109375" style="4"/>
    <col min="15106" max="15106" width="18" style="4" customWidth="1"/>
    <col min="15107" max="15107" width="25" style="4" customWidth="1"/>
    <col min="15108" max="15109" width="9.109375" style="4"/>
    <col min="15110" max="15110" width="20.6640625" style="4" customWidth="1"/>
    <col min="15111" max="15116" width="9.109375" style="4"/>
    <col min="15117" max="15117" width="25" style="4" customWidth="1"/>
    <col min="15118" max="15118" width="21.5546875" style="4" customWidth="1"/>
    <col min="15119" max="15119" width="18.5546875" style="4" customWidth="1"/>
    <col min="15120" max="15361" width="9.109375" style="4"/>
    <col min="15362" max="15362" width="18" style="4" customWidth="1"/>
    <col min="15363" max="15363" width="25" style="4" customWidth="1"/>
    <col min="15364" max="15365" width="9.109375" style="4"/>
    <col min="15366" max="15366" width="20.6640625" style="4" customWidth="1"/>
    <col min="15367" max="15372" width="9.109375" style="4"/>
    <col min="15373" max="15373" width="25" style="4" customWidth="1"/>
    <col min="15374" max="15374" width="21.5546875" style="4" customWidth="1"/>
    <col min="15375" max="15375" width="18.5546875" style="4" customWidth="1"/>
    <col min="15376" max="15617" width="9.109375" style="4"/>
    <col min="15618" max="15618" width="18" style="4" customWidth="1"/>
    <col min="15619" max="15619" width="25" style="4" customWidth="1"/>
    <col min="15620" max="15621" width="9.109375" style="4"/>
    <col min="15622" max="15622" width="20.6640625" style="4" customWidth="1"/>
    <col min="15623" max="15628" width="9.109375" style="4"/>
    <col min="15629" max="15629" width="25" style="4" customWidth="1"/>
    <col min="15630" max="15630" width="21.5546875" style="4" customWidth="1"/>
    <col min="15631" max="15631" width="18.5546875" style="4" customWidth="1"/>
    <col min="15632" max="15873" width="9.109375" style="4"/>
    <col min="15874" max="15874" width="18" style="4" customWidth="1"/>
    <col min="15875" max="15875" width="25" style="4" customWidth="1"/>
    <col min="15876" max="15877" width="9.109375" style="4"/>
    <col min="15878" max="15878" width="20.6640625" style="4" customWidth="1"/>
    <col min="15879" max="15884" width="9.109375" style="4"/>
    <col min="15885" max="15885" width="25" style="4" customWidth="1"/>
    <col min="15886" max="15886" width="21.5546875" style="4" customWidth="1"/>
    <col min="15887" max="15887" width="18.5546875" style="4" customWidth="1"/>
    <col min="15888" max="16129" width="9.109375" style="4"/>
    <col min="16130" max="16130" width="18" style="4" customWidth="1"/>
    <col min="16131" max="16131" width="25" style="4" customWidth="1"/>
    <col min="16132" max="16133" width="9.109375" style="4"/>
    <col min="16134" max="16134" width="20.6640625" style="4" customWidth="1"/>
    <col min="16135" max="16140" width="9.109375" style="4"/>
    <col min="16141" max="16141" width="25" style="4" customWidth="1"/>
    <col min="16142" max="16142" width="21.5546875" style="4" customWidth="1"/>
    <col min="16143" max="16143" width="18.5546875" style="4" customWidth="1"/>
    <col min="16144" max="16384" width="9.109375" style="4"/>
  </cols>
  <sheetData>
    <row r="1" spans="1:13" x14ac:dyDescent="0.2">
      <c r="A1" s="1" t="s">
        <v>0</v>
      </c>
      <c r="B1" s="2"/>
      <c r="C1" s="2"/>
      <c r="D1" s="2"/>
      <c r="E1" s="2"/>
      <c r="F1" s="2"/>
      <c r="G1" s="3"/>
      <c r="L1" s="5" t="s">
        <v>1</v>
      </c>
      <c r="M1" s="6" t="s">
        <v>2</v>
      </c>
    </row>
    <row r="2" spans="1:13" ht="10.8" thickBot="1" x14ac:dyDescent="0.25">
      <c r="A2" s="7"/>
      <c r="B2" s="8"/>
      <c r="C2" s="8"/>
      <c r="D2" s="8"/>
      <c r="E2" s="8"/>
      <c r="F2" s="8"/>
      <c r="G2" s="9"/>
      <c r="L2" s="5" t="s">
        <v>3</v>
      </c>
      <c r="M2" s="6" t="s">
        <v>4</v>
      </c>
    </row>
    <row r="3" spans="1:13" x14ac:dyDescent="0.2">
      <c r="A3" s="10"/>
      <c r="M3" s="4" t="str">
        <f>IF(AND((RIGHT(M1,4)&lt;&gt;".xls"),(RIGHT(M1,5)&lt;&gt;".xlsx")),"ERROR"," ")</f>
        <v xml:space="preserve"> </v>
      </c>
    </row>
    <row r="6" spans="1:13" x14ac:dyDescent="0.2">
      <c r="B6" s="11" t="s">
        <v>5</v>
      </c>
    </row>
    <row r="7" spans="1:13" x14ac:dyDescent="0.2">
      <c r="B7" s="4" t="s">
        <v>6</v>
      </c>
      <c r="D7" s="4" t="s">
        <v>7</v>
      </c>
      <c r="G7" s="4" t="s">
        <v>8</v>
      </c>
    </row>
    <row r="8" spans="1:13" x14ac:dyDescent="0.2">
      <c r="A8" s="4">
        <v>1</v>
      </c>
      <c r="B8" s="4" t="s">
        <v>9</v>
      </c>
      <c r="C8" s="5" t="s">
        <v>10</v>
      </c>
      <c r="D8" s="6">
        <v>1</v>
      </c>
      <c r="G8" s="6">
        <v>1</v>
      </c>
    </row>
    <row r="20" spans="1:7" x14ac:dyDescent="0.2">
      <c r="B20" s="11" t="s">
        <v>11</v>
      </c>
    </row>
    <row r="21" spans="1:7" x14ac:dyDescent="0.2">
      <c r="B21" s="4" t="s">
        <v>6</v>
      </c>
      <c r="D21" s="4" t="s">
        <v>7</v>
      </c>
      <c r="G21" s="4" t="s">
        <v>8</v>
      </c>
    </row>
    <row r="22" spans="1:7" x14ac:dyDescent="0.2">
      <c r="A22" s="4">
        <v>1</v>
      </c>
      <c r="B22" s="4" t="s">
        <v>12</v>
      </c>
      <c r="C22" s="5" t="s">
        <v>13</v>
      </c>
      <c r="D22" s="554">
        <v>1</v>
      </c>
      <c r="G22" s="6">
        <v>1</v>
      </c>
    </row>
    <row r="23" spans="1:7" x14ac:dyDescent="0.2">
      <c r="A23" s="4">
        <v>2</v>
      </c>
      <c r="B23" s="4" t="s">
        <v>14</v>
      </c>
    </row>
    <row r="24" spans="1:7" x14ac:dyDescent="0.2">
      <c r="A24" s="4">
        <v>3</v>
      </c>
      <c r="B24" s="4" t="s">
        <v>15</v>
      </c>
    </row>
    <row r="25" spans="1:7" x14ac:dyDescent="0.2">
      <c r="A25" s="4">
        <v>4</v>
      </c>
      <c r="B25" s="4" t="s">
        <v>16</v>
      </c>
    </row>
    <row r="26" spans="1:7" x14ac:dyDescent="0.2">
      <c r="A26" s="4">
        <v>5</v>
      </c>
      <c r="B26" s="4" t="s">
        <v>17</v>
      </c>
    </row>
    <row r="37" spans="1:7" x14ac:dyDescent="0.2">
      <c r="B37" s="11" t="s">
        <v>18</v>
      </c>
    </row>
    <row r="38" spans="1:7" x14ac:dyDescent="0.2">
      <c r="B38" s="4" t="s">
        <v>6</v>
      </c>
      <c r="D38" s="4" t="s">
        <v>7</v>
      </c>
      <c r="G38" s="4" t="s">
        <v>8</v>
      </c>
    </row>
    <row r="39" spans="1:7" x14ac:dyDescent="0.2">
      <c r="A39" s="4">
        <v>1</v>
      </c>
      <c r="B39" s="4" t="s">
        <v>19</v>
      </c>
      <c r="C39" s="5" t="s">
        <v>20</v>
      </c>
      <c r="D39" s="554">
        <v>1</v>
      </c>
      <c r="G39" s="554">
        <f>D39</f>
        <v>1</v>
      </c>
    </row>
    <row r="40" spans="1:7" x14ac:dyDescent="0.2">
      <c r="A40" s="4">
        <v>2</v>
      </c>
      <c r="B40" s="4" t="s">
        <v>21</v>
      </c>
    </row>
    <row r="41" spans="1:7" x14ac:dyDescent="0.2">
      <c r="A41" s="4">
        <v>3</v>
      </c>
      <c r="B41" s="4" t="s">
        <v>22</v>
      </c>
    </row>
    <row r="42" spans="1:7" x14ac:dyDescent="0.2">
      <c r="A42" s="4">
        <v>4</v>
      </c>
      <c r="B42" s="4" t="s">
        <v>1062</v>
      </c>
    </row>
    <row r="43" spans="1:7" x14ac:dyDescent="0.2">
      <c r="A43" s="4">
        <v>5</v>
      </c>
      <c r="B43" s="4" t="s">
        <v>17</v>
      </c>
    </row>
    <row r="54" spans="1:4" x14ac:dyDescent="0.2">
      <c r="B54" s="11" t="s">
        <v>23</v>
      </c>
    </row>
    <row r="55" spans="1:4" x14ac:dyDescent="0.2">
      <c r="D55" s="4" t="s">
        <v>7</v>
      </c>
    </row>
    <row r="56" spans="1:4" x14ac:dyDescent="0.2">
      <c r="A56" s="4">
        <v>1</v>
      </c>
      <c r="B56" s="4" t="s">
        <v>24</v>
      </c>
      <c r="C56" s="5" t="s">
        <v>25</v>
      </c>
      <c r="D56" s="6">
        <v>1</v>
      </c>
    </row>
    <row r="57" spans="1:4" x14ac:dyDescent="0.2">
      <c r="C57" s="5"/>
      <c r="D57" s="12"/>
    </row>
    <row r="58" spans="1:4" x14ac:dyDescent="0.2">
      <c r="C58" s="5"/>
      <c r="D58" s="12"/>
    </row>
    <row r="59" spans="1:4" x14ac:dyDescent="0.2">
      <c r="C59" s="5"/>
      <c r="D59" s="12"/>
    </row>
    <row r="60" spans="1:4" x14ac:dyDescent="0.2">
      <c r="C60" s="5"/>
      <c r="D60" s="12"/>
    </row>
    <row r="61" spans="1:4" x14ac:dyDescent="0.2">
      <c r="C61" s="5"/>
      <c r="D61" s="12"/>
    </row>
    <row r="62" spans="1:4" x14ac:dyDescent="0.2">
      <c r="C62" s="5"/>
      <c r="D62" s="12"/>
    </row>
    <row r="63" spans="1:4" x14ac:dyDescent="0.2">
      <c r="C63" s="5"/>
      <c r="D63" s="12"/>
    </row>
    <row r="64" spans="1:4" x14ac:dyDescent="0.2">
      <c r="C64" s="5"/>
      <c r="D64" s="12"/>
    </row>
    <row r="65" spans="1:7" ht="12.75" customHeight="1" x14ac:dyDescent="0.2">
      <c r="B65" s="11" t="s">
        <v>26</v>
      </c>
      <c r="C65" s="5"/>
      <c r="D65" s="12"/>
    </row>
    <row r="66" spans="1:7" x14ac:dyDescent="0.2">
      <c r="A66" s="4">
        <v>1</v>
      </c>
      <c r="B66" s="4" t="s">
        <v>27</v>
      </c>
      <c r="C66" s="5"/>
      <c r="D66" s="4" t="s">
        <v>7</v>
      </c>
      <c r="E66" s="12"/>
    </row>
    <row r="67" spans="1:7" x14ac:dyDescent="0.2">
      <c r="A67" s="4">
        <v>2</v>
      </c>
      <c r="B67" s="4" t="s">
        <v>28</v>
      </c>
      <c r="C67" s="5" t="s">
        <v>29</v>
      </c>
      <c r="D67" s="6">
        <v>1</v>
      </c>
      <c r="E67" s="12"/>
    </row>
    <row r="68" spans="1:7" x14ac:dyDescent="0.2">
      <c r="A68" s="4">
        <v>3</v>
      </c>
      <c r="B68" s="4" t="s">
        <v>30</v>
      </c>
      <c r="C68" s="5"/>
      <c r="D68" s="12"/>
      <c r="E68" s="12"/>
    </row>
    <row r="69" spans="1:7" x14ac:dyDescent="0.2">
      <c r="C69" s="5"/>
      <c r="D69" s="12"/>
      <c r="E69" s="12"/>
    </row>
    <row r="70" spans="1:7" x14ac:dyDescent="0.2">
      <c r="C70" s="5"/>
      <c r="D70" s="12"/>
      <c r="E70" s="12"/>
    </row>
    <row r="71" spans="1:7" x14ac:dyDescent="0.2">
      <c r="C71" s="5"/>
      <c r="D71" s="12"/>
      <c r="E71" s="12"/>
    </row>
    <row r="72" spans="1:7" x14ac:dyDescent="0.2">
      <c r="B72" s="11" t="s">
        <v>31</v>
      </c>
      <c r="C72" s="5"/>
      <c r="D72" s="12"/>
      <c r="E72" s="12"/>
    </row>
    <row r="73" spans="1:7" x14ac:dyDescent="0.2">
      <c r="A73" s="4">
        <v>1</v>
      </c>
      <c r="B73" s="4">
        <v>0</v>
      </c>
      <c r="C73" s="5"/>
      <c r="D73" s="4" t="s">
        <v>7</v>
      </c>
      <c r="E73" s="12"/>
      <c r="G73" s="4" t="s">
        <v>32</v>
      </c>
    </row>
    <row r="74" spans="1:7" x14ac:dyDescent="0.2">
      <c r="A74" s="4">
        <v>2</v>
      </c>
      <c r="B74" s="4">
        <v>1</v>
      </c>
      <c r="C74" s="5" t="s">
        <v>33</v>
      </c>
      <c r="D74" s="6">
        <v>1</v>
      </c>
      <c r="E74" s="12"/>
      <c r="G74" s="6">
        <v>1</v>
      </c>
    </row>
    <row r="75" spans="1:7" x14ac:dyDescent="0.2">
      <c r="A75" s="4">
        <v>3</v>
      </c>
      <c r="B75" s="4">
        <v>2</v>
      </c>
      <c r="C75" s="13" t="s">
        <v>34</v>
      </c>
      <c r="D75" s="14">
        <f>+D74-1</f>
        <v>0</v>
      </c>
      <c r="E75" s="12"/>
    </row>
    <row r="76" spans="1:7" x14ac:dyDescent="0.2">
      <c r="A76" s="4">
        <v>4</v>
      </c>
      <c r="B76" s="4">
        <v>3</v>
      </c>
      <c r="C76" s="5"/>
      <c r="D76" s="12"/>
      <c r="E76" s="12"/>
    </row>
    <row r="77" spans="1:7" x14ac:dyDescent="0.2">
      <c r="C77" s="5"/>
      <c r="D77" s="12"/>
      <c r="E77" s="12"/>
    </row>
    <row r="78" spans="1:7" x14ac:dyDescent="0.2">
      <c r="C78" s="5"/>
      <c r="D78" s="12"/>
      <c r="E78" s="12"/>
    </row>
    <row r="79" spans="1:7" x14ac:dyDescent="0.2">
      <c r="A79" s="15" t="s">
        <v>35</v>
      </c>
      <c r="E79" s="11"/>
    </row>
    <row r="80" spans="1:7" x14ac:dyDescent="0.2">
      <c r="A80" s="4">
        <v>1</v>
      </c>
      <c r="B80" s="16">
        <f>+Inflation!F8-8</f>
        <v>2017</v>
      </c>
      <c r="C80" s="11" t="s">
        <v>36</v>
      </c>
      <c r="G80" s="17" t="s">
        <v>37</v>
      </c>
    </row>
    <row r="81" spans="1:11" x14ac:dyDescent="0.2">
      <c r="A81" s="4">
        <v>2</v>
      </c>
      <c r="B81" s="4">
        <f t="shared" ref="B81:B144" si="0">+B80+1</f>
        <v>2018</v>
      </c>
      <c r="C81" s="4" t="s">
        <v>38</v>
      </c>
      <c r="D81" s="4" t="s">
        <v>7</v>
      </c>
      <c r="G81" s="18" t="s">
        <v>39</v>
      </c>
      <c r="H81" s="19" t="s">
        <v>40</v>
      </c>
      <c r="I81" s="19" t="s">
        <v>41</v>
      </c>
      <c r="J81" s="19" t="s">
        <v>42</v>
      </c>
      <c r="K81" s="19" t="s">
        <v>43</v>
      </c>
    </row>
    <row r="82" spans="1:11" x14ac:dyDescent="0.2">
      <c r="A82" s="4">
        <v>3</v>
      </c>
      <c r="B82" s="4">
        <f t="shared" si="0"/>
        <v>2019</v>
      </c>
      <c r="C82" s="5" t="s">
        <v>44</v>
      </c>
      <c r="D82" s="580">
        <f>D83+5</f>
        <v>8</v>
      </c>
      <c r="E82" s="20">
        <f>VLOOKUP(D82,A80:B147,2)</f>
        <v>2024</v>
      </c>
      <c r="G82" s="4">
        <v>1</v>
      </c>
      <c r="H82" s="4">
        <f>+E90-8</f>
        <v>2004</v>
      </c>
      <c r="I82" s="20" t="str">
        <f t="shared" ref="I82:I131" si="1">IF(OR(H82&lt;$E$88-8,H82&gt;$E$88+8),"",VLOOKUP(H82,$J$82:$K$123,2))</f>
        <v/>
      </c>
      <c r="J82" s="4">
        <f>+E88-8</f>
        <v>2017</v>
      </c>
      <c r="K82" s="4">
        <v>1</v>
      </c>
    </row>
    <row r="83" spans="1:11" x14ac:dyDescent="0.2">
      <c r="A83" s="4">
        <v>4</v>
      </c>
      <c r="B83" s="4">
        <f t="shared" si="0"/>
        <v>2020</v>
      </c>
      <c r="C83" s="5" t="s">
        <v>45</v>
      </c>
      <c r="D83" s="554">
        <v>3</v>
      </c>
      <c r="G83" s="4">
        <v>2</v>
      </c>
      <c r="H83" s="4">
        <f t="shared" ref="H83:H131" si="2">+H82+1</f>
        <v>2005</v>
      </c>
      <c r="I83" s="20" t="str">
        <f t="shared" si="1"/>
        <v/>
      </c>
      <c r="J83" s="4">
        <f t="shared" ref="J83:J131" si="3">+J82+1</f>
        <v>2018</v>
      </c>
      <c r="K83" s="4">
        <v>2</v>
      </c>
    </row>
    <row r="84" spans="1:11" x14ac:dyDescent="0.2">
      <c r="A84" s="4">
        <v>5</v>
      </c>
      <c r="B84" s="4">
        <f t="shared" si="0"/>
        <v>2021</v>
      </c>
      <c r="G84" s="4">
        <v>3</v>
      </c>
      <c r="H84" s="4">
        <f t="shared" si="2"/>
        <v>2006</v>
      </c>
      <c r="I84" s="20" t="str">
        <f t="shared" si="1"/>
        <v/>
      </c>
      <c r="J84" s="4">
        <f t="shared" si="3"/>
        <v>2019</v>
      </c>
      <c r="K84" s="4">
        <v>3</v>
      </c>
    </row>
    <row r="85" spans="1:11" x14ac:dyDescent="0.2">
      <c r="A85" s="4">
        <v>6</v>
      </c>
      <c r="B85" s="4">
        <f t="shared" si="0"/>
        <v>2022</v>
      </c>
      <c r="D85" s="4" t="s">
        <v>7</v>
      </c>
      <c r="G85" s="4">
        <v>4</v>
      </c>
      <c r="H85" s="4">
        <f t="shared" si="2"/>
        <v>2007</v>
      </c>
      <c r="I85" s="20" t="str">
        <f t="shared" si="1"/>
        <v/>
      </c>
      <c r="J85" s="4">
        <f t="shared" si="3"/>
        <v>2020</v>
      </c>
      <c r="K85" s="4">
        <v>4</v>
      </c>
    </row>
    <row r="86" spans="1:11" x14ac:dyDescent="0.2">
      <c r="A86" s="4">
        <v>7</v>
      </c>
      <c r="B86" s="4">
        <f t="shared" si="0"/>
        <v>2023</v>
      </c>
      <c r="C86" s="5" t="s">
        <v>46</v>
      </c>
      <c r="D86" s="554">
        <v>8</v>
      </c>
      <c r="E86" s="20">
        <f>VLOOKUP(D86,A82:B135,2)</f>
        <v>2024</v>
      </c>
      <c r="G86" s="4">
        <v>5</v>
      </c>
      <c r="H86" s="4">
        <f t="shared" si="2"/>
        <v>2008</v>
      </c>
      <c r="I86" s="20" t="str">
        <f t="shared" si="1"/>
        <v/>
      </c>
      <c r="J86" s="4">
        <f t="shared" si="3"/>
        <v>2021</v>
      </c>
      <c r="K86" s="4">
        <v>5</v>
      </c>
    </row>
    <row r="87" spans="1:11" x14ac:dyDescent="0.2">
      <c r="A87" s="4">
        <v>8</v>
      </c>
      <c r="B87" s="4">
        <f t="shared" si="0"/>
        <v>2024</v>
      </c>
      <c r="G87" s="4">
        <v>6</v>
      </c>
      <c r="H87" s="4">
        <f t="shared" si="2"/>
        <v>2009</v>
      </c>
      <c r="I87" s="20" t="str">
        <f t="shared" si="1"/>
        <v/>
      </c>
      <c r="J87" s="4">
        <f t="shared" si="3"/>
        <v>2022</v>
      </c>
      <c r="K87" s="4">
        <v>6</v>
      </c>
    </row>
    <row r="88" spans="1:11" x14ac:dyDescent="0.2">
      <c r="A88" s="4">
        <v>9</v>
      </c>
      <c r="B88" s="4">
        <f t="shared" si="0"/>
        <v>2025</v>
      </c>
      <c r="E88" s="21">
        <f>+Inflation!$F$8</f>
        <v>2025</v>
      </c>
      <c r="F88" s="5" t="s">
        <v>47</v>
      </c>
      <c r="G88" s="4">
        <v>7</v>
      </c>
      <c r="H88" s="4">
        <f t="shared" si="2"/>
        <v>2010</v>
      </c>
      <c r="I88" s="20" t="str">
        <f t="shared" si="1"/>
        <v/>
      </c>
      <c r="J88" s="4">
        <f t="shared" si="3"/>
        <v>2023</v>
      </c>
      <c r="K88" s="4">
        <v>7</v>
      </c>
    </row>
    <row r="89" spans="1:11" x14ac:dyDescent="0.2">
      <c r="A89" s="4">
        <v>10</v>
      </c>
      <c r="B89" s="4">
        <f t="shared" si="0"/>
        <v>2026</v>
      </c>
      <c r="F89" s="5" t="s">
        <v>48</v>
      </c>
      <c r="G89" s="4">
        <v>8</v>
      </c>
      <c r="H89" s="4">
        <f t="shared" si="2"/>
        <v>2011</v>
      </c>
      <c r="I89" s="20" t="str">
        <f t="shared" si="1"/>
        <v/>
      </c>
      <c r="J89" s="4">
        <f t="shared" si="3"/>
        <v>2024</v>
      </c>
      <c r="K89" s="4">
        <v>8</v>
      </c>
    </row>
    <row r="90" spans="1:11" x14ac:dyDescent="0.2">
      <c r="A90" s="4">
        <v>11</v>
      </c>
      <c r="B90" s="4">
        <f t="shared" si="0"/>
        <v>2027</v>
      </c>
      <c r="C90" s="5" t="s">
        <v>49</v>
      </c>
      <c r="D90" s="22" t="s">
        <v>50</v>
      </c>
      <c r="E90" s="6">
        <v>2012</v>
      </c>
      <c r="F90" s="5" t="s">
        <v>51</v>
      </c>
      <c r="G90" s="4">
        <v>9</v>
      </c>
      <c r="H90" s="4">
        <f t="shared" si="2"/>
        <v>2012</v>
      </c>
      <c r="I90" s="20" t="str">
        <f t="shared" si="1"/>
        <v/>
      </c>
      <c r="J90" s="4">
        <f t="shared" si="3"/>
        <v>2025</v>
      </c>
      <c r="K90" s="4">
        <v>9</v>
      </c>
    </row>
    <row r="91" spans="1:11" x14ac:dyDescent="0.2">
      <c r="A91" s="4">
        <v>12</v>
      </c>
      <c r="B91" s="4">
        <f t="shared" si="0"/>
        <v>2028</v>
      </c>
      <c r="C91" s="5" t="s">
        <v>52</v>
      </c>
      <c r="D91" s="6">
        <v>7</v>
      </c>
      <c r="F91" s="5" t="s">
        <v>53</v>
      </c>
      <c r="G91" s="4">
        <v>10</v>
      </c>
      <c r="H91" s="4">
        <f t="shared" si="2"/>
        <v>2013</v>
      </c>
      <c r="I91" s="20" t="str">
        <f t="shared" si="1"/>
        <v/>
      </c>
      <c r="J91" s="4">
        <f t="shared" si="3"/>
        <v>2026</v>
      </c>
      <c r="K91" s="4">
        <v>10</v>
      </c>
    </row>
    <row r="92" spans="1:11" x14ac:dyDescent="0.2">
      <c r="A92" s="4">
        <v>13</v>
      </c>
      <c r="B92" s="4">
        <f t="shared" si="0"/>
        <v>2029</v>
      </c>
      <c r="C92" s="5" t="s">
        <v>54</v>
      </c>
      <c r="D92" s="6">
        <v>9</v>
      </c>
      <c r="F92" s="5" t="s">
        <v>55</v>
      </c>
      <c r="G92" s="4">
        <v>11</v>
      </c>
      <c r="H92" s="4">
        <f t="shared" si="2"/>
        <v>2014</v>
      </c>
      <c r="I92" s="20" t="str">
        <f t="shared" si="1"/>
        <v/>
      </c>
      <c r="J92" s="4">
        <f t="shared" si="3"/>
        <v>2027</v>
      </c>
      <c r="K92" s="4">
        <v>11</v>
      </c>
    </row>
    <row r="93" spans="1:11" x14ac:dyDescent="0.2">
      <c r="A93" s="4">
        <v>14</v>
      </c>
      <c r="B93" s="4">
        <f t="shared" si="0"/>
        <v>2030</v>
      </c>
      <c r="C93" s="5" t="s">
        <v>56</v>
      </c>
      <c r="D93" s="23" t="s">
        <v>1070</v>
      </c>
      <c r="E93" s="14" t="str">
        <f>+D93</f>
        <v/>
      </c>
      <c r="F93" s="5" t="s">
        <v>57</v>
      </c>
      <c r="G93" s="4">
        <v>12</v>
      </c>
      <c r="H93" s="4">
        <f t="shared" si="2"/>
        <v>2015</v>
      </c>
      <c r="I93" s="20" t="str">
        <f t="shared" si="1"/>
        <v/>
      </c>
      <c r="J93" s="4">
        <f t="shared" si="3"/>
        <v>2028</v>
      </c>
      <c r="K93" s="4">
        <v>12</v>
      </c>
    </row>
    <row r="94" spans="1:11" x14ac:dyDescent="0.2">
      <c r="A94" s="4">
        <v>15</v>
      </c>
      <c r="B94" s="4">
        <f t="shared" si="0"/>
        <v>2031</v>
      </c>
      <c r="C94" s="5" t="s">
        <v>58</v>
      </c>
      <c r="D94" s="23">
        <v>1</v>
      </c>
      <c r="E94" s="14">
        <f>+D94</f>
        <v>1</v>
      </c>
      <c r="F94" s="5" t="s">
        <v>59</v>
      </c>
      <c r="G94" s="4">
        <v>13</v>
      </c>
      <c r="H94" s="4">
        <f t="shared" si="2"/>
        <v>2016</v>
      </c>
      <c r="I94" s="20" t="str">
        <f t="shared" si="1"/>
        <v/>
      </c>
      <c r="J94" s="4">
        <f t="shared" si="3"/>
        <v>2029</v>
      </c>
      <c r="K94" s="4">
        <v>13</v>
      </c>
    </row>
    <row r="95" spans="1:11" x14ac:dyDescent="0.2">
      <c r="A95" s="4">
        <v>16</v>
      </c>
      <c r="B95" s="4">
        <f t="shared" si="0"/>
        <v>2032</v>
      </c>
      <c r="G95" s="4">
        <v>14</v>
      </c>
      <c r="H95" s="4">
        <f t="shared" si="2"/>
        <v>2017</v>
      </c>
      <c r="I95" s="20">
        <f t="shared" si="1"/>
        <v>1</v>
      </c>
      <c r="J95" s="4">
        <f t="shared" si="3"/>
        <v>2030</v>
      </c>
      <c r="K95" s="4">
        <v>14</v>
      </c>
    </row>
    <row r="96" spans="1:11" x14ac:dyDescent="0.2">
      <c r="A96" s="4">
        <v>17</v>
      </c>
      <c r="B96" s="4">
        <f t="shared" si="0"/>
        <v>2033</v>
      </c>
      <c r="G96" s="4">
        <v>15</v>
      </c>
      <c r="H96" s="4">
        <f t="shared" si="2"/>
        <v>2018</v>
      </c>
      <c r="I96" s="20">
        <f t="shared" si="1"/>
        <v>2</v>
      </c>
      <c r="J96" s="4">
        <f t="shared" si="3"/>
        <v>2031</v>
      </c>
      <c r="K96" s="4">
        <v>15</v>
      </c>
    </row>
    <row r="97" spans="1:11" x14ac:dyDescent="0.2">
      <c r="A97" s="4">
        <v>18</v>
      </c>
      <c r="B97" s="4">
        <f t="shared" si="0"/>
        <v>2034</v>
      </c>
      <c r="G97" s="4">
        <v>16</v>
      </c>
      <c r="H97" s="4">
        <f t="shared" si="2"/>
        <v>2019</v>
      </c>
      <c r="I97" s="20">
        <f t="shared" si="1"/>
        <v>3</v>
      </c>
      <c r="J97" s="4">
        <f t="shared" si="3"/>
        <v>2032</v>
      </c>
      <c r="K97" s="4">
        <v>16</v>
      </c>
    </row>
    <row r="98" spans="1:11" x14ac:dyDescent="0.2">
      <c r="A98" s="4">
        <v>19</v>
      </c>
      <c r="B98" s="4">
        <f t="shared" si="0"/>
        <v>2035</v>
      </c>
      <c r="G98" s="4">
        <v>17</v>
      </c>
      <c r="H98" s="4">
        <f t="shared" si="2"/>
        <v>2020</v>
      </c>
      <c r="I98" s="20">
        <f t="shared" si="1"/>
        <v>4</v>
      </c>
      <c r="J98" s="4">
        <f t="shared" si="3"/>
        <v>2033</v>
      </c>
      <c r="K98" s="4">
        <v>17</v>
      </c>
    </row>
    <row r="99" spans="1:11" x14ac:dyDescent="0.2">
      <c r="A99" s="4">
        <v>20</v>
      </c>
      <c r="B99" s="4">
        <f t="shared" si="0"/>
        <v>2036</v>
      </c>
      <c r="G99" s="4">
        <v>18</v>
      </c>
      <c r="H99" s="4">
        <f t="shared" si="2"/>
        <v>2021</v>
      </c>
      <c r="I99" s="20">
        <f t="shared" si="1"/>
        <v>5</v>
      </c>
      <c r="J99" s="4">
        <f t="shared" si="3"/>
        <v>2034</v>
      </c>
      <c r="K99" s="4">
        <v>18</v>
      </c>
    </row>
    <row r="100" spans="1:11" x14ac:dyDescent="0.2">
      <c r="A100" s="4">
        <v>21</v>
      </c>
      <c r="B100" s="4">
        <f t="shared" si="0"/>
        <v>2037</v>
      </c>
      <c r="G100" s="4">
        <v>19</v>
      </c>
      <c r="H100" s="4">
        <f t="shared" si="2"/>
        <v>2022</v>
      </c>
      <c r="I100" s="20">
        <f t="shared" si="1"/>
        <v>6</v>
      </c>
      <c r="J100" s="4">
        <f t="shared" si="3"/>
        <v>2035</v>
      </c>
      <c r="K100" s="4">
        <v>19</v>
      </c>
    </row>
    <row r="101" spans="1:11" x14ac:dyDescent="0.2">
      <c r="A101" s="4">
        <v>22</v>
      </c>
      <c r="B101" s="4">
        <f t="shared" si="0"/>
        <v>2038</v>
      </c>
      <c r="G101" s="4">
        <v>20</v>
      </c>
      <c r="H101" s="4">
        <f t="shared" si="2"/>
        <v>2023</v>
      </c>
      <c r="I101" s="20">
        <f t="shared" si="1"/>
        <v>7</v>
      </c>
      <c r="J101" s="4">
        <f t="shared" si="3"/>
        <v>2036</v>
      </c>
      <c r="K101" s="4">
        <v>20</v>
      </c>
    </row>
    <row r="102" spans="1:11" x14ac:dyDescent="0.2">
      <c r="A102" s="4">
        <v>23</v>
      </c>
      <c r="B102" s="4">
        <f t="shared" si="0"/>
        <v>2039</v>
      </c>
      <c r="G102" s="4">
        <v>21</v>
      </c>
      <c r="H102" s="4">
        <f t="shared" si="2"/>
        <v>2024</v>
      </c>
      <c r="I102" s="20">
        <f t="shared" si="1"/>
        <v>8</v>
      </c>
      <c r="J102" s="4">
        <f t="shared" si="3"/>
        <v>2037</v>
      </c>
      <c r="K102" s="4">
        <v>21</v>
      </c>
    </row>
    <row r="103" spans="1:11" x14ac:dyDescent="0.2">
      <c r="A103" s="4">
        <v>24</v>
      </c>
      <c r="B103" s="4">
        <f t="shared" si="0"/>
        <v>2040</v>
      </c>
      <c r="G103" s="4">
        <v>22</v>
      </c>
      <c r="H103" s="4">
        <f t="shared" si="2"/>
        <v>2025</v>
      </c>
      <c r="I103" s="20">
        <f t="shared" si="1"/>
        <v>9</v>
      </c>
      <c r="J103" s="4">
        <f t="shared" si="3"/>
        <v>2038</v>
      </c>
      <c r="K103" s="4">
        <v>22</v>
      </c>
    </row>
    <row r="104" spans="1:11" x14ac:dyDescent="0.2">
      <c r="A104" s="4">
        <v>25</v>
      </c>
      <c r="B104" s="4">
        <f t="shared" si="0"/>
        <v>2041</v>
      </c>
      <c r="G104" s="4">
        <v>23</v>
      </c>
      <c r="H104" s="4">
        <f t="shared" si="2"/>
        <v>2026</v>
      </c>
      <c r="I104" s="20">
        <f t="shared" si="1"/>
        <v>10</v>
      </c>
      <c r="J104" s="4">
        <f t="shared" si="3"/>
        <v>2039</v>
      </c>
      <c r="K104" s="4">
        <v>23</v>
      </c>
    </row>
    <row r="105" spans="1:11" x14ac:dyDescent="0.2">
      <c r="A105" s="4">
        <v>26</v>
      </c>
      <c r="B105" s="4">
        <f t="shared" si="0"/>
        <v>2042</v>
      </c>
      <c r="G105" s="4">
        <v>24</v>
      </c>
      <c r="H105" s="4">
        <f t="shared" si="2"/>
        <v>2027</v>
      </c>
      <c r="I105" s="20">
        <f t="shared" si="1"/>
        <v>11</v>
      </c>
      <c r="J105" s="4">
        <f t="shared" si="3"/>
        <v>2040</v>
      </c>
      <c r="K105" s="4">
        <v>24</v>
      </c>
    </row>
    <row r="106" spans="1:11" x14ac:dyDescent="0.2">
      <c r="A106" s="4">
        <v>27</v>
      </c>
      <c r="B106" s="4">
        <f t="shared" si="0"/>
        <v>2043</v>
      </c>
      <c r="G106" s="4">
        <v>25</v>
      </c>
      <c r="H106" s="4">
        <f t="shared" si="2"/>
        <v>2028</v>
      </c>
      <c r="I106" s="20">
        <f t="shared" si="1"/>
        <v>12</v>
      </c>
      <c r="J106" s="4">
        <f t="shared" si="3"/>
        <v>2041</v>
      </c>
      <c r="K106" s="4">
        <v>25</v>
      </c>
    </row>
    <row r="107" spans="1:11" x14ac:dyDescent="0.2">
      <c r="A107" s="4">
        <v>28</v>
      </c>
      <c r="B107" s="4">
        <f t="shared" si="0"/>
        <v>2044</v>
      </c>
      <c r="G107" s="4">
        <v>26</v>
      </c>
      <c r="H107" s="4">
        <f t="shared" si="2"/>
        <v>2029</v>
      </c>
      <c r="I107" s="20">
        <f t="shared" si="1"/>
        <v>13</v>
      </c>
      <c r="J107" s="4">
        <f t="shared" si="3"/>
        <v>2042</v>
      </c>
      <c r="K107" s="4">
        <v>26</v>
      </c>
    </row>
    <row r="108" spans="1:11" x14ac:dyDescent="0.2">
      <c r="A108" s="4">
        <v>29</v>
      </c>
      <c r="B108" s="4">
        <f t="shared" si="0"/>
        <v>2045</v>
      </c>
      <c r="G108" s="4">
        <v>27</v>
      </c>
      <c r="H108" s="4">
        <f t="shared" si="2"/>
        <v>2030</v>
      </c>
      <c r="I108" s="20">
        <f t="shared" si="1"/>
        <v>14</v>
      </c>
      <c r="J108" s="4">
        <f t="shared" si="3"/>
        <v>2043</v>
      </c>
      <c r="K108" s="4">
        <v>27</v>
      </c>
    </row>
    <row r="109" spans="1:11" x14ac:dyDescent="0.2">
      <c r="A109" s="4">
        <v>30</v>
      </c>
      <c r="B109" s="4">
        <f t="shared" si="0"/>
        <v>2046</v>
      </c>
      <c r="G109" s="4">
        <v>28</v>
      </c>
      <c r="H109" s="4">
        <f t="shared" si="2"/>
        <v>2031</v>
      </c>
      <c r="I109" s="20">
        <f t="shared" si="1"/>
        <v>15</v>
      </c>
      <c r="J109" s="4">
        <f t="shared" si="3"/>
        <v>2044</v>
      </c>
      <c r="K109" s="4">
        <v>28</v>
      </c>
    </row>
    <row r="110" spans="1:11" x14ac:dyDescent="0.2">
      <c r="A110" s="4">
        <v>31</v>
      </c>
      <c r="B110" s="4">
        <f t="shared" si="0"/>
        <v>2047</v>
      </c>
      <c r="G110" s="4">
        <v>29</v>
      </c>
      <c r="H110" s="4">
        <f t="shared" si="2"/>
        <v>2032</v>
      </c>
      <c r="I110" s="20">
        <f t="shared" si="1"/>
        <v>16</v>
      </c>
      <c r="J110" s="4">
        <f t="shared" si="3"/>
        <v>2045</v>
      </c>
      <c r="K110" s="4">
        <v>29</v>
      </c>
    </row>
    <row r="111" spans="1:11" x14ac:dyDescent="0.2">
      <c r="A111" s="4">
        <v>32</v>
      </c>
      <c r="B111" s="4">
        <f t="shared" si="0"/>
        <v>2048</v>
      </c>
      <c r="G111" s="4">
        <v>30</v>
      </c>
      <c r="H111" s="4">
        <f t="shared" si="2"/>
        <v>2033</v>
      </c>
      <c r="I111" s="20">
        <f t="shared" si="1"/>
        <v>17</v>
      </c>
      <c r="J111" s="4">
        <f t="shared" si="3"/>
        <v>2046</v>
      </c>
      <c r="K111" s="4">
        <v>30</v>
      </c>
    </row>
    <row r="112" spans="1:11" x14ac:dyDescent="0.2">
      <c r="A112" s="4">
        <v>33</v>
      </c>
      <c r="B112" s="4">
        <f t="shared" si="0"/>
        <v>2049</v>
      </c>
      <c r="G112" s="4">
        <v>31</v>
      </c>
      <c r="H112" s="4">
        <f t="shared" si="2"/>
        <v>2034</v>
      </c>
      <c r="I112" s="20" t="str">
        <f t="shared" si="1"/>
        <v/>
      </c>
      <c r="J112" s="4">
        <f t="shared" si="3"/>
        <v>2047</v>
      </c>
      <c r="K112" s="4">
        <v>31</v>
      </c>
    </row>
    <row r="113" spans="1:11" x14ac:dyDescent="0.2">
      <c r="A113" s="4">
        <v>34</v>
      </c>
      <c r="B113" s="4">
        <f t="shared" si="0"/>
        <v>2050</v>
      </c>
      <c r="G113" s="4">
        <v>32</v>
      </c>
      <c r="H113" s="4">
        <f t="shared" si="2"/>
        <v>2035</v>
      </c>
      <c r="I113" s="20" t="str">
        <f t="shared" si="1"/>
        <v/>
      </c>
      <c r="J113" s="4">
        <f t="shared" si="3"/>
        <v>2048</v>
      </c>
      <c r="K113" s="4">
        <v>32</v>
      </c>
    </row>
    <row r="114" spans="1:11" x14ac:dyDescent="0.2">
      <c r="A114" s="4">
        <v>35</v>
      </c>
      <c r="B114" s="4">
        <f t="shared" si="0"/>
        <v>2051</v>
      </c>
      <c r="G114" s="4">
        <v>33</v>
      </c>
      <c r="H114" s="4">
        <f t="shared" si="2"/>
        <v>2036</v>
      </c>
      <c r="I114" s="20" t="str">
        <f t="shared" si="1"/>
        <v/>
      </c>
      <c r="J114" s="4">
        <f t="shared" si="3"/>
        <v>2049</v>
      </c>
      <c r="K114" s="4">
        <v>33</v>
      </c>
    </row>
    <row r="115" spans="1:11" x14ac:dyDescent="0.2">
      <c r="A115" s="4">
        <v>36</v>
      </c>
      <c r="B115" s="4">
        <f t="shared" si="0"/>
        <v>2052</v>
      </c>
      <c r="G115" s="4">
        <v>34</v>
      </c>
      <c r="H115" s="4">
        <f t="shared" si="2"/>
        <v>2037</v>
      </c>
      <c r="I115" s="20" t="str">
        <f t="shared" si="1"/>
        <v/>
      </c>
      <c r="J115" s="4">
        <f t="shared" si="3"/>
        <v>2050</v>
      </c>
      <c r="K115" s="4">
        <v>34</v>
      </c>
    </row>
    <row r="116" spans="1:11" x14ac:dyDescent="0.2">
      <c r="A116" s="4">
        <v>37</v>
      </c>
      <c r="B116" s="4">
        <f t="shared" si="0"/>
        <v>2053</v>
      </c>
      <c r="G116" s="4">
        <v>35</v>
      </c>
      <c r="H116" s="4">
        <f t="shared" si="2"/>
        <v>2038</v>
      </c>
      <c r="I116" s="20" t="str">
        <f t="shared" si="1"/>
        <v/>
      </c>
      <c r="J116" s="4">
        <f t="shared" si="3"/>
        <v>2051</v>
      </c>
      <c r="K116" s="4">
        <v>35</v>
      </c>
    </row>
    <row r="117" spans="1:11" x14ac:dyDescent="0.2">
      <c r="A117" s="4">
        <v>38</v>
      </c>
      <c r="B117" s="4">
        <f t="shared" si="0"/>
        <v>2054</v>
      </c>
      <c r="G117" s="4">
        <v>36</v>
      </c>
      <c r="H117" s="4">
        <f t="shared" si="2"/>
        <v>2039</v>
      </c>
      <c r="I117" s="20" t="str">
        <f t="shared" si="1"/>
        <v/>
      </c>
      <c r="J117" s="4">
        <f t="shared" si="3"/>
        <v>2052</v>
      </c>
      <c r="K117" s="4">
        <v>36</v>
      </c>
    </row>
    <row r="118" spans="1:11" x14ac:dyDescent="0.2">
      <c r="A118" s="4">
        <v>39</v>
      </c>
      <c r="B118" s="4">
        <f t="shared" si="0"/>
        <v>2055</v>
      </c>
      <c r="G118" s="4">
        <v>37</v>
      </c>
      <c r="H118" s="4">
        <f t="shared" si="2"/>
        <v>2040</v>
      </c>
      <c r="I118" s="20" t="str">
        <f t="shared" si="1"/>
        <v/>
      </c>
      <c r="J118" s="4">
        <f t="shared" si="3"/>
        <v>2053</v>
      </c>
      <c r="K118" s="4">
        <v>37</v>
      </c>
    </row>
    <row r="119" spans="1:11" x14ac:dyDescent="0.2">
      <c r="A119" s="4">
        <v>40</v>
      </c>
      <c r="B119" s="4">
        <f t="shared" si="0"/>
        <v>2056</v>
      </c>
      <c r="G119" s="4">
        <v>38</v>
      </c>
      <c r="H119" s="4">
        <f t="shared" si="2"/>
        <v>2041</v>
      </c>
      <c r="I119" s="20" t="str">
        <f t="shared" si="1"/>
        <v/>
      </c>
      <c r="J119" s="4">
        <f t="shared" si="3"/>
        <v>2054</v>
      </c>
      <c r="K119" s="4">
        <v>38</v>
      </c>
    </row>
    <row r="120" spans="1:11" x14ac:dyDescent="0.2">
      <c r="A120" s="4">
        <v>41</v>
      </c>
      <c r="B120" s="4">
        <f t="shared" si="0"/>
        <v>2057</v>
      </c>
      <c r="G120" s="4">
        <v>39</v>
      </c>
      <c r="H120" s="4">
        <f t="shared" si="2"/>
        <v>2042</v>
      </c>
      <c r="I120" s="20" t="str">
        <f t="shared" si="1"/>
        <v/>
      </c>
      <c r="J120" s="4">
        <f t="shared" si="3"/>
        <v>2055</v>
      </c>
      <c r="K120" s="4">
        <v>39</v>
      </c>
    </row>
    <row r="121" spans="1:11" x14ac:dyDescent="0.2">
      <c r="A121" s="4">
        <v>42</v>
      </c>
      <c r="B121" s="4">
        <f t="shared" si="0"/>
        <v>2058</v>
      </c>
      <c r="G121" s="4">
        <v>40</v>
      </c>
      <c r="H121" s="4">
        <f t="shared" si="2"/>
        <v>2043</v>
      </c>
      <c r="I121" s="20" t="str">
        <f t="shared" si="1"/>
        <v/>
      </c>
      <c r="J121" s="4">
        <f t="shared" si="3"/>
        <v>2056</v>
      </c>
      <c r="K121" s="4">
        <v>40</v>
      </c>
    </row>
    <row r="122" spans="1:11" x14ac:dyDescent="0.2">
      <c r="A122" s="4">
        <v>43</v>
      </c>
      <c r="B122" s="4">
        <f t="shared" si="0"/>
        <v>2059</v>
      </c>
      <c r="G122" s="4">
        <v>41</v>
      </c>
      <c r="H122" s="4">
        <f t="shared" si="2"/>
        <v>2044</v>
      </c>
      <c r="I122" s="20" t="str">
        <f t="shared" si="1"/>
        <v/>
      </c>
      <c r="J122" s="4">
        <f t="shared" si="3"/>
        <v>2057</v>
      </c>
      <c r="K122" s="4">
        <v>41</v>
      </c>
    </row>
    <row r="123" spans="1:11" x14ac:dyDescent="0.2">
      <c r="A123" s="4">
        <v>44</v>
      </c>
      <c r="B123" s="4">
        <f t="shared" si="0"/>
        <v>2060</v>
      </c>
      <c r="G123" s="4">
        <v>42</v>
      </c>
      <c r="H123" s="4">
        <f t="shared" si="2"/>
        <v>2045</v>
      </c>
      <c r="I123" s="20" t="str">
        <f t="shared" si="1"/>
        <v/>
      </c>
      <c r="J123" s="4">
        <f t="shared" si="3"/>
        <v>2058</v>
      </c>
      <c r="K123" s="4">
        <v>42</v>
      </c>
    </row>
    <row r="124" spans="1:11" x14ac:dyDescent="0.2">
      <c r="A124" s="4">
        <v>45</v>
      </c>
      <c r="B124" s="4">
        <f t="shared" si="0"/>
        <v>2061</v>
      </c>
      <c r="G124" s="4">
        <v>43</v>
      </c>
      <c r="H124" s="4">
        <f t="shared" si="2"/>
        <v>2046</v>
      </c>
      <c r="I124" s="4" t="str">
        <f t="shared" si="1"/>
        <v/>
      </c>
      <c r="J124" s="4">
        <f t="shared" si="3"/>
        <v>2059</v>
      </c>
      <c r="K124" s="4">
        <v>43</v>
      </c>
    </row>
    <row r="125" spans="1:11" x14ac:dyDescent="0.2">
      <c r="A125" s="4">
        <v>46</v>
      </c>
      <c r="B125" s="4">
        <f t="shared" si="0"/>
        <v>2062</v>
      </c>
      <c r="G125" s="4">
        <v>44</v>
      </c>
      <c r="H125" s="4">
        <f t="shared" si="2"/>
        <v>2047</v>
      </c>
      <c r="I125" s="4" t="str">
        <f t="shared" si="1"/>
        <v/>
      </c>
      <c r="J125" s="4">
        <f t="shared" si="3"/>
        <v>2060</v>
      </c>
      <c r="K125" s="4">
        <v>44</v>
      </c>
    </row>
    <row r="126" spans="1:11" x14ac:dyDescent="0.2">
      <c r="A126" s="4">
        <v>47</v>
      </c>
      <c r="B126" s="4">
        <f t="shared" si="0"/>
        <v>2063</v>
      </c>
      <c r="G126" s="4">
        <v>45</v>
      </c>
      <c r="H126" s="4">
        <f t="shared" si="2"/>
        <v>2048</v>
      </c>
      <c r="I126" s="4" t="str">
        <f t="shared" si="1"/>
        <v/>
      </c>
      <c r="J126" s="4">
        <f t="shared" si="3"/>
        <v>2061</v>
      </c>
      <c r="K126" s="4">
        <v>45</v>
      </c>
    </row>
    <row r="127" spans="1:11" x14ac:dyDescent="0.2">
      <c r="A127" s="4">
        <v>48</v>
      </c>
      <c r="B127" s="4">
        <f t="shared" si="0"/>
        <v>2064</v>
      </c>
      <c r="G127" s="4">
        <v>46</v>
      </c>
      <c r="H127" s="4">
        <f t="shared" si="2"/>
        <v>2049</v>
      </c>
      <c r="I127" s="4" t="str">
        <f t="shared" si="1"/>
        <v/>
      </c>
      <c r="J127" s="4">
        <f t="shared" si="3"/>
        <v>2062</v>
      </c>
      <c r="K127" s="4">
        <v>46</v>
      </c>
    </row>
    <row r="128" spans="1:11" x14ac:dyDescent="0.2">
      <c r="A128" s="4">
        <v>49</v>
      </c>
      <c r="B128" s="4">
        <f t="shared" si="0"/>
        <v>2065</v>
      </c>
      <c r="G128" s="4">
        <v>47</v>
      </c>
      <c r="H128" s="4">
        <f t="shared" si="2"/>
        <v>2050</v>
      </c>
      <c r="I128" s="4" t="str">
        <f t="shared" si="1"/>
        <v/>
      </c>
      <c r="J128" s="4">
        <f t="shared" si="3"/>
        <v>2063</v>
      </c>
      <c r="K128" s="4">
        <v>47</v>
      </c>
    </row>
    <row r="129" spans="1:11" x14ac:dyDescent="0.2">
      <c r="A129" s="4">
        <v>50</v>
      </c>
      <c r="B129" s="4">
        <f t="shared" si="0"/>
        <v>2066</v>
      </c>
      <c r="G129" s="4">
        <v>48</v>
      </c>
      <c r="H129" s="4">
        <f t="shared" si="2"/>
        <v>2051</v>
      </c>
      <c r="I129" s="4" t="str">
        <f t="shared" si="1"/>
        <v/>
      </c>
      <c r="J129" s="4">
        <f t="shared" si="3"/>
        <v>2064</v>
      </c>
      <c r="K129" s="4">
        <v>48</v>
      </c>
    </row>
    <row r="130" spans="1:11" x14ac:dyDescent="0.2">
      <c r="A130" s="4">
        <v>51</v>
      </c>
      <c r="B130" s="4">
        <f t="shared" si="0"/>
        <v>2067</v>
      </c>
      <c r="G130" s="4">
        <v>49</v>
      </c>
      <c r="H130" s="4">
        <f t="shared" si="2"/>
        <v>2052</v>
      </c>
      <c r="I130" s="4" t="str">
        <f t="shared" si="1"/>
        <v/>
      </c>
      <c r="J130" s="4">
        <f t="shared" si="3"/>
        <v>2065</v>
      </c>
      <c r="K130" s="4">
        <v>49</v>
      </c>
    </row>
    <row r="131" spans="1:11" x14ac:dyDescent="0.2">
      <c r="A131" s="4">
        <v>52</v>
      </c>
      <c r="B131" s="4">
        <f t="shared" si="0"/>
        <v>2068</v>
      </c>
      <c r="G131" s="4">
        <v>50</v>
      </c>
      <c r="H131" s="4">
        <f t="shared" si="2"/>
        <v>2053</v>
      </c>
      <c r="I131" s="4" t="str">
        <f t="shared" si="1"/>
        <v/>
      </c>
      <c r="J131" s="4">
        <f t="shared" si="3"/>
        <v>2066</v>
      </c>
      <c r="K131" s="4">
        <v>50</v>
      </c>
    </row>
    <row r="132" spans="1:11" x14ac:dyDescent="0.2">
      <c r="A132" s="4">
        <v>53</v>
      </c>
      <c r="B132" s="4">
        <f t="shared" si="0"/>
        <v>2069</v>
      </c>
    </row>
    <row r="133" spans="1:11" x14ac:dyDescent="0.2">
      <c r="A133" s="4">
        <v>54</v>
      </c>
      <c r="B133" s="4">
        <f t="shared" si="0"/>
        <v>2070</v>
      </c>
    </row>
    <row r="134" spans="1:11" x14ac:dyDescent="0.2">
      <c r="A134" s="4">
        <v>55</v>
      </c>
      <c r="B134" s="4">
        <f t="shared" si="0"/>
        <v>2071</v>
      </c>
    </row>
    <row r="135" spans="1:11" x14ac:dyDescent="0.2">
      <c r="A135" s="4">
        <v>56</v>
      </c>
      <c r="B135" s="4">
        <f t="shared" si="0"/>
        <v>2072</v>
      </c>
    </row>
    <row r="136" spans="1:11" x14ac:dyDescent="0.2">
      <c r="A136" s="4">
        <v>57</v>
      </c>
      <c r="B136" s="4">
        <f t="shared" si="0"/>
        <v>2073</v>
      </c>
    </row>
    <row r="137" spans="1:11" x14ac:dyDescent="0.2">
      <c r="A137" s="4">
        <v>58</v>
      </c>
      <c r="B137" s="4">
        <f t="shared" si="0"/>
        <v>2074</v>
      </c>
    </row>
    <row r="138" spans="1:11" x14ac:dyDescent="0.2">
      <c r="A138" s="4">
        <v>59</v>
      </c>
      <c r="B138" s="4">
        <f t="shared" si="0"/>
        <v>2075</v>
      </c>
    </row>
    <row r="139" spans="1:11" x14ac:dyDescent="0.2">
      <c r="A139" s="4">
        <v>60</v>
      </c>
      <c r="B139" s="4">
        <f t="shared" si="0"/>
        <v>2076</v>
      </c>
    </row>
    <row r="140" spans="1:11" x14ac:dyDescent="0.2">
      <c r="A140" s="4">
        <v>61</v>
      </c>
      <c r="B140" s="4">
        <f t="shared" si="0"/>
        <v>2077</v>
      </c>
    </row>
    <row r="141" spans="1:11" x14ac:dyDescent="0.2">
      <c r="A141" s="4">
        <v>62</v>
      </c>
      <c r="B141" s="4">
        <f t="shared" si="0"/>
        <v>2078</v>
      </c>
    </row>
    <row r="142" spans="1:11" x14ac:dyDescent="0.2">
      <c r="A142" s="4">
        <v>63</v>
      </c>
      <c r="B142" s="4">
        <f t="shared" si="0"/>
        <v>2079</v>
      </c>
    </row>
    <row r="143" spans="1:11" x14ac:dyDescent="0.2">
      <c r="A143" s="4">
        <v>64</v>
      </c>
      <c r="B143" s="4">
        <f t="shared" si="0"/>
        <v>2080</v>
      </c>
    </row>
    <row r="144" spans="1:11" x14ac:dyDescent="0.2">
      <c r="A144" s="4">
        <v>65</v>
      </c>
      <c r="B144" s="4">
        <f t="shared" si="0"/>
        <v>2081</v>
      </c>
    </row>
    <row r="145" spans="1:8" x14ac:dyDescent="0.2">
      <c r="A145" s="4">
        <v>66</v>
      </c>
      <c r="B145" s="4">
        <f t="shared" ref="B145:B147" si="4">+B144+1</f>
        <v>2082</v>
      </c>
    </row>
    <row r="146" spans="1:8" x14ac:dyDescent="0.2">
      <c r="A146" s="4">
        <v>67</v>
      </c>
      <c r="B146" s="4">
        <f t="shared" si="4"/>
        <v>2083</v>
      </c>
      <c r="C146" s="11" t="s">
        <v>60</v>
      </c>
    </row>
    <row r="147" spans="1:8" x14ac:dyDescent="0.2">
      <c r="A147" s="4">
        <v>68</v>
      </c>
      <c r="B147" s="4">
        <f t="shared" si="4"/>
        <v>2084</v>
      </c>
      <c r="C147" s="4" t="s">
        <v>61</v>
      </c>
      <c r="D147" s="4" t="s">
        <v>7</v>
      </c>
      <c r="G147" s="4" t="s">
        <v>8</v>
      </c>
    </row>
    <row r="148" spans="1:8" x14ac:dyDescent="0.2">
      <c r="A148" s="4">
        <v>1</v>
      </c>
      <c r="B148" s="4">
        <v>1</v>
      </c>
      <c r="C148" s="5" t="s">
        <v>62</v>
      </c>
      <c r="D148" s="554">
        <v>1</v>
      </c>
      <c r="G148" s="554">
        <f>D148</f>
        <v>1</v>
      </c>
    </row>
    <row r="149" spans="1:8" x14ac:dyDescent="0.2">
      <c r="A149" s="4">
        <v>2</v>
      </c>
      <c r="B149" s="4">
        <v>2</v>
      </c>
      <c r="E149" s="20"/>
      <c r="F149" s="20"/>
      <c r="G149" s="20"/>
    </row>
    <row r="150" spans="1:8" x14ac:dyDescent="0.2">
      <c r="A150" s="4">
        <v>3</v>
      </c>
      <c r="B150" s="4">
        <v>3</v>
      </c>
    </row>
    <row r="151" spans="1:8" x14ac:dyDescent="0.2">
      <c r="A151" s="4">
        <v>4</v>
      </c>
      <c r="B151" s="4">
        <v>4</v>
      </c>
      <c r="D151" s="4" t="s">
        <v>7</v>
      </c>
    </row>
    <row r="152" spans="1:8" x14ac:dyDescent="0.2">
      <c r="A152" s="4">
        <v>5</v>
      </c>
      <c r="B152" s="4">
        <v>5</v>
      </c>
      <c r="C152" s="5" t="s">
        <v>63</v>
      </c>
      <c r="D152" s="554">
        <v>10</v>
      </c>
      <c r="E152" s="4" t="s">
        <v>50</v>
      </c>
    </row>
    <row r="153" spans="1:8" x14ac:dyDescent="0.2">
      <c r="A153" s="4">
        <v>6</v>
      </c>
      <c r="B153" s="4">
        <v>6</v>
      </c>
      <c r="C153" s="5" t="s">
        <v>64</v>
      </c>
      <c r="D153" s="554">
        <v>10</v>
      </c>
      <c r="E153" s="4" t="s">
        <v>121</v>
      </c>
    </row>
    <row r="154" spans="1:8" x14ac:dyDescent="0.2">
      <c r="A154" s="4">
        <v>7</v>
      </c>
      <c r="B154" s="4">
        <v>7</v>
      </c>
      <c r="C154" s="5" t="s">
        <v>65</v>
      </c>
      <c r="D154" s="554">
        <v>10</v>
      </c>
    </row>
    <row r="155" spans="1:8" x14ac:dyDescent="0.2">
      <c r="A155" s="4">
        <v>8</v>
      </c>
      <c r="B155" s="4">
        <v>8</v>
      </c>
      <c r="C155" s="5" t="s">
        <v>66</v>
      </c>
      <c r="D155" s="554">
        <v>10</v>
      </c>
    </row>
    <row r="156" spans="1:8" x14ac:dyDescent="0.2">
      <c r="A156" s="4">
        <v>9</v>
      </c>
      <c r="B156" s="4">
        <v>9</v>
      </c>
      <c r="C156" s="5" t="s">
        <v>67</v>
      </c>
      <c r="D156" s="554">
        <v>10</v>
      </c>
    </row>
    <row r="157" spans="1:8" x14ac:dyDescent="0.2">
      <c r="A157" s="4">
        <v>10</v>
      </c>
      <c r="B157" s="4">
        <v>10</v>
      </c>
    </row>
    <row r="158" spans="1:8" x14ac:dyDescent="0.2">
      <c r="A158" s="4">
        <v>11</v>
      </c>
      <c r="B158" s="4">
        <v>11</v>
      </c>
    </row>
    <row r="159" spans="1:8" x14ac:dyDescent="0.2">
      <c r="A159" s="4">
        <v>12</v>
      </c>
      <c r="B159" s="4">
        <v>12</v>
      </c>
      <c r="D159" s="4" t="s">
        <v>7</v>
      </c>
      <c r="F159" s="4" t="s">
        <v>68</v>
      </c>
    </row>
    <row r="160" spans="1:8" x14ac:dyDescent="0.2">
      <c r="A160" s="4">
        <v>13</v>
      </c>
      <c r="B160" s="4">
        <v>13</v>
      </c>
      <c r="C160" s="5" t="s">
        <v>69</v>
      </c>
      <c r="D160" s="6"/>
      <c r="E160" s="5" t="s">
        <v>70</v>
      </c>
      <c r="H160" s="20">
        <f>MIN(D148,(D160+9))</f>
        <v>1</v>
      </c>
    </row>
    <row r="161" spans="1:8" x14ac:dyDescent="0.2">
      <c r="A161" s="4">
        <v>14</v>
      </c>
      <c r="B161" s="4">
        <v>14</v>
      </c>
      <c r="C161" s="5" t="s">
        <v>71</v>
      </c>
      <c r="D161" s="6"/>
      <c r="E161" s="5" t="s">
        <v>72</v>
      </c>
      <c r="H161" s="20">
        <f>MIN(D148,(D161+9))</f>
        <v>1</v>
      </c>
    </row>
    <row r="162" spans="1:8" x14ac:dyDescent="0.2">
      <c r="A162" s="4">
        <v>15</v>
      </c>
      <c r="B162" s="4">
        <v>15</v>
      </c>
      <c r="C162" s="5" t="s">
        <v>73</v>
      </c>
      <c r="D162" s="6"/>
      <c r="E162" s="5" t="s">
        <v>74</v>
      </c>
      <c r="H162" s="20">
        <f>MIN(D148,(D162+9))</f>
        <v>1</v>
      </c>
    </row>
    <row r="163" spans="1:8" x14ac:dyDescent="0.2">
      <c r="A163" s="4">
        <v>16</v>
      </c>
      <c r="B163" s="4">
        <v>16</v>
      </c>
      <c r="C163" s="5" t="s">
        <v>75</v>
      </c>
      <c r="D163" s="6"/>
      <c r="E163" s="5" t="s">
        <v>74</v>
      </c>
      <c r="H163" s="20">
        <f>MIN(D149,(D163+9))</f>
        <v>9</v>
      </c>
    </row>
    <row r="164" spans="1:8" x14ac:dyDescent="0.2">
      <c r="A164" s="4">
        <v>17</v>
      </c>
      <c r="B164" s="4">
        <v>17</v>
      </c>
    </row>
    <row r="165" spans="1:8" x14ac:dyDescent="0.2">
      <c r="A165" s="4">
        <v>18</v>
      </c>
      <c r="B165" s="4">
        <v>18</v>
      </c>
    </row>
    <row r="166" spans="1:8" x14ac:dyDescent="0.2">
      <c r="A166" s="4">
        <v>19</v>
      </c>
      <c r="B166" s="4">
        <v>19</v>
      </c>
    </row>
    <row r="167" spans="1:8" x14ac:dyDescent="0.2">
      <c r="A167" s="4">
        <v>20</v>
      </c>
      <c r="B167" s="4">
        <v>20</v>
      </c>
    </row>
    <row r="168" spans="1:8" x14ac:dyDescent="0.2">
      <c r="A168" s="4">
        <v>21</v>
      </c>
      <c r="B168" s="4">
        <v>21</v>
      </c>
    </row>
    <row r="169" spans="1:8" x14ac:dyDescent="0.2">
      <c r="A169" s="4">
        <v>22</v>
      </c>
      <c r="B169" s="4">
        <v>22</v>
      </c>
    </row>
    <row r="170" spans="1:8" x14ac:dyDescent="0.2">
      <c r="A170" s="4">
        <v>23</v>
      </c>
      <c r="B170" s="4">
        <v>23</v>
      </c>
    </row>
    <row r="171" spans="1:8" x14ac:dyDescent="0.2">
      <c r="A171" s="4">
        <v>24</v>
      </c>
      <c r="B171" s="4">
        <v>24</v>
      </c>
    </row>
    <row r="172" spans="1:8" x14ac:dyDescent="0.2">
      <c r="A172" s="4">
        <v>25</v>
      </c>
      <c r="B172" s="4">
        <v>25</v>
      </c>
    </row>
    <row r="173" spans="1:8" x14ac:dyDescent="0.2">
      <c r="A173" s="4">
        <v>26</v>
      </c>
      <c r="B173" s="4">
        <v>26</v>
      </c>
    </row>
    <row r="174" spans="1:8" x14ac:dyDescent="0.2">
      <c r="A174" s="4">
        <v>27</v>
      </c>
      <c r="B174" s="4">
        <v>27</v>
      </c>
    </row>
    <row r="175" spans="1:8" x14ac:dyDescent="0.2">
      <c r="A175" s="4">
        <v>28</v>
      </c>
      <c r="B175" s="4">
        <v>28</v>
      </c>
    </row>
    <row r="176" spans="1:8" x14ac:dyDescent="0.2">
      <c r="A176" s="4">
        <v>29</v>
      </c>
      <c r="B176" s="4">
        <v>29</v>
      </c>
    </row>
    <row r="177" spans="1:7" x14ac:dyDescent="0.2">
      <c r="A177" s="4">
        <v>30</v>
      </c>
      <c r="B177" s="4">
        <v>30</v>
      </c>
    </row>
    <row r="178" spans="1:7" x14ac:dyDescent="0.2">
      <c r="A178" s="4">
        <v>31</v>
      </c>
      <c r="B178" s="4">
        <v>31</v>
      </c>
    </row>
    <row r="179" spans="1:7" x14ac:dyDescent="0.2">
      <c r="A179" s="4">
        <v>32</v>
      </c>
      <c r="B179" s="4">
        <v>32</v>
      </c>
    </row>
    <row r="180" spans="1:7" x14ac:dyDescent="0.2">
      <c r="A180" s="4">
        <v>33</v>
      </c>
      <c r="B180" s="4">
        <v>33</v>
      </c>
    </row>
    <row r="181" spans="1:7" x14ac:dyDescent="0.2">
      <c r="A181" s="4">
        <v>34</v>
      </c>
      <c r="B181" s="4">
        <v>34</v>
      </c>
    </row>
    <row r="182" spans="1:7" x14ac:dyDescent="0.2">
      <c r="A182" s="4">
        <v>35</v>
      </c>
      <c r="B182" s="4">
        <v>35</v>
      </c>
    </row>
    <row r="183" spans="1:7" x14ac:dyDescent="0.2">
      <c r="A183" s="4">
        <v>36</v>
      </c>
      <c r="B183" s="4">
        <v>36</v>
      </c>
    </row>
    <row r="184" spans="1:7" x14ac:dyDescent="0.2">
      <c r="A184" s="4">
        <v>37</v>
      </c>
      <c r="B184" s="4">
        <v>37</v>
      </c>
    </row>
    <row r="185" spans="1:7" x14ac:dyDescent="0.2">
      <c r="A185" s="4">
        <v>38</v>
      </c>
      <c r="B185" s="4">
        <v>38</v>
      </c>
    </row>
    <row r="186" spans="1:7" x14ac:dyDescent="0.2">
      <c r="A186" s="4">
        <v>39</v>
      </c>
      <c r="B186" s="4">
        <v>39</v>
      </c>
    </row>
    <row r="187" spans="1:7" x14ac:dyDescent="0.2">
      <c r="A187" s="4">
        <v>40</v>
      </c>
      <c r="B187" s="4">
        <v>40</v>
      </c>
    </row>
    <row r="188" spans="1:7" x14ac:dyDescent="0.2">
      <c r="A188" s="4">
        <v>41</v>
      </c>
      <c r="B188" s="4">
        <v>41</v>
      </c>
    </row>
    <row r="189" spans="1:7" x14ac:dyDescent="0.2">
      <c r="A189" s="4">
        <v>42</v>
      </c>
      <c r="B189" s="4">
        <v>42</v>
      </c>
    </row>
    <row r="190" spans="1:7" x14ac:dyDescent="0.2">
      <c r="A190" s="4">
        <v>43</v>
      </c>
      <c r="B190" s="4">
        <v>43</v>
      </c>
      <c r="C190" s="11" t="s">
        <v>76</v>
      </c>
    </row>
    <row r="191" spans="1:7" x14ac:dyDescent="0.2">
      <c r="A191" s="4">
        <v>44</v>
      </c>
      <c r="B191" s="4">
        <v>44</v>
      </c>
      <c r="D191" s="4" t="s">
        <v>7</v>
      </c>
      <c r="G191" s="4" t="s">
        <v>8</v>
      </c>
    </row>
    <row r="192" spans="1:7" x14ac:dyDescent="0.2">
      <c r="A192" s="4">
        <v>45</v>
      </c>
      <c r="B192" s="4">
        <v>45</v>
      </c>
      <c r="C192" s="5" t="s">
        <v>77</v>
      </c>
      <c r="D192" s="554">
        <v>1</v>
      </c>
      <c r="G192" s="554" t="b">
        <f>IF(D192=2, FALSE, TRUE)</f>
        <v>1</v>
      </c>
    </row>
    <row r="193" spans="1:7" x14ac:dyDescent="0.2">
      <c r="A193" s="4">
        <v>46</v>
      </c>
      <c r="B193" s="4">
        <v>46</v>
      </c>
      <c r="C193" s="5" t="s">
        <v>78</v>
      </c>
      <c r="D193" s="554">
        <v>2</v>
      </c>
      <c r="E193" s="12"/>
      <c r="F193" s="12"/>
      <c r="G193" s="554" t="b">
        <f t="shared" ref="G193:G196" si="5">IF(D193=2, FALSE, TRUE)</f>
        <v>0</v>
      </c>
    </row>
    <row r="194" spans="1:7" x14ac:dyDescent="0.2">
      <c r="A194" s="4">
        <v>47</v>
      </c>
      <c r="B194" s="4">
        <v>47</v>
      </c>
      <c r="C194" s="5" t="s">
        <v>79</v>
      </c>
      <c r="D194" s="554">
        <v>2</v>
      </c>
      <c r="E194" s="12"/>
      <c r="F194" s="12"/>
      <c r="G194" s="554" t="b">
        <f t="shared" si="5"/>
        <v>0</v>
      </c>
    </row>
    <row r="195" spans="1:7" x14ac:dyDescent="0.2">
      <c r="A195" s="4">
        <v>48</v>
      </c>
      <c r="B195" s="4">
        <v>48</v>
      </c>
      <c r="C195" s="5" t="s">
        <v>80</v>
      </c>
      <c r="D195" s="554">
        <v>2</v>
      </c>
      <c r="E195" s="12"/>
      <c r="F195" s="12"/>
      <c r="G195" s="554" t="b">
        <f t="shared" si="5"/>
        <v>0</v>
      </c>
    </row>
    <row r="196" spans="1:7" x14ac:dyDescent="0.2">
      <c r="A196" s="4">
        <v>49</v>
      </c>
      <c r="B196" s="4">
        <v>49</v>
      </c>
      <c r="C196" s="5" t="s">
        <v>81</v>
      </c>
      <c r="D196" s="554">
        <v>2</v>
      </c>
      <c r="E196" s="12"/>
      <c r="F196" s="12"/>
      <c r="G196" s="554" t="b">
        <f t="shared" si="5"/>
        <v>0</v>
      </c>
    </row>
    <row r="197" spans="1:7" x14ac:dyDescent="0.2">
      <c r="A197" s="4">
        <v>50</v>
      </c>
      <c r="B197" s="4">
        <v>50</v>
      </c>
      <c r="C197" s="5"/>
      <c r="D197" s="12"/>
      <c r="E197" s="12"/>
      <c r="F197" s="12"/>
      <c r="G197" s="12"/>
    </row>
    <row r="198" spans="1:7" x14ac:dyDescent="0.2">
      <c r="C198" s="5"/>
      <c r="D198" s="12"/>
      <c r="E198" s="12"/>
      <c r="F198" s="12"/>
      <c r="G198" s="12"/>
    </row>
    <row r="199" spans="1:7" x14ac:dyDescent="0.2">
      <c r="C199" s="5"/>
      <c r="D199" s="12"/>
      <c r="E199" s="12"/>
      <c r="F199" s="12"/>
      <c r="G199" s="12"/>
    </row>
    <row r="200" spans="1:7" x14ac:dyDescent="0.2">
      <c r="C200" s="5" t="s">
        <v>82</v>
      </c>
      <c r="D200" s="12">
        <f>COUNTIF(D193:D196, "TRUE")</f>
        <v>0</v>
      </c>
      <c r="E200" s="12"/>
      <c r="F200" s="12"/>
      <c r="G200" s="12"/>
    </row>
    <row r="201" spans="1:7" x14ac:dyDescent="0.2">
      <c r="C201" s="5"/>
      <c r="D201" s="12"/>
      <c r="E201" s="12"/>
      <c r="F201" s="12"/>
      <c r="G201" s="12"/>
    </row>
    <row r="202" spans="1:7" x14ac:dyDescent="0.2">
      <c r="C202" s="5"/>
      <c r="D202" s="12"/>
      <c r="E202" s="12"/>
      <c r="F202" s="12"/>
      <c r="G202" s="12"/>
    </row>
    <row r="203" spans="1:7" x14ac:dyDescent="0.2">
      <c r="C203" s="5"/>
      <c r="D203" s="12"/>
      <c r="E203" s="12"/>
      <c r="F203" s="12"/>
      <c r="G203" s="12"/>
    </row>
    <row r="204" spans="1:7" x14ac:dyDescent="0.2">
      <c r="C204" s="5"/>
      <c r="D204" s="12"/>
      <c r="E204" s="12"/>
      <c r="F204" s="12"/>
      <c r="G204" s="12"/>
    </row>
    <row r="205" spans="1:7" x14ac:dyDescent="0.2">
      <c r="C205" s="5"/>
      <c r="D205" s="12"/>
      <c r="E205" s="12"/>
      <c r="F205" s="12"/>
      <c r="G205" s="12"/>
    </row>
    <row r="206" spans="1:7" x14ac:dyDescent="0.2">
      <c r="D206" s="12"/>
      <c r="E206" s="12"/>
      <c r="F206" s="12"/>
      <c r="G206" s="12"/>
    </row>
    <row r="207" spans="1:7" x14ac:dyDescent="0.2">
      <c r="D207" s="12"/>
      <c r="E207" s="12"/>
      <c r="F207" s="12"/>
      <c r="G207" s="12"/>
    </row>
    <row r="210" spans="1:8" x14ac:dyDescent="0.2">
      <c r="B210" s="11" t="s">
        <v>83</v>
      </c>
    </row>
    <row r="211" spans="1:8" x14ac:dyDescent="0.2">
      <c r="B211" s="4" t="s">
        <v>6</v>
      </c>
      <c r="D211" s="4" t="s">
        <v>7</v>
      </c>
      <c r="F211" s="4" t="s">
        <v>84</v>
      </c>
      <c r="G211" s="4" t="s">
        <v>85</v>
      </c>
      <c r="H211" s="4" t="s">
        <v>86</v>
      </c>
    </row>
    <row r="212" spans="1:8" x14ac:dyDescent="0.2">
      <c r="A212" s="4">
        <v>1</v>
      </c>
      <c r="B212" s="4" t="s">
        <v>87</v>
      </c>
      <c r="C212" s="5" t="s">
        <v>88</v>
      </c>
      <c r="D212" s="6">
        <v>1</v>
      </c>
      <c r="F212" s="24">
        <f>Inflation!B$5</f>
        <v>45348</v>
      </c>
      <c r="G212" s="25" t="str">
        <f>Inflation!A$5</f>
        <v>DASA-CE</v>
      </c>
      <c r="H212" s="26">
        <f>Inflation!H$7</f>
        <v>2024</v>
      </c>
    </row>
    <row r="213" spans="1:8" x14ac:dyDescent="0.2">
      <c r="A213" s="4">
        <v>2</v>
      </c>
      <c r="B213" s="20" t="s">
        <v>89</v>
      </c>
      <c r="C213" s="5" t="s">
        <v>90</v>
      </c>
      <c r="D213" s="6">
        <v>1</v>
      </c>
      <c r="F213" s="24">
        <f>Inflation!B$84</f>
        <v>45348</v>
      </c>
      <c r="G213" s="25" t="str">
        <f>Inflation!A$84</f>
        <v>DASA-CE</v>
      </c>
      <c r="H213" s="26">
        <f>Inflation!H$86</f>
        <v>2024</v>
      </c>
    </row>
    <row r="214" spans="1:8" x14ac:dyDescent="0.2">
      <c r="A214" s="4">
        <v>3</v>
      </c>
      <c r="B214" s="4" t="s">
        <v>91</v>
      </c>
      <c r="C214" s="5" t="s">
        <v>92</v>
      </c>
      <c r="D214" s="6">
        <v>1</v>
      </c>
      <c r="F214" s="24">
        <f>Inflation!B$163</f>
        <v>45348</v>
      </c>
      <c r="G214" s="25" t="str">
        <f>Inflation!A$163</f>
        <v>DASA-CE</v>
      </c>
      <c r="H214" s="26">
        <f>Inflation!H$165</f>
        <v>2024</v>
      </c>
    </row>
    <row r="215" spans="1:8" x14ac:dyDescent="0.2">
      <c r="A215" s="4">
        <v>4</v>
      </c>
      <c r="B215" s="4" t="s">
        <v>93</v>
      </c>
      <c r="C215" s="5" t="s">
        <v>94</v>
      </c>
      <c r="D215" s="6">
        <v>1</v>
      </c>
      <c r="F215" s="24">
        <f>Inflation!B$242</f>
        <v>45348</v>
      </c>
      <c r="G215" s="25" t="str">
        <f>Inflation!A$242</f>
        <v>DASA-CE</v>
      </c>
      <c r="H215" s="26">
        <f>Inflation!H$244</f>
        <v>2024</v>
      </c>
    </row>
    <row r="216" spans="1:8" x14ac:dyDescent="0.2">
      <c r="A216" s="4">
        <v>5</v>
      </c>
      <c r="B216" s="4" t="s">
        <v>95</v>
      </c>
      <c r="F216" s="24">
        <f>Inflation!B$321</f>
        <v>45348</v>
      </c>
      <c r="G216" s="25" t="str">
        <f>Inflation!A$321</f>
        <v>DASA-CE</v>
      </c>
      <c r="H216" s="26">
        <f>Inflation!H$323</f>
        <v>2024</v>
      </c>
    </row>
    <row r="217" spans="1:8" x14ac:dyDescent="0.2">
      <c r="A217" s="4">
        <v>6</v>
      </c>
      <c r="B217" s="4" t="s">
        <v>96</v>
      </c>
      <c r="F217" s="24">
        <f>Inflation!B$400</f>
        <v>45348</v>
      </c>
      <c r="G217" s="25" t="str">
        <f>Inflation!A$400</f>
        <v>DASA-CE</v>
      </c>
      <c r="H217" s="26">
        <f>Inflation!H$402</f>
        <v>2024</v>
      </c>
    </row>
    <row r="218" spans="1:8" x14ac:dyDescent="0.2">
      <c r="A218" s="4">
        <v>7</v>
      </c>
      <c r="B218" s="4" t="s">
        <v>97</v>
      </c>
      <c r="F218" s="24">
        <f>Inflation!B$479</f>
        <v>45348</v>
      </c>
      <c r="G218" s="25" t="str">
        <f>Inflation!A$479</f>
        <v>DASA-CE</v>
      </c>
      <c r="H218" s="26">
        <f>Inflation!H$481</f>
        <v>2024</v>
      </c>
    </row>
    <row r="219" spans="1:8" x14ac:dyDescent="0.2">
      <c r="A219" s="4">
        <v>8</v>
      </c>
      <c r="B219" s="4" t="s">
        <v>98</v>
      </c>
      <c r="F219" s="24">
        <f>Inflation!B$558</f>
        <v>45348</v>
      </c>
      <c r="G219" s="25" t="str">
        <f>Inflation!A$558</f>
        <v>DASA-CE</v>
      </c>
      <c r="H219" s="26">
        <f>Inflation!H$560</f>
        <v>2024</v>
      </c>
    </row>
    <row r="223" spans="1:8" ht="13.5" customHeight="1" x14ac:dyDescent="0.2"/>
    <row r="227" spans="1:8" x14ac:dyDescent="0.2">
      <c r="F227" s="27"/>
      <c r="G227" s="25"/>
      <c r="H227" s="26"/>
    </row>
    <row r="228" spans="1:8" x14ac:dyDescent="0.2">
      <c r="B228" s="28"/>
      <c r="F228" s="27"/>
      <c r="G228" s="25"/>
      <c r="H228" s="26"/>
    </row>
    <row r="229" spans="1:8" x14ac:dyDescent="0.2">
      <c r="B229" s="28" t="s">
        <v>99</v>
      </c>
    </row>
    <row r="230" spans="1:8" x14ac:dyDescent="0.2">
      <c r="B230" s="11" t="s">
        <v>100</v>
      </c>
    </row>
    <row r="231" spans="1:8" x14ac:dyDescent="0.2">
      <c r="B231" s="4" t="s">
        <v>6</v>
      </c>
      <c r="D231" s="4" t="s">
        <v>7</v>
      </c>
      <c r="F231" s="4" t="s">
        <v>84</v>
      </c>
      <c r="G231" s="4" t="s">
        <v>85</v>
      </c>
      <c r="H231" s="4" t="s">
        <v>86</v>
      </c>
    </row>
    <row r="232" spans="1:8" x14ac:dyDescent="0.2">
      <c r="A232" s="4">
        <v>1</v>
      </c>
      <c r="B232" s="4" t="s">
        <v>97</v>
      </c>
      <c r="C232" s="5" t="s">
        <v>101</v>
      </c>
      <c r="D232" s="6">
        <v>1</v>
      </c>
      <c r="F232" s="24">
        <f>Inflation!B$479</f>
        <v>45348</v>
      </c>
      <c r="G232" s="25" t="str">
        <f>Inflation!A$479</f>
        <v>DASA-CE</v>
      </c>
      <c r="H232" s="26">
        <f>Inflation!H$481</f>
        <v>2024</v>
      </c>
    </row>
    <row r="233" spans="1:8" x14ac:dyDescent="0.2">
      <c r="A233" s="4">
        <v>2</v>
      </c>
      <c r="B233" s="20" t="s">
        <v>89</v>
      </c>
      <c r="C233" s="5" t="s">
        <v>102</v>
      </c>
      <c r="D233" s="6">
        <v>1</v>
      </c>
      <c r="E233" s="12"/>
      <c r="F233" s="24">
        <f>Inflation!B$84</f>
        <v>45348</v>
      </c>
      <c r="G233" s="25" t="str">
        <f>Inflation!A$84</f>
        <v>DASA-CE</v>
      </c>
      <c r="H233" s="26">
        <f>Inflation!H$86</f>
        <v>2024</v>
      </c>
    </row>
    <row r="234" spans="1:8" x14ac:dyDescent="0.2">
      <c r="A234" s="4">
        <v>3</v>
      </c>
      <c r="B234" s="4" t="s">
        <v>91</v>
      </c>
      <c r="C234" s="5" t="s">
        <v>103</v>
      </c>
      <c r="D234" s="6">
        <v>1</v>
      </c>
      <c r="E234" s="12"/>
      <c r="F234" s="24">
        <f>Inflation!B$163</f>
        <v>45348</v>
      </c>
      <c r="G234" s="25" t="str">
        <f>Inflation!A$163</f>
        <v>DASA-CE</v>
      </c>
      <c r="H234" s="26">
        <f>Inflation!H$165</f>
        <v>2024</v>
      </c>
    </row>
    <row r="235" spans="1:8" x14ac:dyDescent="0.2">
      <c r="A235" s="4">
        <v>4</v>
      </c>
      <c r="B235" s="4" t="s">
        <v>93</v>
      </c>
      <c r="C235" s="5" t="s">
        <v>104</v>
      </c>
      <c r="D235" s="6">
        <v>1</v>
      </c>
      <c r="E235" s="12"/>
      <c r="F235" s="24">
        <f>Inflation!B$242</f>
        <v>45348</v>
      </c>
      <c r="G235" s="25" t="str">
        <f>Inflation!A$242</f>
        <v>DASA-CE</v>
      </c>
      <c r="H235" s="26">
        <f>Inflation!H$244</f>
        <v>2024</v>
      </c>
    </row>
    <row r="236" spans="1:8" x14ac:dyDescent="0.2">
      <c r="A236" s="4">
        <v>5</v>
      </c>
      <c r="B236" s="4" t="s">
        <v>95</v>
      </c>
      <c r="C236" s="5"/>
      <c r="D236" s="12"/>
      <c r="E236" s="12"/>
      <c r="F236" s="24">
        <f>Inflation!B$321</f>
        <v>45348</v>
      </c>
      <c r="G236" s="25" t="str">
        <f>Inflation!A$321</f>
        <v>DASA-CE</v>
      </c>
      <c r="H236" s="26">
        <f>Inflation!H$323</f>
        <v>2024</v>
      </c>
    </row>
    <row r="237" spans="1:8" x14ac:dyDescent="0.2">
      <c r="A237" s="4">
        <v>6</v>
      </c>
      <c r="B237" s="4" t="s">
        <v>96</v>
      </c>
      <c r="C237" s="5"/>
      <c r="D237" s="12"/>
      <c r="E237" s="12"/>
      <c r="F237" s="24">
        <f>Inflation!B$400</f>
        <v>45348</v>
      </c>
      <c r="G237" s="25" t="str">
        <f>Inflation!A$400</f>
        <v>DASA-CE</v>
      </c>
      <c r="H237" s="26">
        <f>Inflation!H$402</f>
        <v>2024</v>
      </c>
    </row>
    <row r="238" spans="1:8" x14ac:dyDescent="0.2">
      <c r="A238" s="4">
        <v>7</v>
      </c>
      <c r="B238" s="4" t="s">
        <v>87</v>
      </c>
      <c r="F238" s="24">
        <f>Inflation!B$5</f>
        <v>45348</v>
      </c>
      <c r="G238" s="25" t="str">
        <f>Inflation!A$5</f>
        <v>DASA-CE</v>
      </c>
      <c r="H238" s="26">
        <f>Inflation!H$7</f>
        <v>2024</v>
      </c>
    </row>
    <row r="239" spans="1:8" x14ac:dyDescent="0.2">
      <c r="A239" s="4">
        <v>8</v>
      </c>
      <c r="B239" s="4" t="s">
        <v>98</v>
      </c>
      <c r="F239" s="24">
        <f>Inflation!B$558</f>
        <v>45348</v>
      </c>
      <c r="G239" s="25" t="str">
        <f>Inflation!A$558</f>
        <v>DASA-CE</v>
      </c>
      <c r="H239" s="26">
        <f>Inflation!H$560</f>
        <v>2024</v>
      </c>
    </row>
    <row r="245" spans="1:4" x14ac:dyDescent="0.2">
      <c r="B245" s="11" t="s">
        <v>105</v>
      </c>
    </row>
    <row r="246" spans="1:4" x14ac:dyDescent="0.2">
      <c r="B246" s="4" t="s">
        <v>6</v>
      </c>
      <c r="D246" s="4" t="s">
        <v>7</v>
      </c>
    </row>
    <row r="247" spans="1:4" x14ac:dyDescent="0.2">
      <c r="A247" s="4">
        <v>1</v>
      </c>
      <c r="B247" s="20" t="s">
        <v>106</v>
      </c>
      <c r="C247" s="29" t="s">
        <v>107</v>
      </c>
      <c r="D247" s="554">
        <v>1</v>
      </c>
    </row>
    <row r="248" spans="1:4" x14ac:dyDescent="0.2">
      <c r="A248" s="4">
        <v>2</v>
      </c>
      <c r="B248" s="4" t="s">
        <v>108</v>
      </c>
      <c r="C248" s="29" t="s">
        <v>109</v>
      </c>
      <c r="D248" s="554">
        <f>D247</f>
        <v>1</v>
      </c>
    </row>
    <row r="249" spans="1:4" x14ac:dyDescent="0.2">
      <c r="A249" s="4">
        <v>3</v>
      </c>
      <c r="B249" s="4" t="s">
        <v>110</v>
      </c>
      <c r="C249" s="29" t="s">
        <v>111</v>
      </c>
      <c r="D249" s="554">
        <f>D247</f>
        <v>1</v>
      </c>
    </row>
    <row r="250" spans="1:4" x14ac:dyDescent="0.2">
      <c r="A250" s="4">
        <v>4</v>
      </c>
      <c r="B250" s="4" t="s">
        <v>112</v>
      </c>
      <c r="C250" s="29" t="s">
        <v>113</v>
      </c>
      <c r="D250" s="554">
        <f>D247</f>
        <v>1</v>
      </c>
    </row>
    <row r="251" spans="1:4" x14ac:dyDescent="0.2">
      <c r="A251" s="4">
        <v>5</v>
      </c>
      <c r="B251" s="4" t="s">
        <v>114</v>
      </c>
    </row>
    <row r="252" spans="1:4" x14ac:dyDescent="0.2">
      <c r="B252" s="20"/>
    </row>
    <row r="254" spans="1:4" x14ac:dyDescent="0.2">
      <c r="B254" s="20"/>
    </row>
    <row r="255" spans="1:4" x14ac:dyDescent="0.2">
      <c r="A255" s="4">
        <v>1</v>
      </c>
      <c r="B255" s="20" t="s">
        <v>115</v>
      </c>
    </row>
    <row r="256" spans="1:4" x14ac:dyDescent="0.2">
      <c r="A256" s="4">
        <v>2</v>
      </c>
      <c r="B256" s="4" t="s">
        <v>116</v>
      </c>
    </row>
    <row r="257" spans="1:14" x14ac:dyDescent="0.2">
      <c r="A257" s="4">
        <v>3</v>
      </c>
      <c r="B257" s="4" t="s">
        <v>117</v>
      </c>
    </row>
    <row r="258" spans="1:14" x14ac:dyDescent="0.2">
      <c r="A258" s="4">
        <v>4</v>
      </c>
      <c r="B258" s="4" t="s">
        <v>118</v>
      </c>
    </row>
    <row r="259" spans="1:14" x14ac:dyDescent="0.2">
      <c r="A259" s="4">
        <v>5</v>
      </c>
      <c r="B259" s="4" t="s">
        <v>114</v>
      </c>
    </row>
    <row r="262" spans="1:14" x14ac:dyDescent="0.2">
      <c r="B262" s="11" t="s">
        <v>119</v>
      </c>
    </row>
    <row r="263" spans="1:14" x14ac:dyDescent="0.2">
      <c r="B263" s="4" t="s">
        <v>6</v>
      </c>
      <c r="D263" s="4" t="s">
        <v>7</v>
      </c>
      <c r="E263" s="4" t="s">
        <v>7</v>
      </c>
      <c r="F263" s="4" t="s">
        <v>7</v>
      </c>
      <c r="G263" s="4" t="s">
        <v>7</v>
      </c>
      <c r="H263" s="4" t="s">
        <v>7</v>
      </c>
      <c r="I263" s="4" t="s">
        <v>7</v>
      </c>
      <c r="J263" s="4" t="s">
        <v>7</v>
      </c>
      <c r="K263" s="4" t="s">
        <v>7</v>
      </c>
      <c r="M263" s="4" t="s">
        <v>6</v>
      </c>
      <c r="N263" s="4" t="s">
        <v>120</v>
      </c>
    </row>
    <row r="264" spans="1:14" x14ac:dyDescent="0.2">
      <c r="A264" s="4">
        <v>1</v>
      </c>
      <c r="B264" s="4" t="s">
        <v>121</v>
      </c>
      <c r="C264" s="5" t="s">
        <v>122</v>
      </c>
      <c r="D264" s="554">
        <v>1</v>
      </c>
      <c r="E264" s="554">
        <f>$D$264</f>
        <v>1</v>
      </c>
      <c r="F264" s="554">
        <f t="shared" ref="F264:K264" si="6">$D$264</f>
        <v>1</v>
      </c>
      <c r="G264" s="554">
        <f t="shared" si="6"/>
        <v>1</v>
      </c>
      <c r="H264" s="554">
        <f t="shared" si="6"/>
        <v>1</v>
      </c>
      <c r="I264" s="554">
        <f t="shared" si="6"/>
        <v>1</v>
      </c>
      <c r="J264" s="554">
        <f t="shared" si="6"/>
        <v>1</v>
      </c>
      <c r="K264" s="554">
        <f t="shared" si="6"/>
        <v>1</v>
      </c>
      <c r="M264" s="4" t="s">
        <v>123</v>
      </c>
      <c r="N264" s="4">
        <f>IF(OR(+D264=2,+E264=2,+F264=2,+G264=2,+H264=2,+I264=2,+J264=2,+K264=2),2,1)</f>
        <v>1</v>
      </c>
    </row>
    <row r="265" spans="1:14" x14ac:dyDescent="0.2">
      <c r="A265" s="4">
        <v>2</v>
      </c>
      <c r="B265" s="4" t="s">
        <v>50</v>
      </c>
      <c r="C265" s="5" t="s">
        <v>124</v>
      </c>
      <c r="D265" s="554">
        <f t="shared" ref="D265:D268" si="7">IF(D193=1, 1, 0)</f>
        <v>0</v>
      </c>
      <c r="E265" s="554">
        <f>$D$265</f>
        <v>0</v>
      </c>
      <c r="F265" s="554">
        <f t="shared" ref="F265:K265" si="8">$D$265</f>
        <v>0</v>
      </c>
      <c r="G265" s="554">
        <f t="shared" si="8"/>
        <v>0</v>
      </c>
      <c r="H265" s="554">
        <f t="shared" si="8"/>
        <v>0</v>
      </c>
      <c r="I265" s="554">
        <f t="shared" si="8"/>
        <v>0</v>
      </c>
      <c r="J265" s="554">
        <f t="shared" si="8"/>
        <v>0</v>
      </c>
      <c r="K265" s="554">
        <f t="shared" si="8"/>
        <v>0</v>
      </c>
      <c r="N265" s="4">
        <f>IF(OR(+D265=2,+E265=2,+F265=2,+G265=2,+H265=2,+I265=2,+J265=2,+K265=2),2,1)</f>
        <v>1</v>
      </c>
    </row>
    <row r="266" spans="1:14" ht="10.8" x14ac:dyDescent="0.25">
      <c r="B266" s="30"/>
      <c r="C266" s="5" t="s">
        <v>125</v>
      </c>
      <c r="D266" s="554">
        <f t="shared" si="7"/>
        <v>0</v>
      </c>
      <c r="E266" s="554">
        <f>$D$266</f>
        <v>0</v>
      </c>
      <c r="F266" s="554">
        <f t="shared" ref="F266:K266" si="9">$D$266</f>
        <v>0</v>
      </c>
      <c r="G266" s="554">
        <f t="shared" si="9"/>
        <v>0</v>
      </c>
      <c r="H266" s="554">
        <f t="shared" si="9"/>
        <v>0</v>
      </c>
      <c r="I266" s="554">
        <f t="shared" si="9"/>
        <v>0</v>
      </c>
      <c r="J266" s="554">
        <f t="shared" si="9"/>
        <v>0</v>
      </c>
      <c r="K266" s="554">
        <f t="shared" si="9"/>
        <v>0</v>
      </c>
      <c r="N266" s="4">
        <f>IF(OR(+D266=2,+E266=2,+F266=2,+G266=2,+H266=2,+I266=2,+J266=2,+K266=2),2,1)</f>
        <v>1</v>
      </c>
    </row>
    <row r="267" spans="1:14" x14ac:dyDescent="0.2">
      <c r="C267" s="5" t="s">
        <v>126</v>
      </c>
      <c r="D267" s="554">
        <f t="shared" si="7"/>
        <v>0</v>
      </c>
      <c r="E267" s="554">
        <f>$D$267</f>
        <v>0</v>
      </c>
      <c r="F267" s="554">
        <f t="shared" ref="F267:K267" si="10">$D$267</f>
        <v>0</v>
      </c>
      <c r="G267" s="554">
        <f t="shared" si="10"/>
        <v>0</v>
      </c>
      <c r="H267" s="554">
        <f t="shared" si="10"/>
        <v>0</v>
      </c>
      <c r="I267" s="554">
        <f t="shared" si="10"/>
        <v>0</v>
      </c>
      <c r="J267" s="554">
        <f t="shared" si="10"/>
        <v>0</v>
      </c>
      <c r="K267" s="554">
        <f t="shared" si="10"/>
        <v>0</v>
      </c>
      <c r="N267" s="4">
        <f>IF(OR(+D267=2,+E267=2,+F267=2,+G267=2,+H267=2,+I267=2,+J267=2,+K267=2),2,1)</f>
        <v>1</v>
      </c>
    </row>
    <row r="268" spans="1:14" x14ac:dyDescent="0.2">
      <c r="C268" s="5" t="s">
        <v>127</v>
      </c>
      <c r="D268" s="554">
        <f t="shared" si="7"/>
        <v>0</v>
      </c>
      <c r="E268" s="554">
        <f>$D$268</f>
        <v>0</v>
      </c>
      <c r="F268" s="554">
        <f t="shared" ref="F268:K268" si="11">$D$268</f>
        <v>0</v>
      </c>
      <c r="G268" s="554">
        <f t="shared" si="11"/>
        <v>0</v>
      </c>
      <c r="H268" s="554">
        <f t="shared" si="11"/>
        <v>0</v>
      </c>
      <c r="I268" s="554">
        <f t="shared" si="11"/>
        <v>0</v>
      </c>
      <c r="J268" s="554">
        <f t="shared" si="11"/>
        <v>0</v>
      </c>
      <c r="K268" s="554">
        <f t="shared" si="11"/>
        <v>0</v>
      </c>
      <c r="N268" s="4">
        <f>IF(OR(+D268=2,+E268=2,+F268=2,+G268=2,+H268=2,+I268=2,+J268=2,+K268=2),2,1)</f>
        <v>1</v>
      </c>
    </row>
    <row r="269" spans="1:14" x14ac:dyDescent="0.2">
      <c r="D269" s="12"/>
      <c r="E269" s="12"/>
      <c r="F269" s="12"/>
      <c r="G269" s="12"/>
      <c r="H269" s="12"/>
      <c r="I269" s="12"/>
      <c r="J269" s="12"/>
    </row>
    <row r="270" spans="1:14" x14ac:dyDescent="0.2">
      <c r="D270" s="12"/>
      <c r="E270" s="12"/>
      <c r="F270" s="12"/>
      <c r="G270" s="12"/>
      <c r="H270" s="12"/>
      <c r="I270" s="12"/>
      <c r="J270" s="12"/>
    </row>
    <row r="271" spans="1:14" x14ac:dyDescent="0.2">
      <c r="D271" s="12"/>
      <c r="E271" s="12"/>
      <c r="F271" s="12"/>
      <c r="G271" s="12"/>
      <c r="H271" s="12"/>
      <c r="I271" s="12"/>
      <c r="J271" s="12"/>
    </row>
    <row r="272" spans="1:14" x14ac:dyDescent="0.2">
      <c r="D272" s="12"/>
      <c r="E272" s="12"/>
      <c r="F272" s="12"/>
      <c r="G272" s="12"/>
      <c r="H272" s="12"/>
      <c r="I272" s="12"/>
      <c r="J272" s="12"/>
    </row>
    <row r="279" spans="1:16" x14ac:dyDescent="0.2">
      <c r="A279" s="17" t="s">
        <v>128</v>
      </c>
    </row>
    <row r="280" spans="1:16" x14ac:dyDescent="0.2">
      <c r="B280" s="11" t="s">
        <v>129</v>
      </c>
      <c r="M280" s="31"/>
      <c r="N280" s="31"/>
      <c r="O280" s="31"/>
    </row>
    <row r="281" spans="1:16" x14ac:dyDescent="0.2">
      <c r="B281" s="5" t="s">
        <v>130</v>
      </c>
      <c r="D281" s="4" t="s">
        <v>7</v>
      </c>
      <c r="E281" s="4" t="s">
        <v>7</v>
      </c>
      <c r="F281" s="4" t="s">
        <v>7</v>
      </c>
      <c r="G281" s="4" t="s">
        <v>7</v>
      </c>
      <c r="H281" s="4" t="s">
        <v>7</v>
      </c>
      <c r="I281" s="4" t="s">
        <v>7</v>
      </c>
      <c r="J281" s="4" t="s">
        <v>7</v>
      </c>
      <c r="K281" s="4" t="s">
        <v>7</v>
      </c>
      <c r="M281" s="29" t="s">
        <v>131</v>
      </c>
      <c r="N281" s="29" t="s">
        <v>132</v>
      </c>
      <c r="O281" s="5" t="s">
        <v>133</v>
      </c>
      <c r="P281" s="5" t="s">
        <v>1069</v>
      </c>
    </row>
    <row r="282" spans="1:16" x14ac:dyDescent="0.2">
      <c r="A282" s="4">
        <v>1</v>
      </c>
      <c r="B282" s="31"/>
      <c r="C282" s="5" t="s">
        <v>122</v>
      </c>
      <c r="D282" s="32" t="s">
        <v>123</v>
      </c>
      <c r="E282" s="32" t="s">
        <v>123</v>
      </c>
      <c r="F282" s="32" t="s">
        <v>123</v>
      </c>
      <c r="G282" s="32" t="s">
        <v>123</v>
      </c>
      <c r="H282" s="32" t="s">
        <v>123</v>
      </c>
      <c r="I282" s="32" t="s">
        <v>123</v>
      </c>
      <c r="J282" s="32" t="s">
        <v>123</v>
      </c>
      <c r="K282" s="32" t="s">
        <v>123</v>
      </c>
      <c r="L282" s="4">
        <v>1</v>
      </c>
      <c r="M282" s="31"/>
      <c r="N282" s="31"/>
      <c r="O282" s="31"/>
      <c r="P282" s="31"/>
    </row>
    <row r="283" spans="1:16" x14ac:dyDescent="0.2">
      <c r="A283" s="4">
        <v>2</v>
      </c>
      <c r="B283" s="31" t="s">
        <v>134</v>
      </c>
      <c r="C283" s="5" t="s">
        <v>124</v>
      </c>
      <c r="D283" s="6">
        <v>1</v>
      </c>
      <c r="E283" s="6">
        <v>1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4">
        <v>2</v>
      </c>
      <c r="M283" s="31" t="s">
        <v>135</v>
      </c>
      <c r="N283" s="31" t="s">
        <v>1062</v>
      </c>
      <c r="O283" s="31" t="s">
        <v>135</v>
      </c>
      <c r="P283" s="31" t="s">
        <v>135</v>
      </c>
    </row>
    <row r="284" spans="1:16" x14ac:dyDescent="0.2">
      <c r="A284" s="4">
        <v>3</v>
      </c>
      <c r="B284" s="31" t="s">
        <v>137</v>
      </c>
      <c r="C284" s="5" t="s">
        <v>125</v>
      </c>
      <c r="D284" s="6">
        <v>1</v>
      </c>
      <c r="E284" s="6">
        <v>1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4">
        <v>3</v>
      </c>
      <c r="M284" s="31" t="s">
        <v>136</v>
      </c>
      <c r="N284" s="31" t="s">
        <v>136</v>
      </c>
      <c r="O284" s="31" t="s">
        <v>136</v>
      </c>
      <c r="P284" s="31" t="s">
        <v>136</v>
      </c>
    </row>
    <row r="285" spans="1:16" x14ac:dyDescent="0.2">
      <c r="A285" s="4">
        <v>4</v>
      </c>
      <c r="B285" s="31" t="s">
        <v>138</v>
      </c>
      <c r="C285" s="5" t="s">
        <v>126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4">
        <v>4</v>
      </c>
      <c r="M285" s="31" t="s">
        <v>137</v>
      </c>
      <c r="N285" s="31" t="s">
        <v>137</v>
      </c>
      <c r="O285" s="31" t="s">
        <v>137</v>
      </c>
      <c r="P285" s="31" t="s">
        <v>137</v>
      </c>
    </row>
    <row r="286" spans="1:16" x14ac:dyDescent="0.2">
      <c r="A286" s="4">
        <v>5</v>
      </c>
      <c r="B286" s="31" t="s">
        <v>140</v>
      </c>
      <c r="C286" s="5" t="s">
        <v>127</v>
      </c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4">
        <v>5</v>
      </c>
      <c r="M286" s="31" t="s">
        <v>141</v>
      </c>
      <c r="N286" s="31" t="s">
        <v>139</v>
      </c>
      <c r="O286" s="31" t="s">
        <v>143</v>
      </c>
      <c r="P286" s="31" t="s">
        <v>141</v>
      </c>
    </row>
    <row r="287" spans="1:16" x14ac:dyDescent="0.2">
      <c r="A287" s="4">
        <v>6</v>
      </c>
      <c r="B287" s="31" t="s">
        <v>144</v>
      </c>
      <c r="L287" s="4">
        <v>6</v>
      </c>
      <c r="M287" s="31" t="s">
        <v>145</v>
      </c>
      <c r="N287" s="31" t="s">
        <v>142</v>
      </c>
      <c r="O287" s="31" t="s">
        <v>139</v>
      </c>
      <c r="P287" s="31" t="s">
        <v>145</v>
      </c>
    </row>
    <row r="288" spans="1:16" x14ac:dyDescent="0.2">
      <c r="A288" s="4">
        <v>7</v>
      </c>
      <c r="B288" s="31" t="s">
        <v>139</v>
      </c>
      <c r="L288" s="4">
        <v>7</v>
      </c>
      <c r="M288" s="31" t="s">
        <v>139</v>
      </c>
      <c r="N288" s="31" t="s">
        <v>146</v>
      </c>
      <c r="O288" s="31" t="s">
        <v>148</v>
      </c>
      <c r="P288" s="31" t="s">
        <v>139</v>
      </c>
    </row>
    <row r="289" spans="1:16" x14ac:dyDescent="0.2">
      <c r="A289" s="4">
        <v>8</v>
      </c>
      <c r="B289" s="31" t="s">
        <v>149</v>
      </c>
      <c r="L289" s="4">
        <v>8</v>
      </c>
      <c r="M289" s="31" t="s">
        <v>150</v>
      </c>
      <c r="N289" s="31" t="s">
        <v>147</v>
      </c>
      <c r="O289" s="31" t="s">
        <v>142</v>
      </c>
      <c r="P289" s="31" t="s">
        <v>150</v>
      </c>
    </row>
    <row r="290" spans="1:16" x14ac:dyDescent="0.2">
      <c r="A290" s="4">
        <v>9</v>
      </c>
      <c r="B290" s="31" t="s">
        <v>152</v>
      </c>
      <c r="L290" s="4">
        <v>9</v>
      </c>
      <c r="M290" s="31" t="s">
        <v>142</v>
      </c>
      <c r="N290" s="31" t="s">
        <v>151</v>
      </c>
      <c r="O290" s="31" t="s">
        <v>146</v>
      </c>
      <c r="P290" s="31" t="s">
        <v>142</v>
      </c>
    </row>
    <row r="291" spans="1:16" x14ac:dyDescent="0.2">
      <c r="A291" s="4">
        <v>10</v>
      </c>
      <c r="B291" s="31" t="s">
        <v>154</v>
      </c>
      <c r="L291" s="4">
        <v>10</v>
      </c>
      <c r="M291" s="31" t="s">
        <v>155</v>
      </c>
      <c r="N291" s="31" t="s">
        <v>153</v>
      </c>
      <c r="O291" s="31" t="s">
        <v>156</v>
      </c>
      <c r="P291" s="31" t="s">
        <v>155</v>
      </c>
    </row>
    <row r="292" spans="1:16" x14ac:dyDescent="0.2">
      <c r="A292" s="4">
        <v>11</v>
      </c>
      <c r="B292" s="31" t="s">
        <v>147</v>
      </c>
      <c r="L292" s="4">
        <v>11</v>
      </c>
      <c r="M292" s="31" t="s">
        <v>146</v>
      </c>
      <c r="N292" s="31" t="s">
        <v>17</v>
      </c>
      <c r="O292" s="31" t="s">
        <v>147</v>
      </c>
      <c r="P292" s="31" t="s">
        <v>146</v>
      </c>
    </row>
    <row r="293" spans="1:16" x14ac:dyDescent="0.2">
      <c r="A293" s="4">
        <v>12</v>
      </c>
      <c r="B293" s="31" t="s">
        <v>157</v>
      </c>
      <c r="L293" s="4">
        <v>12</v>
      </c>
      <c r="M293" s="31" t="s">
        <v>156</v>
      </c>
      <c r="O293" s="31" t="s">
        <v>151</v>
      </c>
      <c r="P293" s="31" t="s">
        <v>156</v>
      </c>
    </row>
    <row r="294" spans="1:16" x14ac:dyDescent="0.2">
      <c r="A294" s="4">
        <v>13</v>
      </c>
      <c r="B294" s="31" t="s">
        <v>151</v>
      </c>
      <c r="L294" s="4">
        <v>13</v>
      </c>
      <c r="M294" s="31" t="s">
        <v>147</v>
      </c>
      <c r="O294" s="31" t="s">
        <v>153</v>
      </c>
      <c r="P294" s="31" t="s">
        <v>147</v>
      </c>
    </row>
    <row r="295" spans="1:16" x14ac:dyDescent="0.2">
      <c r="A295" s="4">
        <v>14</v>
      </c>
      <c r="B295" s="31" t="s">
        <v>153</v>
      </c>
      <c r="L295" s="4">
        <v>14</v>
      </c>
      <c r="M295" s="31" t="s">
        <v>151</v>
      </c>
      <c r="O295" s="31" t="s">
        <v>17</v>
      </c>
      <c r="P295" s="31" t="s">
        <v>151</v>
      </c>
    </row>
    <row r="296" spans="1:16" x14ac:dyDescent="0.2">
      <c r="A296" s="4">
        <v>15</v>
      </c>
      <c r="B296" s="31" t="s">
        <v>17</v>
      </c>
      <c r="L296" s="4">
        <v>15</v>
      </c>
      <c r="M296" s="31" t="s">
        <v>153</v>
      </c>
      <c r="P296" s="31" t="s">
        <v>153</v>
      </c>
    </row>
    <row r="297" spans="1:16" x14ac:dyDescent="0.2">
      <c r="L297" s="4">
        <v>16</v>
      </c>
      <c r="M297" s="31" t="s">
        <v>17</v>
      </c>
      <c r="P297" s="31" t="s">
        <v>1062</v>
      </c>
    </row>
    <row r="298" spans="1:16" x14ac:dyDescent="0.2">
      <c r="P298" s="31" t="s">
        <v>143</v>
      </c>
    </row>
    <row r="299" spans="1:16" x14ac:dyDescent="0.2">
      <c r="P299" s="31" t="s">
        <v>17</v>
      </c>
    </row>
    <row r="305" spans="1:16" x14ac:dyDescent="0.2">
      <c r="B305" s="31"/>
    </row>
    <row r="306" spans="1:16" x14ac:dyDescent="0.2">
      <c r="A306" s="17" t="s">
        <v>128</v>
      </c>
    </row>
    <row r="307" spans="1:16" x14ac:dyDescent="0.2">
      <c r="B307" s="11" t="s">
        <v>158</v>
      </c>
      <c r="M307" s="31" t="s">
        <v>149</v>
      </c>
      <c r="N307" s="31" t="s">
        <v>149</v>
      </c>
      <c r="O307" s="31" t="s">
        <v>149</v>
      </c>
      <c r="P307" s="31" t="s">
        <v>149</v>
      </c>
    </row>
    <row r="308" spans="1:16" x14ac:dyDescent="0.2">
      <c r="B308" s="5" t="s">
        <v>130</v>
      </c>
      <c r="D308" s="4" t="s">
        <v>7</v>
      </c>
      <c r="E308" s="4" t="s">
        <v>7</v>
      </c>
      <c r="F308" s="4" t="s">
        <v>7</v>
      </c>
      <c r="G308" s="4" t="s">
        <v>7</v>
      </c>
      <c r="H308" s="4" t="s">
        <v>7</v>
      </c>
      <c r="I308" s="4" t="s">
        <v>7</v>
      </c>
      <c r="J308" s="4" t="s">
        <v>7</v>
      </c>
      <c r="K308" s="4" t="s">
        <v>7</v>
      </c>
      <c r="M308" s="29" t="s">
        <v>131</v>
      </c>
      <c r="N308" s="29" t="s">
        <v>132</v>
      </c>
      <c r="O308" s="5" t="s">
        <v>133</v>
      </c>
      <c r="P308" s="5" t="s">
        <v>1069</v>
      </c>
    </row>
    <row r="309" spans="1:16" x14ac:dyDescent="0.2">
      <c r="A309" s="4">
        <v>1</v>
      </c>
      <c r="B309" s="31"/>
      <c r="C309" s="5" t="s">
        <v>122</v>
      </c>
      <c r="D309" s="6">
        <v>1</v>
      </c>
      <c r="E309" s="6">
        <v>1</v>
      </c>
      <c r="F309" s="6">
        <v>1</v>
      </c>
      <c r="G309" s="6">
        <v>1</v>
      </c>
      <c r="H309" s="6">
        <v>1</v>
      </c>
      <c r="I309" s="6">
        <v>1</v>
      </c>
      <c r="J309" s="6">
        <v>1</v>
      </c>
      <c r="K309" s="6">
        <v>1</v>
      </c>
      <c r="L309" s="4">
        <v>1</v>
      </c>
      <c r="M309" s="31"/>
      <c r="N309" s="31"/>
      <c r="O309" s="31"/>
    </row>
    <row r="310" spans="1:16" x14ac:dyDescent="0.2">
      <c r="A310" s="4">
        <v>2</v>
      </c>
      <c r="B310" s="31" t="s">
        <v>159</v>
      </c>
      <c r="C310" s="5" t="s">
        <v>124</v>
      </c>
      <c r="D310" s="6">
        <v>1</v>
      </c>
      <c r="E310" s="6">
        <v>1</v>
      </c>
      <c r="F310" s="6">
        <v>0</v>
      </c>
      <c r="G310" s="6">
        <v>1</v>
      </c>
      <c r="H310" s="6">
        <v>0</v>
      </c>
      <c r="I310" s="6">
        <v>0</v>
      </c>
      <c r="J310" s="6">
        <v>0</v>
      </c>
      <c r="K310" s="6">
        <v>0</v>
      </c>
      <c r="L310" s="4">
        <v>2</v>
      </c>
      <c r="M310" s="31" t="s">
        <v>160</v>
      </c>
      <c r="N310" s="31" t="s">
        <v>161</v>
      </c>
      <c r="O310" s="31" t="s">
        <v>160</v>
      </c>
      <c r="P310" s="31" t="s">
        <v>160</v>
      </c>
    </row>
    <row r="311" spans="1:16" x14ac:dyDescent="0.2">
      <c r="A311" s="4">
        <v>3</v>
      </c>
      <c r="B311" s="31" t="s">
        <v>162</v>
      </c>
      <c r="C311" s="5" t="s">
        <v>125</v>
      </c>
      <c r="D311" s="6">
        <v>1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4">
        <v>3</v>
      </c>
      <c r="M311" s="31" t="s">
        <v>163</v>
      </c>
      <c r="N311" s="31" t="s">
        <v>164</v>
      </c>
      <c r="O311" s="31" t="s">
        <v>165</v>
      </c>
      <c r="P311" s="31" t="s">
        <v>163</v>
      </c>
    </row>
    <row r="312" spans="1:16" x14ac:dyDescent="0.2">
      <c r="A312" s="4">
        <v>4</v>
      </c>
      <c r="B312" s="31" t="s">
        <v>166</v>
      </c>
      <c r="C312" s="5" t="s">
        <v>126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4">
        <v>4</v>
      </c>
      <c r="M312" s="31" t="s">
        <v>167</v>
      </c>
      <c r="N312" s="31" t="s">
        <v>168</v>
      </c>
      <c r="O312" s="31" t="s">
        <v>168</v>
      </c>
      <c r="P312" s="31" t="s">
        <v>167</v>
      </c>
    </row>
    <row r="313" spans="1:16" x14ac:dyDescent="0.2">
      <c r="A313" s="4">
        <v>5</v>
      </c>
      <c r="B313" s="31" t="s">
        <v>169</v>
      </c>
      <c r="C313" s="5" t="s">
        <v>127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4">
        <v>5</v>
      </c>
      <c r="M313" s="31" t="s">
        <v>170</v>
      </c>
      <c r="N313" s="31" t="s">
        <v>171</v>
      </c>
      <c r="O313" s="31" t="s">
        <v>171</v>
      </c>
      <c r="P313" s="31" t="s">
        <v>170</v>
      </c>
    </row>
    <row r="314" spans="1:16" x14ac:dyDescent="0.2">
      <c r="A314" s="4">
        <v>6</v>
      </c>
      <c r="B314" s="31" t="s">
        <v>172</v>
      </c>
      <c r="L314" s="4">
        <v>6</v>
      </c>
      <c r="M314" s="31" t="s">
        <v>168</v>
      </c>
      <c r="N314" s="31" t="s">
        <v>173</v>
      </c>
      <c r="O314" s="31" t="s">
        <v>174</v>
      </c>
      <c r="P314" s="31" t="s">
        <v>168</v>
      </c>
    </row>
    <row r="315" spans="1:16" x14ac:dyDescent="0.2">
      <c r="A315" s="4">
        <v>7</v>
      </c>
      <c r="B315" s="31" t="s">
        <v>175</v>
      </c>
      <c r="L315" s="4">
        <v>7</v>
      </c>
      <c r="M315" s="31" t="s">
        <v>171</v>
      </c>
      <c r="N315" s="31" t="s">
        <v>174</v>
      </c>
      <c r="O315" s="31" t="s">
        <v>176</v>
      </c>
      <c r="P315" s="31" t="s">
        <v>171</v>
      </c>
    </row>
    <row r="316" spans="1:16" x14ac:dyDescent="0.2">
      <c r="A316" s="4">
        <v>8</v>
      </c>
      <c r="B316" s="31" t="s">
        <v>177</v>
      </c>
      <c r="L316" s="4">
        <v>8</v>
      </c>
      <c r="M316" s="31" t="s">
        <v>174</v>
      </c>
      <c r="N316" s="31" t="s">
        <v>176</v>
      </c>
      <c r="O316" s="31" t="s">
        <v>178</v>
      </c>
      <c r="P316" s="31" t="s">
        <v>174</v>
      </c>
    </row>
    <row r="317" spans="1:16" x14ac:dyDescent="0.2">
      <c r="A317" s="4">
        <v>9</v>
      </c>
      <c r="B317" s="31" t="s">
        <v>179</v>
      </c>
      <c r="L317" s="4">
        <v>9</v>
      </c>
      <c r="M317" s="31" t="s">
        <v>176</v>
      </c>
      <c r="N317" s="31" t="s">
        <v>180</v>
      </c>
      <c r="O317" s="31" t="s">
        <v>175</v>
      </c>
      <c r="P317" s="31" t="s">
        <v>176</v>
      </c>
    </row>
    <row r="318" spans="1:16" x14ac:dyDescent="0.2">
      <c r="A318" s="4">
        <v>10</v>
      </c>
      <c r="B318" s="31" t="s">
        <v>181</v>
      </c>
      <c r="L318" s="4">
        <v>10</v>
      </c>
      <c r="M318" s="31" t="s">
        <v>172</v>
      </c>
      <c r="N318" s="31" t="s">
        <v>17</v>
      </c>
      <c r="O318" s="31" t="s">
        <v>182</v>
      </c>
      <c r="P318" s="31" t="s">
        <v>172</v>
      </c>
    </row>
    <row r="319" spans="1:16" x14ac:dyDescent="0.2">
      <c r="A319" s="4">
        <v>11</v>
      </c>
      <c r="B319" s="31" t="s">
        <v>183</v>
      </c>
      <c r="L319" s="4">
        <v>11</v>
      </c>
      <c r="M319" s="31" t="s">
        <v>175</v>
      </c>
      <c r="N319" s="33"/>
      <c r="O319" s="31" t="s">
        <v>184</v>
      </c>
      <c r="P319" s="31" t="s">
        <v>175</v>
      </c>
    </row>
    <row r="320" spans="1:16" x14ac:dyDescent="0.2">
      <c r="A320" s="4">
        <v>12</v>
      </c>
      <c r="B320" s="31" t="s">
        <v>185</v>
      </c>
      <c r="L320" s="4">
        <v>12</v>
      </c>
      <c r="M320" s="31" t="s">
        <v>182</v>
      </c>
      <c r="N320" s="33"/>
      <c r="O320" s="31" t="s">
        <v>151</v>
      </c>
      <c r="P320" s="31" t="s">
        <v>182</v>
      </c>
    </row>
    <row r="321" spans="1:16" x14ac:dyDescent="0.2">
      <c r="A321" s="4">
        <v>13</v>
      </c>
      <c r="B321" s="31" t="s">
        <v>151</v>
      </c>
      <c r="L321" s="4">
        <v>13</v>
      </c>
      <c r="M321" s="31" t="s">
        <v>184</v>
      </c>
      <c r="N321" s="33"/>
      <c r="O321" s="31" t="s">
        <v>180</v>
      </c>
      <c r="P321" s="31" t="s">
        <v>184</v>
      </c>
    </row>
    <row r="322" spans="1:16" x14ac:dyDescent="0.2">
      <c r="A322" s="4">
        <v>14</v>
      </c>
      <c r="B322" s="31" t="s">
        <v>180</v>
      </c>
      <c r="L322" s="4">
        <v>14</v>
      </c>
      <c r="M322" s="31" t="s">
        <v>151</v>
      </c>
      <c r="N322" s="33"/>
      <c r="O322" s="31" t="s">
        <v>17</v>
      </c>
      <c r="P322" s="31" t="s">
        <v>151</v>
      </c>
    </row>
    <row r="323" spans="1:16" x14ac:dyDescent="0.2">
      <c r="A323" s="4">
        <v>15</v>
      </c>
      <c r="B323" s="31" t="s">
        <v>17</v>
      </c>
      <c r="L323" s="4">
        <v>15</v>
      </c>
      <c r="M323" s="31" t="s">
        <v>180</v>
      </c>
      <c r="P323" s="31" t="s">
        <v>180</v>
      </c>
    </row>
    <row r="324" spans="1:16" x14ac:dyDescent="0.2">
      <c r="L324" s="4">
        <v>16</v>
      </c>
      <c r="M324" s="31" t="s">
        <v>17</v>
      </c>
      <c r="P324" s="31" t="s">
        <v>161</v>
      </c>
    </row>
    <row r="325" spans="1:16" ht="12" customHeight="1" x14ac:dyDescent="0.2">
      <c r="P325" s="31" t="s">
        <v>164</v>
      </c>
    </row>
    <row r="326" spans="1:16" x14ac:dyDescent="0.2">
      <c r="P326" s="31" t="s">
        <v>165</v>
      </c>
    </row>
    <row r="327" spans="1:16" x14ac:dyDescent="0.2">
      <c r="P327" s="31" t="s">
        <v>17</v>
      </c>
    </row>
    <row r="332" spans="1:16" x14ac:dyDescent="0.2">
      <c r="A332" s="17" t="s">
        <v>186</v>
      </c>
    </row>
    <row r="333" spans="1:16" x14ac:dyDescent="0.2">
      <c r="B333" s="11" t="s">
        <v>187</v>
      </c>
    </row>
    <row r="334" spans="1:16" x14ac:dyDescent="0.2">
      <c r="B334" s="29" t="str">
        <f>CHOOSE(D39,"Input Range(ADP)","Input Range(Construction)","Input Range(Equipment)","Input Range (Other)")</f>
        <v>Input Range(ADP)</v>
      </c>
      <c r="D334" s="4" t="s">
        <v>7</v>
      </c>
      <c r="E334" s="4" t="s">
        <v>7</v>
      </c>
      <c r="F334" s="4" t="s">
        <v>7</v>
      </c>
      <c r="G334" s="4" t="s">
        <v>7</v>
      </c>
      <c r="H334" s="4" t="s">
        <v>7</v>
      </c>
      <c r="I334" s="4" t="s">
        <v>7</v>
      </c>
      <c r="J334" s="4" t="s">
        <v>7</v>
      </c>
      <c r="K334" s="4" t="s">
        <v>7</v>
      </c>
    </row>
    <row r="335" spans="1:16" x14ac:dyDescent="0.2">
      <c r="A335" s="4">
        <v>1</v>
      </c>
      <c r="B335" s="31"/>
      <c r="C335" s="5" t="s">
        <v>122</v>
      </c>
      <c r="D335" s="6">
        <v>1</v>
      </c>
      <c r="E335" s="6">
        <v>1</v>
      </c>
      <c r="F335" s="6">
        <v>1</v>
      </c>
      <c r="G335" s="6">
        <v>1</v>
      </c>
      <c r="H335" s="6">
        <v>1</v>
      </c>
      <c r="I335" s="6">
        <v>1</v>
      </c>
      <c r="J335" s="6">
        <v>1</v>
      </c>
      <c r="K335" s="6">
        <v>1</v>
      </c>
    </row>
    <row r="336" spans="1:16" x14ac:dyDescent="0.2">
      <c r="A336" s="4">
        <v>2</v>
      </c>
      <c r="B336" s="31" t="s">
        <v>188</v>
      </c>
      <c r="C336" s="5" t="s">
        <v>124</v>
      </c>
      <c r="D336" s="6">
        <v>0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</row>
    <row r="337" spans="1:11" x14ac:dyDescent="0.2">
      <c r="A337" s="4">
        <v>3</v>
      </c>
      <c r="B337" s="31" t="s">
        <v>189</v>
      </c>
      <c r="C337" s="5" t="s">
        <v>125</v>
      </c>
      <c r="D337" s="6">
        <v>0</v>
      </c>
      <c r="E337" s="6">
        <v>0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</row>
    <row r="338" spans="1:11" x14ac:dyDescent="0.2">
      <c r="A338" s="4">
        <v>4</v>
      </c>
      <c r="B338" s="31" t="s">
        <v>190</v>
      </c>
      <c r="C338" s="5" t="s">
        <v>126</v>
      </c>
      <c r="D338" s="6">
        <v>1</v>
      </c>
      <c r="E338" s="6">
        <v>0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</row>
    <row r="339" spans="1:11" x14ac:dyDescent="0.2">
      <c r="A339" s="4">
        <v>5</v>
      </c>
      <c r="B339" s="31" t="s">
        <v>191</v>
      </c>
      <c r="C339" s="5" t="s">
        <v>127</v>
      </c>
      <c r="D339" s="6">
        <v>0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</row>
    <row r="340" spans="1:11" x14ac:dyDescent="0.2">
      <c r="A340" s="4">
        <v>6</v>
      </c>
      <c r="B340" s="31" t="s">
        <v>192</v>
      </c>
    </row>
    <row r="341" spans="1:11" x14ac:dyDescent="0.2">
      <c r="A341" s="4">
        <v>7</v>
      </c>
      <c r="B341" s="31" t="s">
        <v>193</v>
      </c>
    </row>
    <row r="342" spans="1:11" x14ac:dyDescent="0.2">
      <c r="A342" s="4">
        <v>8</v>
      </c>
      <c r="B342" s="31" t="s">
        <v>194</v>
      </c>
    </row>
    <row r="343" spans="1:11" x14ac:dyDescent="0.2">
      <c r="A343" s="4">
        <v>9</v>
      </c>
      <c r="B343" s="31" t="s">
        <v>17</v>
      </c>
    </row>
    <row r="352" spans="1:11" x14ac:dyDescent="0.2">
      <c r="B352" s="11" t="s">
        <v>195</v>
      </c>
    </row>
    <row r="353" spans="1:11" x14ac:dyDescent="0.2">
      <c r="B353" s="4" t="s">
        <v>6</v>
      </c>
      <c r="D353" s="4" t="s">
        <v>7</v>
      </c>
      <c r="G353" s="4" t="s">
        <v>196</v>
      </c>
    </row>
    <row r="354" spans="1:11" x14ac:dyDescent="0.2">
      <c r="A354" s="4">
        <v>1</v>
      </c>
      <c r="B354" s="31" t="s">
        <v>50</v>
      </c>
      <c r="C354" s="5" t="s">
        <v>197</v>
      </c>
      <c r="D354" s="6">
        <v>2</v>
      </c>
      <c r="G354" s="6">
        <v>2</v>
      </c>
    </row>
    <row r="355" spans="1:11" x14ac:dyDescent="0.2">
      <c r="A355" s="4">
        <v>2</v>
      </c>
      <c r="B355" s="31" t="s">
        <v>121</v>
      </c>
    </row>
    <row r="359" spans="1:11" x14ac:dyDescent="0.2">
      <c r="A359" s="17" t="s">
        <v>186</v>
      </c>
    </row>
    <row r="360" spans="1:11" x14ac:dyDescent="0.2">
      <c r="B360" s="11" t="s">
        <v>195</v>
      </c>
    </row>
    <row r="361" spans="1:11" x14ac:dyDescent="0.2">
      <c r="B361" s="29" t="str">
        <f>CHOOSE(D39,"Input Range(ADP)","Input Range(Construction)","Input Range(Equipment)","Input Range (Other)")</f>
        <v>Input Range(ADP)</v>
      </c>
      <c r="D361" s="4" t="s">
        <v>7</v>
      </c>
      <c r="E361" s="4" t="s">
        <v>7</v>
      </c>
      <c r="F361" s="4" t="s">
        <v>7</v>
      </c>
      <c r="G361" s="4" t="s">
        <v>7</v>
      </c>
      <c r="H361" s="4" t="s">
        <v>7</v>
      </c>
      <c r="I361" s="4" t="s">
        <v>7</v>
      </c>
      <c r="J361" s="4" t="s">
        <v>7</v>
      </c>
      <c r="K361" s="4" t="s">
        <v>7</v>
      </c>
    </row>
    <row r="362" spans="1:11" x14ac:dyDescent="0.2">
      <c r="A362" s="4">
        <v>1</v>
      </c>
      <c r="B362" s="31"/>
      <c r="C362" s="5" t="s">
        <v>122</v>
      </c>
      <c r="D362" s="32" t="s">
        <v>123</v>
      </c>
      <c r="E362" s="32" t="s">
        <v>123</v>
      </c>
      <c r="F362" s="32" t="s">
        <v>123</v>
      </c>
      <c r="G362" s="32" t="s">
        <v>123</v>
      </c>
      <c r="H362" s="32" t="s">
        <v>123</v>
      </c>
      <c r="I362" s="32" t="s">
        <v>123</v>
      </c>
      <c r="J362" s="32" t="s">
        <v>123</v>
      </c>
      <c r="K362" s="32" t="s">
        <v>123</v>
      </c>
    </row>
    <row r="363" spans="1:11" x14ac:dyDescent="0.2">
      <c r="A363" s="4">
        <v>2</v>
      </c>
      <c r="B363" s="31" t="s">
        <v>188</v>
      </c>
      <c r="C363" s="5" t="s">
        <v>124</v>
      </c>
      <c r="D363" s="6">
        <v>1</v>
      </c>
      <c r="E363" s="6">
        <v>1</v>
      </c>
      <c r="F363" s="6">
        <v>1</v>
      </c>
      <c r="G363" s="6">
        <v>1</v>
      </c>
      <c r="H363" s="6">
        <v>1</v>
      </c>
      <c r="I363" s="6">
        <v>1</v>
      </c>
      <c r="J363" s="6">
        <v>1</v>
      </c>
      <c r="K363" s="6">
        <v>1</v>
      </c>
    </row>
    <row r="364" spans="1:11" x14ac:dyDescent="0.2">
      <c r="A364" s="4">
        <v>3</v>
      </c>
      <c r="B364" s="31" t="s">
        <v>189</v>
      </c>
      <c r="C364" s="5" t="s">
        <v>125</v>
      </c>
      <c r="D364" s="6">
        <v>1</v>
      </c>
      <c r="E364" s="6">
        <v>1</v>
      </c>
      <c r="F364" s="6">
        <v>1</v>
      </c>
      <c r="G364" s="6">
        <v>1</v>
      </c>
      <c r="H364" s="6">
        <v>1</v>
      </c>
      <c r="I364" s="6">
        <v>1</v>
      </c>
      <c r="J364" s="6">
        <v>1</v>
      </c>
      <c r="K364" s="6">
        <v>1</v>
      </c>
    </row>
    <row r="365" spans="1:11" x14ac:dyDescent="0.2">
      <c r="A365" s="4">
        <v>4</v>
      </c>
      <c r="B365" s="31" t="s">
        <v>190</v>
      </c>
      <c r="C365" s="5" t="s">
        <v>126</v>
      </c>
      <c r="D365" s="6">
        <v>1</v>
      </c>
      <c r="E365" s="6">
        <v>1</v>
      </c>
      <c r="F365" s="6">
        <v>1</v>
      </c>
      <c r="G365" s="6">
        <v>1</v>
      </c>
      <c r="H365" s="6">
        <v>1</v>
      </c>
      <c r="I365" s="6">
        <v>1</v>
      </c>
      <c r="J365" s="6">
        <v>1</v>
      </c>
      <c r="K365" s="6">
        <v>1</v>
      </c>
    </row>
    <row r="366" spans="1:11" x14ac:dyDescent="0.2">
      <c r="A366" s="4">
        <v>5</v>
      </c>
      <c r="B366" s="31" t="s">
        <v>191</v>
      </c>
      <c r="C366" s="5" t="s">
        <v>127</v>
      </c>
      <c r="D366" s="6">
        <v>1</v>
      </c>
      <c r="E366" s="6">
        <v>1</v>
      </c>
      <c r="F366" s="6">
        <v>1</v>
      </c>
      <c r="G366" s="6">
        <v>1</v>
      </c>
      <c r="H366" s="6">
        <v>1</v>
      </c>
      <c r="I366" s="6">
        <v>1</v>
      </c>
      <c r="J366" s="6">
        <v>1</v>
      </c>
      <c r="K366" s="6">
        <v>1</v>
      </c>
    </row>
    <row r="367" spans="1:11" x14ac:dyDescent="0.2">
      <c r="A367" s="4">
        <v>6</v>
      </c>
      <c r="B367" s="31" t="s">
        <v>192</v>
      </c>
    </row>
    <row r="368" spans="1:11" x14ac:dyDescent="0.2">
      <c r="A368" s="4">
        <v>7</v>
      </c>
      <c r="B368" s="31" t="s">
        <v>155</v>
      </c>
    </row>
    <row r="369" spans="1:2" x14ac:dyDescent="0.2">
      <c r="A369" s="4">
        <v>8</v>
      </c>
      <c r="B369" s="31" t="s">
        <v>194</v>
      </c>
    </row>
    <row r="370" spans="1:2" x14ac:dyDescent="0.2">
      <c r="A370" s="4">
        <v>9</v>
      </c>
      <c r="B370" s="31" t="s">
        <v>17</v>
      </c>
    </row>
    <row r="384" spans="1:2" x14ac:dyDescent="0.2">
      <c r="A384" s="17" t="s">
        <v>186</v>
      </c>
    </row>
    <row r="385" spans="1:11" x14ac:dyDescent="0.2">
      <c r="B385" s="11" t="s">
        <v>198</v>
      </c>
    </row>
    <row r="386" spans="1:11" x14ac:dyDescent="0.2">
      <c r="B386" s="29" t="str">
        <f>CHOOSE(D39,"Input Range(ADP)","Input Range(Construction)","Input Range(Equipment)","Input Range (Other)")</f>
        <v>Input Range(ADP)</v>
      </c>
      <c r="D386" s="4" t="s">
        <v>7</v>
      </c>
      <c r="E386" s="4" t="s">
        <v>7</v>
      </c>
      <c r="F386" s="4" t="s">
        <v>7</v>
      </c>
      <c r="G386" s="4" t="s">
        <v>7</v>
      </c>
      <c r="H386" s="4" t="s">
        <v>7</v>
      </c>
      <c r="I386" s="4" t="s">
        <v>7</v>
      </c>
      <c r="J386" s="4" t="s">
        <v>7</v>
      </c>
      <c r="K386" s="4" t="s">
        <v>7</v>
      </c>
    </row>
    <row r="387" spans="1:11" x14ac:dyDescent="0.2">
      <c r="A387" s="4">
        <v>1</v>
      </c>
      <c r="B387" s="31"/>
      <c r="C387" s="5" t="s">
        <v>122</v>
      </c>
      <c r="D387" s="32" t="s">
        <v>123</v>
      </c>
      <c r="E387" s="32" t="s">
        <v>123</v>
      </c>
      <c r="F387" s="32" t="s">
        <v>123</v>
      </c>
      <c r="G387" s="32" t="s">
        <v>123</v>
      </c>
      <c r="H387" s="32" t="s">
        <v>123</v>
      </c>
      <c r="I387" s="32" t="s">
        <v>123</v>
      </c>
      <c r="J387" s="32" t="s">
        <v>123</v>
      </c>
      <c r="K387" s="32" t="s">
        <v>123</v>
      </c>
    </row>
    <row r="388" spans="1:11" x14ac:dyDescent="0.2">
      <c r="A388" s="4">
        <v>2</v>
      </c>
      <c r="B388" s="31" t="s">
        <v>188</v>
      </c>
      <c r="C388" s="5" t="s">
        <v>124</v>
      </c>
      <c r="D388" s="6">
        <v>1</v>
      </c>
      <c r="E388" s="6">
        <v>1</v>
      </c>
      <c r="F388" s="6">
        <v>1</v>
      </c>
      <c r="G388" s="6">
        <v>1</v>
      </c>
      <c r="H388" s="6">
        <v>1</v>
      </c>
      <c r="I388" s="6">
        <v>1</v>
      </c>
      <c r="J388" s="6">
        <v>1</v>
      </c>
      <c r="K388" s="6">
        <v>1</v>
      </c>
    </row>
    <row r="389" spans="1:11" x14ac:dyDescent="0.2">
      <c r="A389" s="4">
        <v>3</v>
      </c>
      <c r="B389" s="31" t="s">
        <v>189</v>
      </c>
      <c r="C389" s="5" t="s">
        <v>125</v>
      </c>
      <c r="D389" s="6">
        <v>1</v>
      </c>
      <c r="E389" s="6">
        <v>1</v>
      </c>
      <c r="F389" s="6">
        <v>1</v>
      </c>
      <c r="G389" s="6">
        <v>1</v>
      </c>
      <c r="H389" s="6">
        <v>1</v>
      </c>
      <c r="I389" s="6">
        <v>1</v>
      </c>
      <c r="J389" s="6">
        <v>1</v>
      </c>
      <c r="K389" s="6">
        <v>1</v>
      </c>
    </row>
    <row r="390" spans="1:11" x14ac:dyDescent="0.2">
      <c r="A390" s="4">
        <v>4</v>
      </c>
      <c r="B390" s="31" t="s">
        <v>190</v>
      </c>
      <c r="C390" s="5" t="s">
        <v>126</v>
      </c>
      <c r="D390" s="6">
        <v>1</v>
      </c>
      <c r="E390" s="6">
        <v>1</v>
      </c>
      <c r="F390" s="6">
        <v>1</v>
      </c>
      <c r="G390" s="6">
        <v>1</v>
      </c>
      <c r="H390" s="6">
        <v>1</v>
      </c>
      <c r="I390" s="6">
        <v>1</v>
      </c>
      <c r="J390" s="6">
        <v>1</v>
      </c>
      <c r="K390" s="6">
        <v>1</v>
      </c>
    </row>
    <row r="391" spans="1:11" x14ac:dyDescent="0.2">
      <c r="A391" s="4">
        <v>5</v>
      </c>
      <c r="B391" s="31" t="s">
        <v>191</v>
      </c>
      <c r="C391" s="5" t="s">
        <v>127</v>
      </c>
      <c r="D391" s="6">
        <v>1</v>
      </c>
      <c r="E391" s="6">
        <v>1</v>
      </c>
      <c r="F391" s="6">
        <v>1</v>
      </c>
      <c r="G391" s="6">
        <v>1</v>
      </c>
      <c r="H391" s="6">
        <v>1</v>
      </c>
      <c r="I391" s="6">
        <v>1</v>
      </c>
      <c r="J391" s="6">
        <v>1</v>
      </c>
      <c r="K391" s="6">
        <v>1</v>
      </c>
    </row>
    <row r="392" spans="1:11" x14ac:dyDescent="0.2">
      <c r="A392" s="4">
        <v>6</v>
      </c>
      <c r="B392" s="31" t="s">
        <v>192</v>
      </c>
    </row>
    <row r="393" spans="1:11" x14ac:dyDescent="0.2">
      <c r="A393" s="4">
        <v>7</v>
      </c>
      <c r="B393" s="31" t="s">
        <v>155</v>
      </c>
    </row>
    <row r="394" spans="1:11" x14ac:dyDescent="0.2">
      <c r="A394" s="4">
        <v>8</v>
      </c>
      <c r="B394" s="31" t="s">
        <v>194</v>
      </c>
    </row>
    <row r="395" spans="1:11" x14ac:dyDescent="0.2">
      <c r="A395" s="4">
        <v>9</v>
      </c>
      <c r="B395" s="31" t="s">
        <v>17</v>
      </c>
    </row>
    <row r="445" spans="1:4" x14ac:dyDescent="0.2">
      <c r="B445" s="11" t="s">
        <v>199</v>
      </c>
    </row>
    <row r="446" spans="1:4" x14ac:dyDescent="0.2">
      <c r="B446" s="5" t="s">
        <v>6</v>
      </c>
      <c r="D446" s="4" t="s">
        <v>7</v>
      </c>
    </row>
    <row r="447" spans="1:4" x14ac:dyDescent="0.2">
      <c r="A447" s="4">
        <v>1</v>
      </c>
      <c r="B447" s="34" t="s">
        <v>200</v>
      </c>
      <c r="D447" s="35">
        <v>0</v>
      </c>
    </row>
    <row r="455" spans="1:4" x14ac:dyDescent="0.2">
      <c r="B455" s="11" t="s">
        <v>201</v>
      </c>
    </row>
    <row r="456" spans="1:4" x14ac:dyDescent="0.2">
      <c r="B456" s="4" t="s">
        <v>6</v>
      </c>
      <c r="D456" s="4" t="s">
        <v>7</v>
      </c>
    </row>
    <row r="457" spans="1:4" x14ac:dyDescent="0.2">
      <c r="A457" s="4">
        <v>1</v>
      </c>
      <c r="C457" s="5" t="s">
        <v>202</v>
      </c>
      <c r="D457" s="6">
        <v>1</v>
      </c>
    </row>
    <row r="463" spans="1:4" x14ac:dyDescent="0.2">
      <c r="B463" s="11" t="s">
        <v>203</v>
      </c>
    </row>
    <row r="464" spans="1:4" x14ac:dyDescent="0.2">
      <c r="B464" s="4" t="s">
        <v>6</v>
      </c>
      <c r="D464" s="4" t="s">
        <v>7</v>
      </c>
    </row>
    <row r="465" spans="1:5" x14ac:dyDescent="0.2">
      <c r="A465" s="4">
        <v>1</v>
      </c>
      <c r="C465" s="5" t="s">
        <v>204</v>
      </c>
      <c r="D465" s="6">
        <v>1</v>
      </c>
    </row>
    <row r="471" spans="1:5" ht="10.8" thickBot="1" x14ac:dyDescent="0.25">
      <c r="B471" s="11" t="s">
        <v>205</v>
      </c>
    </row>
    <row r="472" spans="1:5" x14ac:dyDescent="0.2">
      <c r="B472" s="36"/>
      <c r="C472" s="37"/>
      <c r="D472" s="37"/>
      <c r="E472" s="38"/>
    </row>
    <row r="473" spans="1:5" x14ac:dyDescent="0.2">
      <c r="B473" s="39" t="s">
        <v>206</v>
      </c>
      <c r="C473" s="40"/>
      <c r="D473" s="40" t="s">
        <v>207</v>
      </c>
      <c r="E473" s="41"/>
    </row>
    <row r="474" spans="1:5" x14ac:dyDescent="0.2">
      <c r="B474" s="39" t="s">
        <v>208</v>
      </c>
      <c r="C474" s="40"/>
      <c r="D474" s="40"/>
      <c r="E474" s="41"/>
    </row>
    <row r="475" spans="1:5" ht="10.8" thickBot="1" x14ac:dyDescent="0.25">
      <c r="B475" s="42"/>
      <c r="C475" s="43"/>
      <c r="D475" s="43"/>
      <c r="E475" s="44"/>
    </row>
    <row r="479" spans="1:5" x14ac:dyDescent="0.2">
      <c r="B479" s="11" t="s">
        <v>209</v>
      </c>
    </row>
    <row r="480" spans="1:5" x14ac:dyDescent="0.2">
      <c r="B480" s="4" t="s">
        <v>210</v>
      </c>
    </row>
    <row r="481" spans="2:3" x14ac:dyDescent="0.2">
      <c r="B481" s="4" t="s">
        <v>211</v>
      </c>
    </row>
    <row r="483" spans="2:3" ht="10.8" thickBot="1" x14ac:dyDescent="0.25">
      <c r="B483" s="4" t="s">
        <v>212</v>
      </c>
      <c r="C483" s="4" t="s">
        <v>213</v>
      </c>
    </row>
    <row r="484" spans="2:3" ht="11.4" thickTop="1" thickBot="1" x14ac:dyDescent="0.25">
      <c r="B484" s="45">
        <v>1</v>
      </c>
      <c r="C484" s="46">
        <v>13</v>
      </c>
    </row>
    <row r="485" spans="2:3" ht="10.8" thickTop="1" x14ac:dyDescent="0.2">
      <c r="B485" s="47">
        <v>1</v>
      </c>
    </row>
    <row r="486" spans="2:3" x14ac:dyDescent="0.2">
      <c r="B486" s="47">
        <v>1</v>
      </c>
    </row>
    <row r="487" spans="2:3" x14ac:dyDescent="0.2">
      <c r="B487" s="47">
        <v>1</v>
      </c>
    </row>
    <row r="488" spans="2:3" x14ac:dyDescent="0.2">
      <c r="B488" s="47">
        <v>1</v>
      </c>
    </row>
    <row r="489" spans="2:3" x14ac:dyDescent="0.2">
      <c r="B489" s="47">
        <v>0</v>
      </c>
    </row>
    <row r="490" spans="2:3" x14ac:dyDescent="0.2">
      <c r="B490" s="47">
        <v>1</v>
      </c>
    </row>
    <row r="491" spans="2:3" x14ac:dyDescent="0.2">
      <c r="B491" s="47">
        <v>1</v>
      </c>
    </row>
    <row r="492" spans="2:3" x14ac:dyDescent="0.2">
      <c r="B492" s="47">
        <v>1</v>
      </c>
    </row>
    <row r="493" spans="2:3" x14ac:dyDescent="0.2">
      <c r="B493" s="47">
        <v>1</v>
      </c>
    </row>
    <row r="494" spans="2:3" x14ac:dyDescent="0.2">
      <c r="B494" s="47">
        <v>0</v>
      </c>
    </row>
    <row r="495" spans="2:3" x14ac:dyDescent="0.2">
      <c r="B495" s="47">
        <v>0</v>
      </c>
    </row>
    <row r="496" spans="2:3" x14ac:dyDescent="0.2">
      <c r="B496" s="47">
        <v>1</v>
      </c>
    </row>
    <row r="497" spans="2:2" x14ac:dyDescent="0.2">
      <c r="B497" s="47">
        <v>0</v>
      </c>
    </row>
    <row r="498" spans="2:2" x14ac:dyDescent="0.2">
      <c r="B498" s="47">
        <v>0</v>
      </c>
    </row>
    <row r="499" spans="2:2" x14ac:dyDescent="0.2">
      <c r="B499" s="47">
        <v>0</v>
      </c>
    </row>
    <row r="500" spans="2:2" x14ac:dyDescent="0.2">
      <c r="B500" s="47">
        <v>0</v>
      </c>
    </row>
    <row r="501" spans="2:2" x14ac:dyDescent="0.2">
      <c r="B501" s="47">
        <v>0</v>
      </c>
    </row>
    <row r="502" spans="2:2" x14ac:dyDescent="0.2">
      <c r="B502" s="47">
        <v>0</v>
      </c>
    </row>
    <row r="503" spans="2:2" x14ac:dyDescent="0.2">
      <c r="B503" s="47">
        <v>0</v>
      </c>
    </row>
    <row r="504" spans="2:2" x14ac:dyDescent="0.2">
      <c r="B504" s="47">
        <v>0</v>
      </c>
    </row>
    <row r="505" spans="2:2" x14ac:dyDescent="0.2">
      <c r="B505" s="47">
        <v>0</v>
      </c>
    </row>
    <row r="506" spans="2:2" x14ac:dyDescent="0.2">
      <c r="B506" s="47">
        <v>0</v>
      </c>
    </row>
    <row r="507" spans="2:2" x14ac:dyDescent="0.2">
      <c r="B507" s="47">
        <v>0</v>
      </c>
    </row>
    <row r="508" spans="2:2" x14ac:dyDescent="0.2">
      <c r="B508" s="47">
        <v>0</v>
      </c>
    </row>
    <row r="509" spans="2:2" x14ac:dyDescent="0.2">
      <c r="B509" s="47">
        <v>0</v>
      </c>
    </row>
    <row r="510" spans="2:2" x14ac:dyDescent="0.2">
      <c r="B510" s="47">
        <v>0</v>
      </c>
    </row>
    <row r="511" spans="2:2" x14ac:dyDescent="0.2">
      <c r="B511" s="47">
        <v>0</v>
      </c>
    </row>
    <row r="512" spans="2:2" x14ac:dyDescent="0.2">
      <c r="B512" s="47">
        <v>0</v>
      </c>
    </row>
    <row r="513" spans="2:3" x14ac:dyDescent="0.2">
      <c r="B513" s="47">
        <v>0</v>
      </c>
    </row>
    <row r="514" spans="2:3" x14ac:dyDescent="0.2">
      <c r="B514" s="47">
        <v>0</v>
      </c>
    </row>
    <row r="515" spans="2:3" x14ac:dyDescent="0.2">
      <c r="B515" s="47">
        <v>0</v>
      </c>
    </row>
    <row r="516" spans="2:3" x14ac:dyDescent="0.2">
      <c r="B516" s="47">
        <v>0</v>
      </c>
    </row>
    <row r="517" spans="2:3" x14ac:dyDescent="0.2">
      <c r="B517" s="47">
        <v>0</v>
      </c>
    </row>
    <row r="518" spans="2:3" x14ac:dyDescent="0.2">
      <c r="B518" s="47">
        <v>0</v>
      </c>
    </row>
    <row r="519" spans="2:3" x14ac:dyDescent="0.2">
      <c r="B519" s="47">
        <v>0</v>
      </c>
    </row>
    <row r="520" spans="2:3" ht="10.8" thickBot="1" x14ac:dyDescent="0.25">
      <c r="B520" s="48">
        <v>0</v>
      </c>
    </row>
    <row r="521" spans="2:3" ht="10.8" thickTop="1" x14ac:dyDescent="0.2"/>
    <row r="523" spans="2:3" ht="10.8" thickBot="1" x14ac:dyDescent="0.25"/>
    <row r="524" spans="2:3" ht="10.8" thickTop="1" x14ac:dyDescent="0.2">
      <c r="B524" s="49"/>
    </row>
    <row r="525" spans="2:3" x14ac:dyDescent="0.2">
      <c r="B525" s="50">
        <v>1</v>
      </c>
      <c r="C525" s="20" t="s">
        <v>214</v>
      </c>
    </row>
    <row r="526" spans="2:3" ht="10.8" thickBot="1" x14ac:dyDescent="0.25">
      <c r="B526" s="51"/>
    </row>
    <row r="527" spans="2:3" ht="10.8" thickTop="1" x14ac:dyDescent="0.2"/>
    <row r="528" spans="2:3" ht="10.8" thickBot="1" x14ac:dyDescent="0.25">
      <c r="B528" s="4" t="s">
        <v>215</v>
      </c>
    </row>
    <row r="529" spans="2:11" ht="10.8" thickBot="1" x14ac:dyDescent="0.25">
      <c r="B529" s="52" t="s">
        <v>216</v>
      </c>
      <c r="C529" s="53"/>
      <c r="D529" s="53"/>
      <c r="E529" s="53"/>
      <c r="F529" s="53"/>
      <c r="G529" s="53"/>
      <c r="H529" s="53"/>
      <c r="I529" s="53"/>
      <c r="J529" s="53"/>
      <c r="K529" s="54"/>
    </row>
    <row r="530" spans="2:11" ht="10.8" thickBot="1" x14ac:dyDescent="0.25">
      <c r="B530" s="55" t="str">
        <f>IF(RIGHT(B529,4)&lt;&gt;".txt","ERROR"," ")</f>
        <v xml:space="preserve"> </v>
      </c>
    </row>
    <row r="534" spans="2:11" ht="10.8" thickBot="1" x14ac:dyDescent="0.25">
      <c r="B534" s="4" t="s">
        <v>217</v>
      </c>
    </row>
    <row r="535" spans="2:11" ht="10.8" thickBot="1" x14ac:dyDescent="0.25">
      <c r="B535" s="55">
        <v>2</v>
      </c>
    </row>
  </sheetData>
  <sheetProtection algorithmName="SHA-512" hashValue="IvfHVAhb5FfQMYW62+53fY5mc6YDMbXBKOwqJm3CmeZuW7l1LniYGkMscRxoAUnl7IPWjrt326jfObN/0/iZLQ==" saltValue="fwt0eCVpyYfvVhfF0ObRDg==" spinCount="100000" sheet="1" objects="1" scenarios="1" selectLockedCells="1" selectUnlockedCells="1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IT532"/>
  <sheetViews>
    <sheetView showGridLines="0" workbookViewId="0"/>
  </sheetViews>
  <sheetFormatPr defaultColWidth="0" defaultRowHeight="12.6" customHeight="1" zeroHeight="1" x14ac:dyDescent="0.25"/>
  <cols>
    <col min="1" max="1" width="8.5546875" style="58" customWidth="1"/>
    <col min="2" max="2" width="5.6640625" style="58" customWidth="1"/>
    <col min="3" max="3" width="6.6640625" style="58" customWidth="1"/>
    <col min="4" max="13" width="15.44140625" style="58" customWidth="1"/>
    <col min="14" max="256" width="0" style="58" hidden="1"/>
    <col min="257" max="257" width="8.5546875" style="58" customWidth="1"/>
    <col min="258" max="258" width="5.6640625" style="58" customWidth="1"/>
    <col min="259" max="259" width="6.6640625" style="58" customWidth="1"/>
    <col min="260" max="269" width="15.44140625" style="58" customWidth="1"/>
    <col min="270" max="512" width="0" style="58" hidden="1"/>
    <col min="513" max="513" width="8.5546875" style="58" customWidth="1"/>
    <col min="514" max="514" width="5.6640625" style="58" customWidth="1"/>
    <col min="515" max="515" width="6.6640625" style="58" customWidth="1"/>
    <col min="516" max="525" width="15.44140625" style="58" customWidth="1"/>
    <col min="526" max="768" width="0" style="58" hidden="1"/>
    <col min="769" max="769" width="8.5546875" style="58" customWidth="1"/>
    <col min="770" max="770" width="5.6640625" style="58" customWidth="1"/>
    <col min="771" max="771" width="6.6640625" style="58" customWidth="1"/>
    <col min="772" max="781" width="15.44140625" style="58" customWidth="1"/>
    <col min="782" max="1024" width="0" style="58" hidden="1"/>
    <col min="1025" max="1025" width="8.5546875" style="58" customWidth="1"/>
    <col min="1026" max="1026" width="5.6640625" style="58" customWidth="1"/>
    <col min="1027" max="1027" width="6.6640625" style="58" customWidth="1"/>
    <col min="1028" max="1037" width="15.44140625" style="58" customWidth="1"/>
    <col min="1038" max="1280" width="0" style="58" hidden="1"/>
    <col min="1281" max="1281" width="8.5546875" style="58" customWidth="1"/>
    <col min="1282" max="1282" width="5.6640625" style="58" customWidth="1"/>
    <col min="1283" max="1283" width="6.6640625" style="58" customWidth="1"/>
    <col min="1284" max="1293" width="15.44140625" style="58" customWidth="1"/>
    <col min="1294" max="1536" width="0" style="58" hidden="1"/>
    <col min="1537" max="1537" width="8.5546875" style="58" customWidth="1"/>
    <col min="1538" max="1538" width="5.6640625" style="58" customWidth="1"/>
    <col min="1539" max="1539" width="6.6640625" style="58" customWidth="1"/>
    <col min="1540" max="1549" width="15.44140625" style="58" customWidth="1"/>
    <col min="1550" max="1792" width="0" style="58" hidden="1"/>
    <col min="1793" max="1793" width="8.5546875" style="58" customWidth="1"/>
    <col min="1794" max="1794" width="5.6640625" style="58" customWidth="1"/>
    <col min="1795" max="1795" width="6.6640625" style="58" customWidth="1"/>
    <col min="1796" max="1805" width="15.44140625" style="58" customWidth="1"/>
    <col min="1806" max="2048" width="0" style="58" hidden="1"/>
    <col min="2049" max="2049" width="8.5546875" style="58" customWidth="1"/>
    <col min="2050" max="2050" width="5.6640625" style="58" customWidth="1"/>
    <col min="2051" max="2051" width="6.6640625" style="58" customWidth="1"/>
    <col min="2052" max="2061" width="15.44140625" style="58" customWidth="1"/>
    <col min="2062" max="2304" width="0" style="58" hidden="1"/>
    <col min="2305" max="2305" width="8.5546875" style="58" customWidth="1"/>
    <col min="2306" max="2306" width="5.6640625" style="58" customWidth="1"/>
    <col min="2307" max="2307" width="6.6640625" style="58" customWidth="1"/>
    <col min="2308" max="2317" width="15.44140625" style="58" customWidth="1"/>
    <col min="2318" max="2560" width="0" style="58" hidden="1"/>
    <col min="2561" max="2561" width="8.5546875" style="58" customWidth="1"/>
    <col min="2562" max="2562" width="5.6640625" style="58" customWidth="1"/>
    <col min="2563" max="2563" width="6.6640625" style="58" customWidth="1"/>
    <col min="2564" max="2573" width="15.44140625" style="58" customWidth="1"/>
    <col min="2574" max="2816" width="0" style="58" hidden="1"/>
    <col min="2817" max="2817" width="8.5546875" style="58" customWidth="1"/>
    <col min="2818" max="2818" width="5.6640625" style="58" customWidth="1"/>
    <col min="2819" max="2819" width="6.6640625" style="58" customWidth="1"/>
    <col min="2820" max="2829" width="15.44140625" style="58" customWidth="1"/>
    <col min="2830" max="3072" width="0" style="58" hidden="1"/>
    <col min="3073" max="3073" width="8.5546875" style="58" customWidth="1"/>
    <col min="3074" max="3074" width="5.6640625" style="58" customWidth="1"/>
    <col min="3075" max="3075" width="6.6640625" style="58" customWidth="1"/>
    <col min="3076" max="3085" width="15.44140625" style="58" customWidth="1"/>
    <col min="3086" max="3328" width="0" style="58" hidden="1"/>
    <col min="3329" max="3329" width="8.5546875" style="58" customWidth="1"/>
    <col min="3330" max="3330" width="5.6640625" style="58" customWidth="1"/>
    <col min="3331" max="3331" width="6.6640625" style="58" customWidth="1"/>
    <col min="3332" max="3341" width="15.44140625" style="58" customWidth="1"/>
    <col min="3342" max="3584" width="0" style="58" hidden="1"/>
    <col min="3585" max="3585" width="8.5546875" style="58" customWidth="1"/>
    <col min="3586" max="3586" width="5.6640625" style="58" customWidth="1"/>
    <col min="3587" max="3587" width="6.6640625" style="58" customWidth="1"/>
    <col min="3588" max="3597" width="15.44140625" style="58" customWidth="1"/>
    <col min="3598" max="3840" width="0" style="58" hidden="1"/>
    <col min="3841" max="3841" width="8.5546875" style="58" customWidth="1"/>
    <col min="3842" max="3842" width="5.6640625" style="58" customWidth="1"/>
    <col min="3843" max="3843" width="6.6640625" style="58" customWidth="1"/>
    <col min="3844" max="3853" width="15.44140625" style="58" customWidth="1"/>
    <col min="3854" max="4096" width="0" style="58" hidden="1"/>
    <col min="4097" max="4097" width="8.5546875" style="58" customWidth="1"/>
    <col min="4098" max="4098" width="5.6640625" style="58" customWidth="1"/>
    <col min="4099" max="4099" width="6.6640625" style="58" customWidth="1"/>
    <col min="4100" max="4109" width="15.44140625" style="58" customWidth="1"/>
    <col min="4110" max="4352" width="0" style="58" hidden="1"/>
    <col min="4353" max="4353" width="8.5546875" style="58" customWidth="1"/>
    <col min="4354" max="4354" width="5.6640625" style="58" customWidth="1"/>
    <col min="4355" max="4355" width="6.6640625" style="58" customWidth="1"/>
    <col min="4356" max="4365" width="15.44140625" style="58" customWidth="1"/>
    <col min="4366" max="4608" width="0" style="58" hidden="1"/>
    <col min="4609" max="4609" width="8.5546875" style="58" customWidth="1"/>
    <col min="4610" max="4610" width="5.6640625" style="58" customWidth="1"/>
    <col min="4611" max="4611" width="6.6640625" style="58" customWidth="1"/>
    <col min="4612" max="4621" width="15.44140625" style="58" customWidth="1"/>
    <col min="4622" max="4864" width="0" style="58" hidden="1"/>
    <col min="4865" max="4865" width="8.5546875" style="58" customWidth="1"/>
    <col min="4866" max="4866" width="5.6640625" style="58" customWidth="1"/>
    <col min="4867" max="4867" width="6.6640625" style="58" customWidth="1"/>
    <col min="4868" max="4877" width="15.44140625" style="58" customWidth="1"/>
    <col min="4878" max="5120" width="0" style="58" hidden="1"/>
    <col min="5121" max="5121" width="8.5546875" style="58" customWidth="1"/>
    <col min="5122" max="5122" width="5.6640625" style="58" customWidth="1"/>
    <col min="5123" max="5123" width="6.6640625" style="58" customWidth="1"/>
    <col min="5124" max="5133" width="15.44140625" style="58" customWidth="1"/>
    <col min="5134" max="5376" width="0" style="58" hidden="1"/>
    <col min="5377" max="5377" width="8.5546875" style="58" customWidth="1"/>
    <col min="5378" max="5378" width="5.6640625" style="58" customWidth="1"/>
    <col min="5379" max="5379" width="6.6640625" style="58" customWidth="1"/>
    <col min="5380" max="5389" width="15.44140625" style="58" customWidth="1"/>
    <col min="5390" max="5632" width="0" style="58" hidden="1"/>
    <col min="5633" max="5633" width="8.5546875" style="58" customWidth="1"/>
    <col min="5634" max="5634" width="5.6640625" style="58" customWidth="1"/>
    <col min="5635" max="5635" width="6.6640625" style="58" customWidth="1"/>
    <col min="5636" max="5645" width="15.44140625" style="58" customWidth="1"/>
    <col min="5646" max="5888" width="0" style="58" hidden="1"/>
    <col min="5889" max="5889" width="8.5546875" style="58" customWidth="1"/>
    <col min="5890" max="5890" width="5.6640625" style="58" customWidth="1"/>
    <col min="5891" max="5891" width="6.6640625" style="58" customWidth="1"/>
    <col min="5892" max="5901" width="15.44140625" style="58" customWidth="1"/>
    <col min="5902" max="6144" width="0" style="58" hidden="1"/>
    <col min="6145" max="6145" width="8.5546875" style="58" customWidth="1"/>
    <col min="6146" max="6146" width="5.6640625" style="58" customWidth="1"/>
    <col min="6147" max="6147" width="6.6640625" style="58" customWidth="1"/>
    <col min="6148" max="6157" width="15.44140625" style="58" customWidth="1"/>
    <col min="6158" max="6400" width="0" style="58" hidden="1"/>
    <col min="6401" max="6401" width="8.5546875" style="58" customWidth="1"/>
    <col min="6402" max="6402" width="5.6640625" style="58" customWidth="1"/>
    <col min="6403" max="6403" width="6.6640625" style="58" customWidth="1"/>
    <col min="6404" max="6413" width="15.44140625" style="58" customWidth="1"/>
    <col min="6414" max="6656" width="0" style="58" hidden="1"/>
    <col min="6657" max="6657" width="8.5546875" style="58" customWidth="1"/>
    <col min="6658" max="6658" width="5.6640625" style="58" customWidth="1"/>
    <col min="6659" max="6659" width="6.6640625" style="58" customWidth="1"/>
    <col min="6660" max="6669" width="15.44140625" style="58" customWidth="1"/>
    <col min="6670" max="6912" width="0" style="58" hidden="1"/>
    <col min="6913" max="6913" width="8.5546875" style="58" customWidth="1"/>
    <col min="6914" max="6914" width="5.6640625" style="58" customWidth="1"/>
    <col min="6915" max="6915" width="6.6640625" style="58" customWidth="1"/>
    <col min="6916" max="6925" width="15.44140625" style="58" customWidth="1"/>
    <col min="6926" max="7168" width="0" style="58" hidden="1"/>
    <col min="7169" max="7169" width="8.5546875" style="58" customWidth="1"/>
    <col min="7170" max="7170" width="5.6640625" style="58" customWidth="1"/>
    <col min="7171" max="7171" width="6.6640625" style="58" customWidth="1"/>
    <col min="7172" max="7181" width="15.44140625" style="58" customWidth="1"/>
    <col min="7182" max="7424" width="0" style="58" hidden="1"/>
    <col min="7425" max="7425" width="8.5546875" style="58" customWidth="1"/>
    <col min="7426" max="7426" width="5.6640625" style="58" customWidth="1"/>
    <col min="7427" max="7427" width="6.6640625" style="58" customWidth="1"/>
    <col min="7428" max="7437" width="15.44140625" style="58" customWidth="1"/>
    <col min="7438" max="7680" width="0" style="58" hidden="1"/>
    <col min="7681" max="7681" width="8.5546875" style="58" customWidth="1"/>
    <col min="7682" max="7682" width="5.6640625" style="58" customWidth="1"/>
    <col min="7683" max="7683" width="6.6640625" style="58" customWidth="1"/>
    <col min="7684" max="7693" width="15.44140625" style="58" customWidth="1"/>
    <col min="7694" max="7936" width="0" style="58" hidden="1"/>
    <col min="7937" max="7937" width="8.5546875" style="58" customWidth="1"/>
    <col min="7938" max="7938" width="5.6640625" style="58" customWidth="1"/>
    <col min="7939" max="7939" width="6.6640625" style="58" customWidth="1"/>
    <col min="7940" max="7949" width="15.44140625" style="58" customWidth="1"/>
    <col min="7950" max="8192" width="0" style="58" hidden="1"/>
    <col min="8193" max="8193" width="8.5546875" style="58" customWidth="1"/>
    <col min="8194" max="8194" width="5.6640625" style="58" customWidth="1"/>
    <col min="8195" max="8195" width="6.6640625" style="58" customWidth="1"/>
    <col min="8196" max="8205" width="15.44140625" style="58" customWidth="1"/>
    <col min="8206" max="8448" width="0" style="58" hidden="1"/>
    <col min="8449" max="8449" width="8.5546875" style="58" customWidth="1"/>
    <col min="8450" max="8450" width="5.6640625" style="58" customWidth="1"/>
    <col min="8451" max="8451" width="6.6640625" style="58" customWidth="1"/>
    <col min="8452" max="8461" width="15.44140625" style="58" customWidth="1"/>
    <col min="8462" max="8704" width="0" style="58" hidden="1"/>
    <col min="8705" max="8705" width="8.5546875" style="58" customWidth="1"/>
    <col min="8706" max="8706" width="5.6640625" style="58" customWidth="1"/>
    <col min="8707" max="8707" width="6.6640625" style="58" customWidth="1"/>
    <col min="8708" max="8717" width="15.44140625" style="58" customWidth="1"/>
    <col min="8718" max="8960" width="0" style="58" hidden="1"/>
    <col min="8961" max="8961" width="8.5546875" style="58" customWidth="1"/>
    <col min="8962" max="8962" width="5.6640625" style="58" customWidth="1"/>
    <col min="8963" max="8963" width="6.6640625" style="58" customWidth="1"/>
    <col min="8964" max="8973" width="15.44140625" style="58" customWidth="1"/>
    <col min="8974" max="9216" width="0" style="58" hidden="1"/>
    <col min="9217" max="9217" width="8.5546875" style="58" customWidth="1"/>
    <col min="9218" max="9218" width="5.6640625" style="58" customWidth="1"/>
    <col min="9219" max="9219" width="6.6640625" style="58" customWidth="1"/>
    <col min="9220" max="9229" width="15.44140625" style="58" customWidth="1"/>
    <col min="9230" max="9472" width="0" style="58" hidden="1"/>
    <col min="9473" max="9473" width="8.5546875" style="58" customWidth="1"/>
    <col min="9474" max="9474" width="5.6640625" style="58" customWidth="1"/>
    <col min="9475" max="9475" width="6.6640625" style="58" customWidth="1"/>
    <col min="9476" max="9485" width="15.44140625" style="58" customWidth="1"/>
    <col min="9486" max="9728" width="0" style="58" hidden="1"/>
    <col min="9729" max="9729" width="8.5546875" style="58" customWidth="1"/>
    <col min="9730" max="9730" width="5.6640625" style="58" customWidth="1"/>
    <col min="9731" max="9731" width="6.6640625" style="58" customWidth="1"/>
    <col min="9732" max="9741" width="15.44140625" style="58" customWidth="1"/>
    <col min="9742" max="9984" width="0" style="58" hidden="1"/>
    <col min="9985" max="9985" width="8.5546875" style="58" customWidth="1"/>
    <col min="9986" max="9986" width="5.6640625" style="58" customWidth="1"/>
    <col min="9987" max="9987" width="6.6640625" style="58" customWidth="1"/>
    <col min="9988" max="9997" width="15.44140625" style="58" customWidth="1"/>
    <col min="9998" max="10240" width="0" style="58" hidden="1"/>
    <col min="10241" max="10241" width="8.5546875" style="58" customWidth="1"/>
    <col min="10242" max="10242" width="5.6640625" style="58" customWidth="1"/>
    <col min="10243" max="10243" width="6.6640625" style="58" customWidth="1"/>
    <col min="10244" max="10253" width="15.44140625" style="58" customWidth="1"/>
    <col min="10254" max="10496" width="0" style="58" hidden="1"/>
    <col min="10497" max="10497" width="8.5546875" style="58" customWidth="1"/>
    <col min="10498" max="10498" width="5.6640625" style="58" customWidth="1"/>
    <col min="10499" max="10499" width="6.6640625" style="58" customWidth="1"/>
    <col min="10500" max="10509" width="15.44140625" style="58" customWidth="1"/>
    <col min="10510" max="10752" width="0" style="58" hidden="1"/>
    <col min="10753" max="10753" width="8.5546875" style="58" customWidth="1"/>
    <col min="10754" max="10754" width="5.6640625" style="58" customWidth="1"/>
    <col min="10755" max="10755" width="6.6640625" style="58" customWidth="1"/>
    <col min="10756" max="10765" width="15.44140625" style="58" customWidth="1"/>
    <col min="10766" max="11008" width="0" style="58" hidden="1"/>
    <col min="11009" max="11009" width="8.5546875" style="58" customWidth="1"/>
    <col min="11010" max="11010" width="5.6640625" style="58" customWidth="1"/>
    <col min="11011" max="11011" width="6.6640625" style="58" customWidth="1"/>
    <col min="11012" max="11021" width="15.44140625" style="58" customWidth="1"/>
    <col min="11022" max="11264" width="0" style="58" hidden="1"/>
    <col min="11265" max="11265" width="8.5546875" style="58" customWidth="1"/>
    <col min="11266" max="11266" width="5.6640625" style="58" customWidth="1"/>
    <col min="11267" max="11267" width="6.6640625" style="58" customWidth="1"/>
    <col min="11268" max="11277" width="15.44140625" style="58" customWidth="1"/>
    <col min="11278" max="11520" width="0" style="58" hidden="1"/>
    <col min="11521" max="11521" width="8.5546875" style="58" customWidth="1"/>
    <col min="11522" max="11522" width="5.6640625" style="58" customWidth="1"/>
    <col min="11523" max="11523" width="6.6640625" style="58" customWidth="1"/>
    <col min="11524" max="11533" width="15.44140625" style="58" customWidth="1"/>
    <col min="11534" max="11776" width="0" style="58" hidden="1"/>
    <col min="11777" max="11777" width="8.5546875" style="58" customWidth="1"/>
    <col min="11778" max="11778" width="5.6640625" style="58" customWidth="1"/>
    <col min="11779" max="11779" width="6.6640625" style="58" customWidth="1"/>
    <col min="11780" max="11789" width="15.44140625" style="58" customWidth="1"/>
    <col min="11790" max="12032" width="0" style="58" hidden="1"/>
    <col min="12033" max="12033" width="8.5546875" style="58" customWidth="1"/>
    <col min="12034" max="12034" width="5.6640625" style="58" customWidth="1"/>
    <col min="12035" max="12035" width="6.6640625" style="58" customWidth="1"/>
    <col min="12036" max="12045" width="15.44140625" style="58" customWidth="1"/>
    <col min="12046" max="12288" width="0" style="58" hidden="1"/>
    <col min="12289" max="12289" width="8.5546875" style="58" customWidth="1"/>
    <col min="12290" max="12290" width="5.6640625" style="58" customWidth="1"/>
    <col min="12291" max="12291" width="6.6640625" style="58" customWidth="1"/>
    <col min="12292" max="12301" width="15.44140625" style="58" customWidth="1"/>
    <col min="12302" max="12544" width="0" style="58" hidden="1"/>
    <col min="12545" max="12545" width="8.5546875" style="58" customWidth="1"/>
    <col min="12546" max="12546" width="5.6640625" style="58" customWidth="1"/>
    <col min="12547" max="12547" width="6.6640625" style="58" customWidth="1"/>
    <col min="12548" max="12557" width="15.44140625" style="58" customWidth="1"/>
    <col min="12558" max="12800" width="0" style="58" hidden="1"/>
    <col min="12801" max="12801" width="8.5546875" style="58" customWidth="1"/>
    <col min="12802" max="12802" width="5.6640625" style="58" customWidth="1"/>
    <col min="12803" max="12803" width="6.6640625" style="58" customWidth="1"/>
    <col min="12804" max="12813" width="15.44140625" style="58" customWidth="1"/>
    <col min="12814" max="13056" width="0" style="58" hidden="1"/>
    <col min="13057" max="13057" width="8.5546875" style="58" customWidth="1"/>
    <col min="13058" max="13058" width="5.6640625" style="58" customWidth="1"/>
    <col min="13059" max="13059" width="6.6640625" style="58" customWidth="1"/>
    <col min="13060" max="13069" width="15.44140625" style="58" customWidth="1"/>
    <col min="13070" max="13312" width="0" style="58" hidden="1"/>
    <col min="13313" max="13313" width="8.5546875" style="58" customWidth="1"/>
    <col min="13314" max="13314" width="5.6640625" style="58" customWidth="1"/>
    <col min="13315" max="13315" width="6.6640625" style="58" customWidth="1"/>
    <col min="13316" max="13325" width="15.44140625" style="58" customWidth="1"/>
    <col min="13326" max="13568" width="0" style="58" hidden="1"/>
    <col min="13569" max="13569" width="8.5546875" style="58" customWidth="1"/>
    <col min="13570" max="13570" width="5.6640625" style="58" customWidth="1"/>
    <col min="13571" max="13571" width="6.6640625" style="58" customWidth="1"/>
    <col min="13572" max="13581" width="15.44140625" style="58" customWidth="1"/>
    <col min="13582" max="13824" width="0" style="58" hidden="1"/>
    <col min="13825" max="13825" width="8.5546875" style="58" customWidth="1"/>
    <col min="13826" max="13826" width="5.6640625" style="58" customWidth="1"/>
    <col min="13827" max="13827" width="6.6640625" style="58" customWidth="1"/>
    <col min="13828" max="13837" width="15.44140625" style="58" customWidth="1"/>
    <col min="13838" max="14080" width="0" style="58" hidden="1"/>
    <col min="14081" max="14081" width="8.5546875" style="58" customWidth="1"/>
    <col min="14082" max="14082" width="5.6640625" style="58" customWidth="1"/>
    <col min="14083" max="14083" width="6.6640625" style="58" customWidth="1"/>
    <col min="14084" max="14093" width="15.44140625" style="58" customWidth="1"/>
    <col min="14094" max="14336" width="0" style="58" hidden="1"/>
    <col min="14337" max="14337" width="8.5546875" style="58" customWidth="1"/>
    <col min="14338" max="14338" width="5.6640625" style="58" customWidth="1"/>
    <col min="14339" max="14339" width="6.6640625" style="58" customWidth="1"/>
    <col min="14340" max="14349" width="15.44140625" style="58" customWidth="1"/>
    <col min="14350" max="14592" width="0" style="58" hidden="1"/>
    <col min="14593" max="14593" width="8.5546875" style="58" customWidth="1"/>
    <col min="14594" max="14594" width="5.6640625" style="58" customWidth="1"/>
    <col min="14595" max="14595" width="6.6640625" style="58" customWidth="1"/>
    <col min="14596" max="14605" width="15.44140625" style="58" customWidth="1"/>
    <col min="14606" max="14848" width="0" style="58" hidden="1"/>
    <col min="14849" max="14849" width="8.5546875" style="58" customWidth="1"/>
    <col min="14850" max="14850" width="5.6640625" style="58" customWidth="1"/>
    <col min="14851" max="14851" width="6.6640625" style="58" customWidth="1"/>
    <col min="14852" max="14861" width="15.44140625" style="58" customWidth="1"/>
    <col min="14862" max="15104" width="0" style="58" hidden="1"/>
    <col min="15105" max="15105" width="8.5546875" style="58" customWidth="1"/>
    <col min="15106" max="15106" width="5.6640625" style="58" customWidth="1"/>
    <col min="15107" max="15107" width="6.6640625" style="58" customWidth="1"/>
    <col min="15108" max="15117" width="15.44140625" style="58" customWidth="1"/>
    <col min="15118" max="15360" width="0" style="58" hidden="1"/>
    <col min="15361" max="15361" width="8.5546875" style="58" customWidth="1"/>
    <col min="15362" max="15362" width="5.6640625" style="58" customWidth="1"/>
    <col min="15363" max="15363" width="6.6640625" style="58" customWidth="1"/>
    <col min="15364" max="15373" width="15.44140625" style="58" customWidth="1"/>
    <col min="15374" max="15616" width="0" style="58" hidden="1"/>
    <col min="15617" max="15617" width="8.5546875" style="58" customWidth="1"/>
    <col min="15618" max="15618" width="5.6640625" style="58" customWidth="1"/>
    <col min="15619" max="15619" width="6.6640625" style="58" customWidth="1"/>
    <col min="15620" max="15629" width="15.44140625" style="58" customWidth="1"/>
    <col min="15630" max="15872" width="0" style="58" hidden="1"/>
    <col min="15873" max="15873" width="8.5546875" style="58" customWidth="1"/>
    <col min="15874" max="15874" width="5.6640625" style="58" customWidth="1"/>
    <col min="15875" max="15875" width="6.6640625" style="58" customWidth="1"/>
    <col min="15876" max="15885" width="15.44140625" style="58" customWidth="1"/>
    <col min="15886" max="16128" width="0" style="58" hidden="1"/>
    <col min="16129" max="16129" width="8.5546875" style="58" customWidth="1"/>
    <col min="16130" max="16130" width="5.6640625" style="58" customWidth="1"/>
    <col min="16131" max="16131" width="6.6640625" style="58" customWidth="1"/>
    <col min="16132" max="16141" width="15.44140625" style="58" customWidth="1"/>
    <col min="16142" max="16384" width="0" style="58" hidden="1"/>
  </cols>
  <sheetData>
    <row r="1" spans="1:254" ht="13.2" x14ac:dyDescent="0.25">
      <c r="A1" s="56"/>
      <c r="B1" s="56"/>
      <c r="C1" s="56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254" ht="13.2" x14ac:dyDescent="0.25">
      <c r="A2" s="56"/>
      <c r="B2" s="56"/>
      <c r="C2" s="56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254" ht="13.2" x14ac:dyDescent="0.25">
      <c r="A3" s="56"/>
      <c r="B3" s="56"/>
      <c r="C3" s="56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254" ht="13.2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254" s="63" customFormat="1" ht="15.6" x14ac:dyDescent="0.3">
      <c r="A5" s="59" t="s">
        <v>218</v>
      </c>
      <c r="B5" s="60"/>
      <c r="C5" s="60"/>
      <c r="D5" s="61" t="s">
        <v>219</v>
      </c>
      <c r="E5" s="62">
        <f>VLOOKUP(Sheet1!D82,Sheet1!A82:B105,2)</f>
        <v>2024</v>
      </c>
      <c r="F5" s="62" t="str">
        <f>VLOOKUP(Sheet1!D56,Sheet1!A56:B56,2)&amp;"  )"</f>
        <v>Constant Dollars  )</v>
      </c>
      <c r="G5" s="60"/>
      <c r="H5" s="57"/>
      <c r="I5" s="57"/>
      <c r="J5" s="57"/>
      <c r="K5" s="57"/>
      <c r="L5" s="57"/>
      <c r="M5" s="57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</row>
    <row r="6" spans="1:254" s="63" customFormat="1" ht="15.6" x14ac:dyDescent="0.3">
      <c r="A6" s="64" t="str">
        <f>IF(Sheet1!D192,"","(NOT FEASIBLE !!)")</f>
        <v/>
      </c>
      <c r="B6" s="60"/>
      <c r="C6" s="60"/>
      <c r="D6" s="61" t="s">
        <v>220</v>
      </c>
      <c r="E6" s="62" t="str">
        <f>VLOOKUP(Sheet1!D67,Sheet1!A66:B68,2)</f>
        <v xml:space="preserve"> ($)</v>
      </c>
      <c r="F6" s="61" t="s">
        <v>221</v>
      </c>
      <c r="G6" s="60"/>
      <c r="H6" s="57"/>
      <c r="I6" s="57"/>
      <c r="J6" s="57"/>
      <c r="K6" s="57"/>
      <c r="L6" s="57"/>
      <c r="M6" s="57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  <c r="IS6" s="58"/>
      <c r="IT6" s="58"/>
    </row>
    <row r="7" spans="1:254" s="63" customFormat="1" ht="12.75" customHeight="1" x14ac:dyDescent="0.3">
      <c r="A7" s="65"/>
      <c r="B7" s="66"/>
      <c r="C7" s="66"/>
      <c r="D7" s="67"/>
      <c r="E7" s="68"/>
      <c r="F7" s="66"/>
      <c r="G7" s="66"/>
      <c r="H7" s="66"/>
      <c r="I7" s="66"/>
      <c r="J7" s="66"/>
      <c r="K7" s="66"/>
      <c r="L7" s="66"/>
      <c r="M7" s="66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</row>
    <row r="8" spans="1:254" s="63" customFormat="1" ht="12.75" customHeight="1" x14ac:dyDescent="0.3">
      <c r="A8" s="65"/>
      <c r="B8" s="66"/>
      <c r="C8" s="66"/>
      <c r="D8" s="67"/>
      <c r="E8" s="68"/>
      <c r="F8" s="66"/>
      <c r="G8" s="66"/>
      <c r="H8" s="66"/>
      <c r="I8" s="66"/>
      <c r="J8" s="66"/>
      <c r="K8" s="66"/>
      <c r="L8" s="66"/>
      <c r="M8" s="66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</row>
    <row r="9" spans="1:254" ht="17.25" customHeight="1" x14ac:dyDescent="0.25">
      <c r="A9" s="69" t="s">
        <v>222</v>
      </c>
      <c r="B9" s="70"/>
      <c r="C9" s="70"/>
      <c r="D9" s="71"/>
      <c r="E9" s="72"/>
      <c r="F9" s="72"/>
      <c r="G9" s="72"/>
      <c r="H9" s="73"/>
      <c r="I9" s="66"/>
      <c r="J9" s="66"/>
      <c r="K9" s="66"/>
      <c r="L9" s="74"/>
      <c r="M9" s="74"/>
    </row>
    <row r="10" spans="1:254" ht="21" customHeight="1" x14ac:dyDescent="0.25">
      <c r="A10" s="69" t="s">
        <v>223</v>
      </c>
      <c r="B10" s="69"/>
      <c r="C10" s="70"/>
      <c r="D10" s="74"/>
      <c r="E10" s="75" t="s">
        <v>224</v>
      </c>
      <c r="F10" s="74"/>
      <c r="G10" s="74"/>
      <c r="H10" s="74"/>
      <c r="I10" s="74"/>
      <c r="J10" s="74"/>
      <c r="K10" s="74"/>
      <c r="L10" s="74"/>
      <c r="M10" s="74"/>
    </row>
    <row r="11" spans="1:254" ht="20.100000000000001" customHeight="1" x14ac:dyDescent="0.25">
      <c r="A11" s="76"/>
      <c r="B11" s="76"/>
      <c r="C11" s="77"/>
      <c r="D11" s="74"/>
      <c r="E11" s="78"/>
      <c r="F11" s="74"/>
      <c r="G11" s="74"/>
      <c r="H11" s="74"/>
      <c r="I11" s="74"/>
      <c r="J11" s="74"/>
      <c r="K11" s="74"/>
      <c r="L11" s="74"/>
      <c r="M11" s="74"/>
    </row>
    <row r="12" spans="1:254" ht="13.5" customHeight="1" x14ac:dyDescent="0.25">
      <c r="A12" s="79" t="s">
        <v>225</v>
      </c>
      <c r="B12" s="70"/>
      <c r="C12" s="70"/>
      <c r="D12" s="80"/>
      <c r="E12" s="80"/>
      <c r="F12" s="80"/>
      <c r="G12" s="80"/>
      <c r="H12" s="80"/>
      <c r="I12" s="80"/>
      <c r="J12" s="80"/>
      <c r="K12" s="80"/>
      <c r="L12" s="74"/>
      <c r="M12" s="74"/>
    </row>
    <row r="13" spans="1:254" ht="13.2" x14ac:dyDescent="0.25">
      <c r="A13" s="81" t="s">
        <v>226</v>
      </c>
      <c r="B13" s="70"/>
      <c r="C13" s="70"/>
      <c r="D13" s="80"/>
      <c r="E13" s="80"/>
      <c r="F13" s="80"/>
      <c r="G13" s="80"/>
      <c r="H13" s="80"/>
      <c r="I13" s="80"/>
      <c r="J13" s="80"/>
      <c r="K13" s="80"/>
      <c r="L13" s="74"/>
      <c r="M13" s="74"/>
    </row>
    <row r="14" spans="1:254" ht="16.5" customHeight="1" x14ac:dyDescent="0.25">
      <c r="A14" s="82" t="s">
        <v>227</v>
      </c>
      <c r="B14" s="83"/>
      <c r="C14" s="83"/>
      <c r="D14" s="80"/>
      <c r="E14" s="80"/>
      <c r="F14" s="80"/>
      <c r="G14" s="80"/>
      <c r="H14" s="80"/>
      <c r="I14" s="80"/>
      <c r="J14" s="80"/>
      <c r="K14" s="80"/>
      <c r="L14" s="74"/>
      <c r="M14" s="74"/>
    </row>
    <row r="15" spans="1:254" ht="16.5" customHeight="1" x14ac:dyDescent="0.25">
      <c r="A15" s="82" t="s">
        <v>228</v>
      </c>
      <c r="B15" s="83"/>
      <c r="C15" s="83"/>
      <c r="D15" s="80"/>
      <c r="E15" s="80"/>
      <c r="F15" s="80"/>
      <c r="G15" s="80"/>
      <c r="H15" s="80"/>
      <c r="I15" s="80"/>
      <c r="J15" s="80"/>
      <c r="K15" s="80"/>
      <c r="L15" s="74"/>
      <c r="M15" s="74"/>
    </row>
    <row r="16" spans="1:254" ht="3" customHeight="1" x14ac:dyDescent="0.25">
      <c r="A16" s="84"/>
      <c r="B16" s="77"/>
      <c r="C16" s="77"/>
      <c r="D16" s="80"/>
      <c r="E16" s="80"/>
      <c r="F16" s="80"/>
      <c r="G16" s="80"/>
      <c r="H16" s="80"/>
      <c r="I16" s="80"/>
      <c r="J16" s="80"/>
      <c r="K16" s="80"/>
      <c r="L16" s="74"/>
      <c r="M16" s="74"/>
    </row>
    <row r="17" spans="1:13" ht="3" customHeight="1" thickBot="1" x14ac:dyDescent="0.3">
      <c r="A17" s="84"/>
      <c r="B17" s="77"/>
      <c r="C17" s="77"/>
      <c r="D17" s="80"/>
      <c r="E17" s="80"/>
      <c r="F17" s="80"/>
      <c r="G17" s="80"/>
      <c r="H17" s="80"/>
      <c r="I17" s="80"/>
      <c r="J17" s="80"/>
      <c r="K17" s="80"/>
      <c r="L17" s="74"/>
      <c r="M17" s="74"/>
    </row>
    <row r="18" spans="1:13" ht="33" customHeight="1" thickTop="1" x14ac:dyDescent="0.25">
      <c r="A18" s="85" t="s">
        <v>229</v>
      </c>
      <c r="B18" s="85" t="s">
        <v>230</v>
      </c>
      <c r="C18" s="86" t="s">
        <v>231</v>
      </c>
      <c r="D18" s="87"/>
      <c r="E18" s="87"/>
      <c r="F18" s="87"/>
      <c r="G18" s="87"/>
      <c r="H18" s="87"/>
      <c r="I18" s="87"/>
      <c r="J18" s="87"/>
      <c r="K18" s="87"/>
      <c r="L18" s="88" t="s">
        <v>232</v>
      </c>
      <c r="M18" s="89" t="s">
        <v>233</v>
      </c>
    </row>
    <row r="19" spans="1:13" ht="13.2" x14ac:dyDescent="0.25">
      <c r="A19" s="90">
        <f>IF(Sheet1!D$192,VLOOKUP(1,Sheet1!A148:B197,2),NA())</f>
        <v>1</v>
      </c>
      <c r="B19" s="90">
        <f>IF(Sheet1!D$192,VLOOKUP(Sheet1!D$86,Sheet1!A80:B147,2),NA())</f>
        <v>2024</v>
      </c>
      <c r="C19" s="91" t="str">
        <f>IF(AND(OR(A19=" ",A19="#NA"),OR(D19&lt;&gt;0,E19&lt;&gt;0,F19&lt;&gt;0,G19&lt;&gt;0,H19&lt;&gt;0,I19&lt;&gt;0,J19&lt;&gt;0,K19&lt;&gt;0)),"Clear=&gt;"," ")</f>
        <v xml:space="preserve"> </v>
      </c>
      <c r="D19" s="92"/>
      <c r="E19" s="92"/>
      <c r="F19" s="92"/>
      <c r="G19" s="92"/>
      <c r="H19" s="92"/>
      <c r="I19" s="92"/>
      <c r="J19" s="92"/>
      <c r="K19" s="92"/>
      <c r="L19" s="93">
        <f>IF(Sheet1!D$192,SUM(D19:K19),NA())</f>
        <v>0</v>
      </c>
      <c r="M19" s="94">
        <f>IF(Sheet1!D$192,SUM(D88:K88),NA())</f>
        <v>0</v>
      </c>
    </row>
    <row r="20" spans="1:13" ht="13.2" x14ac:dyDescent="0.25">
      <c r="A20" s="90" t="str">
        <f>IF(Sheet1!D$192,IF((A19&gt;=(Sheet1!D$148+$A$19)-1)," ",A19+1),NA())</f>
        <v xml:space="preserve"> </v>
      </c>
      <c r="B20" s="90" t="str">
        <f>IF(Sheet1!D$192,IF((B19&gt;=(Sheet1!D$148+$B$19)-1)," ",B19+1),NA())</f>
        <v xml:space="preserve"> </v>
      </c>
      <c r="C20" s="91" t="str">
        <f t="shared" ref="C20:C68" si="0">IF(AND(OR(A20=" ",A20="#NA"),OR(D20&lt;&gt;0,E20&lt;&gt;0,F20&lt;&gt;0,G20&lt;&gt;0,H20&lt;&gt;0,I20&lt;&gt;0,J20&lt;&gt;0,K20&lt;&gt;0)),"Clear=&gt;"," ")</f>
        <v xml:space="preserve"> </v>
      </c>
      <c r="D20" s="92"/>
      <c r="E20" s="92"/>
      <c r="F20" s="92"/>
      <c r="G20" s="92"/>
      <c r="H20" s="92"/>
      <c r="I20" s="92"/>
      <c r="J20" s="92"/>
      <c r="K20" s="92"/>
      <c r="L20" s="93">
        <f>IF(Sheet1!D$192,SUM(D20:K20),NA())</f>
        <v>0</v>
      </c>
      <c r="M20" s="94">
        <f>IF(Sheet1!D$192,SUM(D89:K89),NA())</f>
        <v>0</v>
      </c>
    </row>
    <row r="21" spans="1:13" ht="13.2" x14ac:dyDescent="0.25">
      <c r="A21" s="90" t="str">
        <f>IF(Sheet1!D$192,IF((A20&gt;=(Sheet1!D$148+$A$19)-1)," ",A20+1),NA())</f>
        <v xml:space="preserve"> </v>
      </c>
      <c r="B21" s="90" t="str">
        <f>IF(Sheet1!D$192,IF((B20&gt;=(Sheet1!D$148+$B$19)-1)," ",B20+1),NA())</f>
        <v xml:space="preserve"> </v>
      </c>
      <c r="C21" s="91" t="str">
        <f t="shared" si="0"/>
        <v xml:space="preserve"> </v>
      </c>
      <c r="D21" s="92"/>
      <c r="E21" s="92"/>
      <c r="F21" s="92"/>
      <c r="G21" s="92"/>
      <c r="H21" s="92"/>
      <c r="I21" s="92"/>
      <c r="J21" s="92"/>
      <c r="K21" s="92"/>
      <c r="L21" s="93">
        <f>IF(Sheet1!D$192,SUM(D21:K21),NA())</f>
        <v>0</v>
      </c>
      <c r="M21" s="94">
        <f>IF(Sheet1!D$192,SUM(D90:K90),NA())</f>
        <v>0</v>
      </c>
    </row>
    <row r="22" spans="1:13" ht="13.2" x14ac:dyDescent="0.25">
      <c r="A22" s="90" t="str">
        <f>IF(Sheet1!D$192,IF((A21&gt;=(Sheet1!D$148+$A$19)-1)," ",A21+1),NA())</f>
        <v xml:space="preserve"> </v>
      </c>
      <c r="B22" s="90" t="str">
        <f>IF(Sheet1!D$192,IF((B21&gt;=(Sheet1!D$148+$B$19)-1)," ",B21+1),NA())</f>
        <v xml:space="preserve"> </v>
      </c>
      <c r="C22" s="91" t="str">
        <f t="shared" si="0"/>
        <v xml:space="preserve"> </v>
      </c>
      <c r="D22" s="92"/>
      <c r="E22" s="92"/>
      <c r="F22" s="92"/>
      <c r="G22" s="92"/>
      <c r="H22" s="92"/>
      <c r="I22" s="92"/>
      <c r="J22" s="92"/>
      <c r="K22" s="92"/>
      <c r="L22" s="93">
        <f>IF(Sheet1!D$192,SUM(D22:K22),NA())</f>
        <v>0</v>
      </c>
      <c r="M22" s="94">
        <f>IF(Sheet1!D$192,SUM(D91:K91),NA())</f>
        <v>0</v>
      </c>
    </row>
    <row r="23" spans="1:13" ht="13.2" x14ac:dyDescent="0.25">
      <c r="A23" s="90" t="str">
        <f>IF(Sheet1!D$192,IF((A22&gt;=(Sheet1!D$148+$A$19)-1)," ",A22+1),NA())</f>
        <v xml:space="preserve"> </v>
      </c>
      <c r="B23" s="90" t="str">
        <f>IF(Sheet1!D$192,IF((B22&gt;=(Sheet1!D$148+$B$19)-1)," ",B22+1),NA())</f>
        <v xml:space="preserve"> </v>
      </c>
      <c r="C23" s="91" t="str">
        <f t="shared" si="0"/>
        <v xml:space="preserve"> </v>
      </c>
      <c r="D23" s="92"/>
      <c r="E23" s="92"/>
      <c r="F23" s="92"/>
      <c r="G23" s="92"/>
      <c r="H23" s="92"/>
      <c r="I23" s="92"/>
      <c r="J23" s="92"/>
      <c r="K23" s="92"/>
      <c r="L23" s="93">
        <f>IF(Sheet1!D$192,SUM(D23:K23),NA())</f>
        <v>0</v>
      </c>
      <c r="M23" s="94">
        <f>IF(Sheet1!D$192,SUM(D92:K92),NA())</f>
        <v>0</v>
      </c>
    </row>
    <row r="24" spans="1:13" ht="13.2" x14ac:dyDescent="0.25">
      <c r="A24" s="90" t="str">
        <f>IF(Sheet1!D$192,IF((A23&gt;=(Sheet1!D$148+$A$19)-1)," ",A23+1),NA())</f>
        <v xml:space="preserve"> </v>
      </c>
      <c r="B24" s="90" t="str">
        <f>IF(Sheet1!D$192,IF((B23&gt;=(Sheet1!D$148+$B$19)-1)," ",B23+1),NA())</f>
        <v xml:space="preserve"> </v>
      </c>
      <c r="C24" s="91" t="str">
        <f t="shared" si="0"/>
        <v xml:space="preserve"> </v>
      </c>
      <c r="D24" s="92"/>
      <c r="E24" s="92"/>
      <c r="F24" s="92"/>
      <c r="G24" s="92"/>
      <c r="H24" s="92"/>
      <c r="I24" s="92"/>
      <c r="J24" s="92"/>
      <c r="K24" s="92"/>
      <c r="L24" s="93">
        <f>IF(Sheet1!D$192,SUM(D24:K24),NA())</f>
        <v>0</v>
      </c>
      <c r="M24" s="94">
        <f>IF(Sheet1!D$192,SUM(D93:K93),NA())</f>
        <v>0</v>
      </c>
    </row>
    <row r="25" spans="1:13" ht="13.2" x14ac:dyDescent="0.25">
      <c r="A25" s="90" t="str">
        <f>IF(Sheet1!D$192,IF((A24&gt;=(Sheet1!D$148+$A$19)-1)," ",A24+1),NA())</f>
        <v xml:space="preserve"> </v>
      </c>
      <c r="B25" s="90" t="str">
        <f>IF(Sheet1!D$192,IF((B24&gt;=(Sheet1!D$148+$B$19)-1)," ",B24+1),NA())</f>
        <v xml:space="preserve"> </v>
      </c>
      <c r="C25" s="91" t="str">
        <f t="shared" si="0"/>
        <v xml:space="preserve"> </v>
      </c>
      <c r="D25" s="92"/>
      <c r="E25" s="92"/>
      <c r="F25" s="92"/>
      <c r="G25" s="92"/>
      <c r="H25" s="92"/>
      <c r="I25" s="92"/>
      <c r="J25" s="92"/>
      <c r="K25" s="92"/>
      <c r="L25" s="93">
        <f>IF(Sheet1!D$192,SUM(D25:K25),NA())</f>
        <v>0</v>
      </c>
      <c r="M25" s="94">
        <f>IF(Sheet1!D$192,SUM(D94:K94),NA())</f>
        <v>0</v>
      </c>
    </row>
    <row r="26" spans="1:13" ht="13.2" x14ac:dyDescent="0.25">
      <c r="A26" s="90" t="str">
        <f>IF(Sheet1!D$192,IF((A25&gt;=(Sheet1!D$148+$A$19)-1)," ",A25+1),NA())</f>
        <v xml:space="preserve"> </v>
      </c>
      <c r="B26" s="90" t="str">
        <f>IF(Sheet1!D$192,IF((B25&gt;=(Sheet1!D$148+$B$19)-1)," ",B25+1),NA())</f>
        <v xml:space="preserve"> </v>
      </c>
      <c r="C26" s="91" t="str">
        <f t="shared" si="0"/>
        <v xml:space="preserve"> </v>
      </c>
      <c r="D26" s="92"/>
      <c r="E26" s="92"/>
      <c r="F26" s="92"/>
      <c r="G26" s="92"/>
      <c r="H26" s="92"/>
      <c r="I26" s="92"/>
      <c r="J26" s="92"/>
      <c r="K26" s="92"/>
      <c r="L26" s="93">
        <f>IF(Sheet1!D$192,SUM(D26:K26),NA())</f>
        <v>0</v>
      </c>
      <c r="M26" s="94">
        <f>IF(Sheet1!D$192,SUM(D95:K95),NA())</f>
        <v>0</v>
      </c>
    </row>
    <row r="27" spans="1:13" ht="13.2" x14ac:dyDescent="0.25">
      <c r="A27" s="90" t="str">
        <f>IF(Sheet1!D$192,IF((A26&gt;=(Sheet1!D$148+$A$19)-1)," ",A26+1),NA())</f>
        <v xml:space="preserve"> </v>
      </c>
      <c r="B27" s="90" t="str">
        <f>IF(Sheet1!D$192,IF((B26&gt;=(Sheet1!D$148+$B$19)-1)," ",B26+1),NA())</f>
        <v xml:space="preserve"> </v>
      </c>
      <c r="C27" s="91" t="str">
        <f t="shared" si="0"/>
        <v xml:space="preserve"> </v>
      </c>
      <c r="D27" s="92"/>
      <c r="E27" s="92"/>
      <c r="F27" s="92"/>
      <c r="G27" s="92"/>
      <c r="H27" s="92"/>
      <c r="I27" s="92"/>
      <c r="J27" s="92"/>
      <c r="K27" s="92"/>
      <c r="L27" s="93">
        <f>IF(Sheet1!D$192,SUM(D27:K27),NA())</f>
        <v>0</v>
      </c>
      <c r="M27" s="94">
        <f>IF(Sheet1!D$192,SUM(D96:K96),NA())</f>
        <v>0</v>
      </c>
    </row>
    <row r="28" spans="1:13" ht="13.2" x14ac:dyDescent="0.25">
      <c r="A28" s="90" t="str">
        <f>IF(Sheet1!D$192,IF((A27&gt;=(Sheet1!D$148+$A$19)-1)," ",A27+1),NA())</f>
        <v xml:space="preserve"> </v>
      </c>
      <c r="B28" s="90" t="str">
        <f>IF(Sheet1!D$192,IF((B27&gt;=(Sheet1!D$148+$B$19)-1)," ",B27+1),NA())</f>
        <v xml:space="preserve"> </v>
      </c>
      <c r="C28" s="91" t="str">
        <f t="shared" si="0"/>
        <v xml:space="preserve"> </v>
      </c>
      <c r="D28" s="92"/>
      <c r="E28" s="92"/>
      <c r="F28" s="92"/>
      <c r="G28" s="92"/>
      <c r="H28" s="92"/>
      <c r="I28" s="92"/>
      <c r="J28" s="92"/>
      <c r="K28" s="92"/>
      <c r="L28" s="93">
        <f>IF(Sheet1!D$192,SUM(D28:K28),NA())</f>
        <v>0</v>
      </c>
      <c r="M28" s="94">
        <f>IF(Sheet1!D$192,SUM(D97:K97),NA())</f>
        <v>0</v>
      </c>
    </row>
    <row r="29" spans="1:13" ht="13.2" x14ac:dyDescent="0.25">
      <c r="A29" s="90" t="str">
        <f>IF(Sheet1!D$192,IF((A28&gt;=(Sheet1!D$148+$A$19)-1)," ",A28+1),NA())</f>
        <v xml:space="preserve"> </v>
      </c>
      <c r="B29" s="90" t="str">
        <f>IF(Sheet1!D$192,IF((B28&gt;=(Sheet1!D$148+$B$19)-1)," ",B28+1),NA())</f>
        <v xml:space="preserve"> </v>
      </c>
      <c r="C29" s="91" t="str">
        <f t="shared" si="0"/>
        <v xml:space="preserve"> </v>
      </c>
      <c r="D29" s="92"/>
      <c r="E29" s="92"/>
      <c r="F29" s="92"/>
      <c r="G29" s="92"/>
      <c r="H29" s="92"/>
      <c r="I29" s="92"/>
      <c r="J29" s="92"/>
      <c r="K29" s="92"/>
      <c r="L29" s="93">
        <f>IF(Sheet1!D$192,SUM(D29:K29),NA())</f>
        <v>0</v>
      </c>
      <c r="M29" s="94">
        <f>IF(Sheet1!D$192,SUM(D98:K98),NA())</f>
        <v>0</v>
      </c>
    </row>
    <row r="30" spans="1:13" ht="13.2" x14ac:dyDescent="0.25">
      <c r="A30" s="90" t="str">
        <f>IF(Sheet1!D$192,IF((A29&gt;=(Sheet1!D$148+$A$19)-1)," ",A29+1),NA())</f>
        <v xml:space="preserve"> </v>
      </c>
      <c r="B30" s="90" t="str">
        <f>IF(Sheet1!D$192,IF((B29&gt;=(Sheet1!D$148+$B$19)-1)," ",B29+1),NA())</f>
        <v xml:space="preserve"> </v>
      </c>
      <c r="C30" s="91" t="str">
        <f t="shared" si="0"/>
        <v xml:space="preserve"> </v>
      </c>
      <c r="D30" s="92"/>
      <c r="E30" s="92"/>
      <c r="F30" s="92"/>
      <c r="G30" s="92"/>
      <c r="H30" s="92"/>
      <c r="I30" s="92"/>
      <c r="J30" s="92"/>
      <c r="K30" s="92"/>
      <c r="L30" s="95">
        <f>IF(Sheet1!D$192,SUM(D30:K30),NA())</f>
        <v>0</v>
      </c>
      <c r="M30" s="94">
        <f>IF(Sheet1!D$192,SUM(D99:K99),NA())</f>
        <v>0</v>
      </c>
    </row>
    <row r="31" spans="1:13" ht="13.2" x14ac:dyDescent="0.25">
      <c r="A31" s="90" t="str">
        <f>IF(Sheet1!D$192,IF((A30&gt;=(Sheet1!D$148+$A$19)-1)," ",A30+1),NA())</f>
        <v xml:space="preserve"> </v>
      </c>
      <c r="B31" s="90" t="str">
        <f>IF(Sheet1!D$192,IF((B30&gt;=(Sheet1!D$148+$B$19)-1)," ",B30+1),NA())</f>
        <v xml:space="preserve"> </v>
      </c>
      <c r="C31" s="91" t="str">
        <f t="shared" si="0"/>
        <v xml:space="preserve"> </v>
      </c>
      <c r="D31" s="92"/>
      <c r="E31" s="92"/>
      <c r="F31" s="92"/>
      <c r="G31" s="92"/>
      <c r="H31" s="92"/>
      <c r="I31" s="92"/>
      <c r="J31" s="92"/>
      <c r="K31" s="92"/>
      <c r="L31" s="95">
        <f>IF(Sheet1!D$192,SUM(D31:K31),NA())</f>
        <v>0</v>
      </c>
      <c r="M31" s="94">
        <f>IF(Sheet1!D$192,SUM(D100:K100),NA())</f>
        <v>0</v>
      </c>
    </row>
    <row r="32" spans="1:13" ht="13.2" x14ac:dyDescent="0.25">
      <c r="A32" s="90" t="str">
        <f>IF(Sheet1!D$192,IF((A31&gt;=(Sheet1!D$148+$A$19)-1)," ",A31+1),NA())</f>
        <v xml:space="preserve"> </v>
      </c>
      <c r="B32" s="90" t="str">
        <f>IF(Sheet1!D$192,IF((B31&gt;=(Sheet1!D$148+$B$19)-1)," ",B31+1),NA())</f>
        <v xml:space="preserve"> </v>
      </c>
      <c r="C32" s="91" t="str">
        <f t="shared" si="0"/>
        <v xml:space="preserve"> </v>
      </c>
      <c r="D32" s="92"/>
      <c r="E32" s="92"/>
      <c r="F32" s="92"/>
      <c r="G32" s="92"/>
      <c r="H32" s="92"/>
      <c r="I32" s="92"/>
      <c r="J32" s="92"/>
      <c r="K32" s="92"/>
      <c r="L32" s="95">
        <f>IF(Sheet1!D$192,SUM(D32:K32),NA())</f>
        <v>0</v>
      </c>
      <c r="M32" s="94">
        <f>IF(Sheet1!D$192,SUM(D101:K101),NA())</f>
        <v>0</v>
      </c>
    </row>
    <row r="33" spans="1:13" ht="13.2" x14ac:dyDescent="0.25">
      <c r="A33" s="90" t="str">
        <f>IF(Sheet1!D$192,IF((A32&gt;=(Sheet1!D$148+$A$19)-1)," ",A32+1),NA())</f>
        <v xml:space="preserve"> </v>
      </c>
      <c r="B33" s="90" t="str">
        <f>IF(Sheet1!D$192,IF((B32&gt;=(Sheet1!D$148+$B$19)-1)," ",B32+1),NA())</f>
        <v xml:space="preserve"> </v>
      </c>
      <c r="C33" s="91" t="str">
        <f t="shared" si="0"/>
        <v xml:space="preserve"> </v>
      </c>
      <c r="D33" s="92"/>
      <c r="E33" s="92"/>
      <c r="F33" s="92"/>
      <c r="G33" s="92"/>
      <c r="H33" s="92"/>
      <c r="I33" s="92"/>
      <c r="J33" s="92"/>
      <c r="K33" s="92"/>
      <c r="L33" s="95">
        <f>IF(Sheet1!D$192,SUM(D33:K33),NA())</f>
        <v>0</v>
      </c>
      <c r="M33" s="94">
        <f>IF(Sheet1!D$192,SUM(D102:K102),NA())</f>
        <v>0</v>
      </c>
    </row>
    <row r="34" spans="1:13" ht="13.2" x14ac:dyDescent="0.25">
      <c r="A34" s="90" t="str">
        <f>IF(Sheet1!D$192,IF((A33&gt;=(Sheet1!D$148+$A$19)-1)," ",A33+1),NA())</f>
        <v xml:space="preserve"> </v>
      </c>
      <c r="B34" s="90" t="str">
        <f>IF(Sheet1!D$192,IF((B33&gt;=(Sheet1!D$148+$B$19)-1)," ",B33+1),NA())</f>
        <v xml:space="preserve"> </v>
      </c>
      <c r="C34" s="91" t="str">
        <f t="shared" si="0"/>
        <v xml:space="preserve"> </v>
      </c>
      <c r="D34" s="92"/>
      <c r="E34" s="92"/>
      <c r="F34" s="92"/>
      <c r="G34" s="92"/>
      <c r="H34" s="92"/>
      <c r="I34" s="92"/>
      <c r="J34" s="92"/>
      <c r="K34" s="92"/>
      <c r="L34" s="95">
        <f>IF(Sheet1!D$192,SUM(D34:K34),NA())</f>
        <v>0</v>
      </c>
      <c r="M34" s="94">
        <f>IF(Sheet1!D$192,SUM(D103:K103),NA())</f>
        <v>0</v>
      </c>
    </row>
    <row r="35" spans="1:13" ht="13.2" x14ac:dyDescent="0.25">
      <c r="A35" s="90" t="str">
        <f>IF(Sheet1!D$192,IF((A34&gt;=(Sheet1!D$148+$A$19)-1)," ",A34+1),NA())</f>
        <v xml:space="preserve"> </v>
      </c>
      <c r="B35" s="90" t="str">
        <f>IF(Sheet1!D$192,IF((B34&gt;=(Sheet1!D$148+$B$19)-1)," ",B34+1),NA())</f>
        <v xml:space="preserve"> </v>
      </c>
      <c r="C35" s="91" t="str">
        <f t="shared" si="0"/>
        <v xml:space="preserve"> </v>
      </c>
      <c r="D35" s="92"/>
      <c r="E35" s="92"/>
      <c r="F35" s="92"/>
      <c r="G35" s="92"/>
      <c r="H35" s="92"/>
      <c r="I35" s="92"/>
      <c r="J35" s="92"/>
      <c r="K35" s="92"/>
      <c r="L35" s="95">
        <f>IF(Sheet1!D$192,SUM(D35:K35),NA())</f>
        <v>0</v>
      </c>
      <c r="M35" s="94">
        <f>IF(Sheet1!D$192,SUM(D104:K104),NA())</f>
        <v>0</v>
      </c>
    </row>
    <row r="36" spans="1:13" ht="13.2" x14ac:dyDescent="0.25">
      <c r="A36" s="90" t="str">
        <f>IF(Sheet1!D$192,IF((A35&gt;=(Sheet1!D$148+$A$19)-1)," ",A35+1),NA())</f>
        <v xml:space="preserve"> </v>
      </c>
      <c r="B36" s="90" t="str">
        <f>IF(Sheet1!D$192,IF((B35&gt;=(Sheet1!D$148+$B$19)-1)," ",B35+1),NA())</f>
        <v xml:space="preserve"> </v>
      </c>
      <c r="C36" s="91" t="str">
        <f t="shared" si="0"/>
        <v xml:space="preserve"> </v>
      </c>
      <c r="D36" s="92"/>
      <c r="E36" s="92"/>
      <c r="F36" s="92"/>
      <c r="G36" s="92"/>
      <c r="H36" s="92"/>
      <c r="I36" s="92"/>
      <c r="J36" s="92"/>
      <c r="K36" s="92"/>
      <c r="L36" s="95">
        <f>IF(Sheet1!D$192,SUM(D36:K36),NA())</f>
        <v>0</v>
      </c>
      <c r="M36" s="94">
        <f>IF(Sheet1!D$192,SUM(D105:K105),NA())</f>
        <v>0</v>
      </c>
    </row>
    <row r="37" spans="1:13" ht="13.2" x14ac:dyDescent="0.25">
      <c r="A37" s="90" t="str">
        <f>IF(Sheet1!D$192,IF((A36&gt;=(Sheet1!D$148+$A$19)-1)," ",A36+1),NA())</f>
        <v xml:space="preserve"> </v>
      </c>
      <c r="B37" s="90" t="str">
        <f>IF(Sheet1!D$192,IF((B36&gt;=(Sheet1!D$148+$B$19)-1)," ",B36+1),NA())</f>
        <v xml:space="preserve"> </v>
      </c>
      <c r="C37" s="91" t="str">
        <f t="shared" si="0"/>
        <v xml:space="preserve"> </v>
      </c>
      <c r="D37" s="92"/>
      <c r="E37" s="92"/>
      <c r="F37" s="92"/>
      <c r="G37" s="92"/>
      <c r="H37" s="92"/>
      <c r="I37" s="92"/>
      <c r="J37" s="92"/>
      <c r="K37" s="92"/>
      <c r="L37" s="95">
        <f>IF(Sheet1!D$192,SUM(D37:K37),NA())</f>
        <v>0</v>
      </c>
      <c r="M37" s="94">
        <f>IF(Sheet1!D$192,SUM(D106:K106),NA())</f>
        <v>0</v>
      </c>
    </row>
    <row r="38" spans="1:13" ht="13.2" x14ac:dyDescent="0.25">
      <c r="A38" s="90" t="str">
        <f>IF(Sheet1!D$192,IF((A37&gt;=(Sheet1!D$148+$A$19)-1)," ",A37+1),NA())</f>
        <v xml:space="preserve"> </v>
      </c>
      <c r="B38" s="90" t="str">
        <f>IF(Sheet1!D$192,IF((B37&gt;=(Sheet1!D$148+$B$19)-1)," ",B37+1),NA())</f>
        <v xml:space="preserve"> </v>
      </c>
      <c r="C38" s="91" t="str">
        <f t="shared" si="0"/>
        <v xml:space="preserve"> </v>
      </c>
      <c r="D38" s="92"/>
      <c r="E38" s="92"/>
      <c r="F38" s="92"/>
      <c r="G38" s="92"/>
      <c r="H38" s="92"/>
      <c r="I38" s="92"/>
      <c r="J38" s="92"/>
      <c r="K38" s="92"/>
      <c r="L38" s="95">
        <f>IF(Sheet1!D$192,SUM(D38:K38),NA())</f>
        <v>0</v>
      </c>
      <c r="M38" s="94">
        <f>IF(Sheet1!D$192,SUM(D107:K107),NA())</f>
        <v>0</v>
      </c>
    </row>
    <row r="39" spans="1:13" ht="13.2" x14ac:dyDescent="0.25">
      <c r="A39" s="90" t="str">
        <f>IF(Sheet1!D$192,IF((A38&gt;=(Sheet1!D$148+$A$19)-1)," ",A38+1),NA())</f>
        <v xml:space="preserve"> </v>
      </c>
      <c r="B39" s="90" t="str">
        <f>IF(Sheet1!D$192,IF((B38&gt;=(Sheet1!D$148+$B$19)-1)," ",B38+1),NA())</f>
        <v xml:space="preserve"> </v>
      </c>
      <c r="C39" s="91" t="str">
        <f t="shared" si="0"/>
        <v xml:space="preserve"> </v>
      </c>
      <c r="D39" s="92"/>
      <c r="E39" s="92"/>
      <c r="F39" s="92"/>
      <c r="G39" s="92"/>
      <c r="H39" s="92"/>
      <c r="I39" s="92"/>
      <c r="J39" s="92"/>
      <c r="K39" s="92"/>
      <c r="L39" s="95">
        <f>IF(Sheet1!D$192,SUM(D39:K39),NA())</f>
        <v>0</v>
      </c>
      <c r="M39" s="94">
        <f>IF(Sheet1!D$192,SUM(D108:K108),NA())</f>
        <v>0</v>
      </c>
    </row>
    <row r="40" spans="1:13" ht="13.2" x14ac:dyDescent="0.25">
      <c r="A40" s="90" t="str">
        <f>IF(Sheet1!D$192,IF((A39&gt;=(Sheet1!D$148+$A$19)-1)," ",A39+1),NA())</f>
        <v xml:space="preserve"> </v>
      </c>
      <c r="B40" s="90" t="str">
        <f>IF(Sheet1!D$192,IF((B39&gt;=(Sheet1!D$148+$B$19)-1)," ",B39+1),NA())</f>
        <v xml:space="preserve"> </v>
      </c>
      <c r="C40" s="91" t="str">
        <f t="shared" si="0"/>
        <v xml:space="preserve"> </v>
      </c>
      <c r="D40" s="92"/>
      <c r="E40" s="92"/>
      <c r="F40" s="92"/>
      <c r="G40" s="92"/>
      <c r="H40" s="92"/>
      <c r="I40" s="92"/>
      <c r="J40" s="92"/>
      <c r="K40" s="92"/>
      <c r="L40" s="95">
        <f>IF(Sheet1!D$192,SUM(D40:K40),NA())</f>
        <v>0</v>
      </c>
      <c r="M40" s="94">
        <f>IF(Sheet1!D$192,SUM(D109:K109),NA())</f>
        <v>0</v>
      </c>
    </row>
    <row r="41" spans="1:13" ht="13.2" x14ac:dyDescent="0.25">
      <c r="A41" s="90" t="str">
        <f>IF(Sheet1!D$192,IF((A40&gt;=(Sheet1!D$148+$A$19)-1)," ",A40+1),NA())</f>
        <v xml:space="preserve"> </v>
      </c>
      <c r="B41" s="90" t="str">
        <f>IF(Sheet1!D$192,IF((B40&gt;=(Sheet1!D$148+$B$19)-1)," ",B40+1),NA())</f>
        <v xml:space="preserve"> </v>
      </c>
      <c r="C41" s="91" t="str">
        <f t="shared" si="0"/>
        <v xml:space="preserve"> </v>
      </c>
      <c r="D41" s="92"/>
      <c r="E41" s="92"/>
      <c r="F41" s="92"/>
      <c r="G41" s="92"/>
      <c r="H41" s="92"/>
      <c r="I41" s="92"/>
      <c r="J41" s="92"/>
      <c r="K41" s="92"/>
      <c r="L41" s="95">
        <f>IF(Sheet1!D$192,SUM(D41:K41),NA())</f>
        <v>0</v>
      </c>
      <c r="M41" s="94">
        <f>IF(Sheet1!D$192,SUM(D110:K110),NA())</f>
        <v>0</v>
      </c>
    </row>
    <row r="42" spans="1:13" ht="13.2" x14ac:dyDescent="0.25">
      <c r="A42" s="90" t="str">
        <f>IF(Sheet1!D$192,IF((A41&gt;=(Sheet1!D$148+$A$19)-1)," ",A41+1),NA())</f>
        <v xml:space="preserve"> </v>
      </c>
      <c r="B42" s="90" t="str">
        <f>IF(Sheet1!D$192,IF((B41&gt;=(Sheet1!D$148+$B$19)-1)," ",B41+1),NA())</f>
        <v xml:space="preserve"> </v>
      </c>
      <c r="C42" s="91" t="str">
        <f t="shared" si="0"/>
        <v xml:space="preserve"> </v>
      </c>
      <c r="D42" s="92"/>
      <c r="E42" s="92"/>
      <c r="F42" s="92"/>
      <c r="G42" s="92"/>
      <c r="H42" s="92"/>
      <c r="I42" s="92"/>
      <c r="J42" s="92"/>
      <c r="K42" s="92"/>
      <c r="L42" s="95">
        <f>IF(Sheet1!D$192,SUM(D42:K42),NA())</f>
        <v>0</v>
      </c>
      <c r="M42" s="94">
        <f>IF(Sheet1!D$192,SUM(D111:K111),NA())</f>
        <v>0</v>
      </c>
    </row>
    <row r="43" spans="1:13" ht="13.2" x14ac:dyDescent="0.25">
      <c r="A43" s="90" t="str">
        <f>IF(Sheet1!D$192,IF((A42&gt;=(Sheet1!D$148+$A$19)-1)," ",A42+1),NA())</f>
        <v xml:space="preserve"> </v>
      </c>
      <c r="B43" s="90" t="str">
        <f>IF(Sheet1!D$192,IF((B42&gt;=(Sheet1!D$148+$B$19)-1)," ",B42+1),NA())</f>
        <v xml:space="preserve"> </v>
      </c>
      <c r="C43" s="91" t="str">
        <f t="shared" si="0"/>
        <v xml:space="preserve"> </v>
      </c>
      <c r="D43" s="92"/>
      <c r="E43" s="92"/>
      <c r="F43" s="92"/>
      <c r="G43" s="92"/>
      <c r="H43" s="92"/>
      <c r="I43" s="92"/>
      <c r="J43" s="92"/>
      <c r="K43" s="92"/>
      <c r="L43" s="95">
        <f>IF(Sheet1!D$192,SUM(D43:K43),NA())</f>
        <v>0</v>
      </c>
      <c r="M43" s="94">
        <f>IF(Sheet1!D$192,SUM(D112:K112),NA())</f>
        <v>0</v>
      </c>
    </row>
    <row r="44" spans="1:13" ht="13.2" x14ac:dyDescent="0.25">
      <c r="A44" s="90" t="str">
        <f>IF(Sheet1!D$192,IF((A43&gt;=(Sheet1!D$148+$A$19)-1)," ",A43+1),NA())</f>
        <v xml:space="preserve"> </v>
      </c>
      <c r="B44" s="90" t="str">
        <f>IF(Sheet1!D$192,IF((B43&gt;=(Sheet1!D$148+$B$19)-1)," ",B43+1),NA())</f>
        <v xml:space="preserve"> </v>
      </c>
      <c r="C44" s="91" t="str">
        <f t="shared" si="0"/>
        <v xml:space="preserve"> </v>
      </c>
      <c r="D44" s="92"/>
      <c r="E44" s="92"/>
      <c r="F44" s="92"/>
      <c r="G44" s="92"/>
      <c r="H44" s="92"/>
      <c r="I44" s="92"/>
      <c r="J44" s="92"/>
      <c r="K44" s="92"/>
      <c r="L44" s="95">
        <f>IF(Sheet1!D$192,SUM(D44:K44),NA())</f>
        <v>0</v>
      </c>
      <c r="M44" s="94">
        <f>IF(Sheet1!D$192,SUM(D113:K113),NA())</f>
        <v>0</v>
      </c>
    </row>
    <row r="45" spans="1:13" ht="13.2" x14ac:dyDescent="0.25">
      <c r="A45" s="90" t="str">
        <f>IF(Sheet1!D$192,IF((A44&gt;=(Sheet1!D$148+$A$19)-1)," ",A44+1),NA())</f>
        <v xml:space="preserve"> </v>
      </c>
      <c r="B45" s="90" t="str">
        <f>IF(Sheet1!D$192,IF((B44&gt;=(Sheet1!D$148+$B$19)-1)," ",B44+1),NA())</f>
        <v xml:space="preserve"> </v>
      </c>
      <c r="C45" s="91" t="str">
        <f t="shared" si="0"/>
        <v xml:space="preserve"> </v>
      </c>
      <c r="D45" s="92"/>
      <c r="E45" s="92"/>
      <c r="F45" s="92"/>
      <c r="G45" s="92"/>
      <c r="H45" s="92"/>
      <c r="I45" s="92"/>
      <c r="J45" s="92"/>
      <c r="K45" s="92"/>
      <c r="L45" s="95">
        <f>IF(Sheet1!D$192,SUM(D45:K45),NA())</f>
        <v>0</v>
      </c>
      <c r="M45" s="94">
        <f>IF(Sheet1!D$192,SUM(D114:K114),NA())</f>
        <v>0</v>
      </c>
    </row>
    <row r="46" spans="1:13" ht="13.2" x14ac:dyDescent="0.25">
      <c r="A46" s="90" t="str">
        <f>IF(Sheet1!D$192,IF((A45&gt;=(Sheet1!D$148+$A$19)-1)," ",A45+1),NA())</f>
        <v xml:space="preserve"> </v>
      </c>
      <c r="B46" s="90" t="str">
        <f>IF(Sheet1!D$192,IF((B45&gt;=(Sheet1!D$148+$B$19)-1)," ",B45+1),NA())</f>
        <v xml:space="preserve"> </v>
      </c>
      <c r="C46" s="91" t="str">
        <f t="shared" si="0"/>
        <v xml:space="preserve"> </v>
      </c>
      <c r="D46" s="92"/>
      <c r="E46" s="92"/>
      <c r="F46" s="92"/>
      <c r="G46" s="92"/>
      <c r="H46" s="92"/>
      <c r="I46" s="92"/>
      <c r="J46" s="92"/>
      <c r="K46" s="92"/>
      <c r="L46" s="95">
        <f>IF(Sheet1!D$192,SUM(D46:K46),NA())</f>
        <v>0</v>
      </c>
      <c r="M46" s="94">
        <f>IF(Sheet1!D$192,SUM(D115:K115),NA())</f>
        <v>0</v>
      </c>
    </row>
    <row r="47" spans="1:13" ht="13.2" x14ac:dyDescent="0.25">
      <c r="A47" s="90" t="str">
        <f>IF(Sheet1!D$192,IF((A46&gt;=(Sheet1!D$148+$A$19)-1)," ",A46+1),NA())</f>
        <v xml:space="preserve"> </v>
      </c>
      <c r="B47" s="90" t="str">
        <f>IF(Sheet1!D$192,IF((B46&gt;=(Sheet1!D$148+$B$19)-1)," ",B46+1),NA())</f>
        <v xml:space="preserve"> </v>
      </c>
      <c r="C47" s="91" t="str">
        <f t="shared" si="0"/>
        <v xml:space="preserve"> </v>
      </c>
      <c r="D47" s="92"/>
      <c r="E47" s="92"/>
      <c r="F47" s="92"/>
      <c r="G47" s="92"/>
      <c r="H47" s="92"/>
      <c r="I47" s="92"/>
      <c r="J47" s="92"/>
      <c r="K47" s="92"/>
      <c r="L47" s="95">
        <f>IF(Sheet1!D$192,SUM(D47:K47),NA())</f>
        <v>0</v>
      </c>
      <c r="M47" s="94">
        <f>IF(Sheet1!D$192,SUM(D116:K116),NA())</f>
        <v>0</v>
      </c>
    </row>
    <row r="48" spans="1:13" ht="13.2" x14ac:dyDescent="0.25">
      <c r="A48" s="90" t="str">
        <f>IF(Sheet1!D$192,IF((A47&gt;=(Sheet1!D$148+$A$19)-1)," ",A47+1),NA())</f>
        <v xml:space="preserve"> </v>
      </c>
      <c r="B48" s="90" t="str">
        <f>IF(Sheet1!D$192,IF((B47&gt;=(Sheet1!D$148+$B$19)-1)," ",B47+1),NA())</f>
        <v xml:space="preserve"> </v>
      </c>
      <c r="C48" s="91" t="str">
        <f t="shared" si="0"/>
        <v xml:space="preserve"> </v>
      </c>
      <c r="D48" s="92"/>
      <c r="E48" s="92"/>
      <c r="F48" s="92"/>
      <c r="G48" s="92"/>
      <c r="H48" s="92"/>
      <c r="I48" s="92"/>
      <c r="J48" s="92"/>
      <c r="K48" s="92"/>
      <c r="L48" s="95">
        <f>IF(Sheet1!D$192,SUM(D48:K48),NA())</f>
        <v>0</v>
      </c>
      <c r="M48" s="94">
        <f>IF(Sheet1!D$192,SUM(D117:K117),NA())</f>
        <v>0</v>
      </c>
    </row>
    <row r="49" spans="1:13" ht="13.2" x14ac:dyDescent="0.25">
      <c r="A49" s="90" t="str">
        <f>IF(Sheet1!D$192,IF((A48&gt;=(Sheet1!D$148+$A$19)-1)," ",A48+1),NA())</f>
        <v xml:space="preserve"> </v>
      </c>
      <c r="B49" s="90" t="str">
        <f>IF(Sheet1!D$192,IF((B48&gt;=(Sheet1!D$148+$B$19)-1)," ",B48+1),NA())</f>
        <v xml:space="preserve"> </v>
      </c>
      <c r="C49" s="91" t="str">
        <f t="shared" si="0"/>
        <v xml:space="preserve"> </v>
      </c>
      <c r="D49" s="92"/>
      <c r="E49" s="92"/>
      <c r="F49" s="92"/>
      <c r="G49" s="92"/>
      <c r="H49" s="92"/>
      <c r="I49" s="92"/>
      <c r="J49" s="92"/>
      <c r="K49" s="92"/>
      <c r="L49" s="95">
        <f>IF(Sheet1!D$192,SUM(D49:K49),NA())</f>
        <v>0</v>
      </c>
      <c r="M49" s="94">
        <f>IF(Sheet1!D$192,SUM(D118:K118),NA())</f>
        <v>0</v>
      </c>
    </row>
    <row r="50" spans="1:13" ht="13.2" x14ac:dyDescent="0.25">
      <c r="A50" s="90" t="str">
        <f>IF(Sheet1!D$192,IF((A49&gt;=(Sheet1!D$148+$A$19)-1)," ",A49+1),NA())</f>
        <v xml:space="preserve"> </v>
      </c>
      <c r="B50" s="90" t="str">
        <f>IF(Sheet1!D$192,IF((B49&gt;=(Sheet1!D$148+$B$19)-1)," ",B49+1),NA())</f>
        <v xml:space="preserve"> </v>
      </c>
      <c r="C50" s="91" t="str">
        <f t="shared" si="0"/>
        <v xml:space="preserve"> </v>
      </c>
      <c r="D50" s="92"/>
      <c r="E50" s="92"/>
      <c r="F50" s="92"/>
      <c r="G50" s="92"/>
      <c r="H50" s="92"/>
      <c r="I50" s="92"/>
      <c r="J50" s="92"/>
      <c r="K50" s="92"/>
      <c r="L50" s="95">
        <f>IF(Sheet1!D$192,SUM(D50:K50),NA())</f>
        <v>0</v>
      </c>
      <c r="M50" s="94">
        <f>IF(Sheet1!D$192,SUM(D119:K119),NA())</f>
        <v>0</v>
      </c>
    </row>
    <row r="51" spans="1:13" ht="13.2" x14ac:dyDescent="0.25">
      <c r="A51" s="90" t="str">
        <f>IF(Sheet1!D$192,IF((A50&gt;=(Sheet1!D$148+$A$19)-1)," ",A50+1),NA())</f>
        <v xml:space="preserve"> </v>
      </c>
      <c r="B51" s="90" t="str">
        <f>IF(Sheet1!D$192,IF((B50&gt;=(Sheet1!D$148+$B$19)-1)," ",B50+1),NA())</f>
        <v xml:space="preserve"> </v>
      </c>
      <c r="C51" s="91" t="str">
        <f t="shared" si="0"/>
        <v xml:space="preserve"> </v>
      </c>
      <c r="D51" s="92"/>
      <c r="E51" s="92"/>
      <c r="F51" s="92"/>
      <c r="G51" s="92"/>
      <c r="H51" s="92"/>
      <c r="I51" s="92"/>
      <c r="J51" s="92"/>
      <c r="K51" s="92"/>
      <c r="L51" s="95">
        <f>IF(Sheet1!D$192,SUM(D51:K51),NA())</f>
        <v>0</v>
      </c>
      <c r="M51" s="94">
        <f>IF(Sheet1!D$192,SUM(D120:K120),NA())</f>
        <v>0</v>
      </c>
    </row>
    <row r="52" spans="1:13" ht="13.2" x14ac:dyDescent="0.25">
      <c r="A52" s="90" t="str">
        <f>IF(Sheet1!D$192,IF((A51&gt;=(Sheet1!D$148+$A$19)-1)," ",A51+1),NA())</f>
        <v xml:space="preserve"> </v>
      </c>
      <c r="B52" s="90" t="str">
        <f>IF(Sheet1!D$192,IF((B51&gt;=(Sheet1!D$148+$B$19)-1)," ",B51+1),NA())</f>
        <v xml:space="preserve"> </v>
      </c>
      <c r="C52" s="91" t="str">
        <f t="shared" si="0"/>
        <v xml:space="preserve"> </v>
      </c>
      <c r="D52" s="92"/>
      <c r="E52" s="92"/>
      <c r="F52" s="92"/>
      <c r="G52" s="92"/>
      <c r="H52" s="92"/>
      <c r="I52" s="92"/>
      <c r="J52" s="92"/>
      <c r="K52" s="92"/>
      <c r="L52" s="95">
        <f>IF(Sheet1!D$192,SUM(D52:K52),NA())</f>
        <v>0</v>
      </c>
      <c r="M52" s="94">
        <f>IF(Sheet1!D$192,SUM(D121:K121),NA())</f>
        <v>0</v>
      </c>
    </row>
    <row r="53" spans="1:13" ht="13.2" x14ac:dyDescent="0.25">
      <c r="A53" s="90" t="str">
        <f>IF(Sheet1!D$192,IF((A52&gt;=(Sheet1!D$148+$A$19)-1)," ",A52+1),NA())</f>
        <v xml:space="preserve"> </v>
      </c>
      <c r="B53" s="90" t="str">
        <f>IF(Sheet1!D$192,IF((B52&gt;=(Sheet1!D$148+$B$19)-1)," ",B52+1),NA())</f>
        <v xml:space="preserve"> </v>
      </c>
      <c r="C53" s="91" t="str">
        <f t="shared" si="0"/>
        <v xml:space="preserve"> </v>
      </c>
      <c r="D53" s="92"/>
      <c r="E53" s="92"/>
      <c r="F53" s="92"/>
      <c r="G53" s="92"/>
      <c r="H53" s="92"/>
      <c r="I53" s="92"/>
      <c r="J53" s="92"/>
      <c r="K53" s="92"/>
      <c r="L53" s="95">
        <f>IF(Sheet1!D$192,SUM(D53:K53),NA())</f>
        <v>0</v>
      </c>
      <c r="M53" s="94">
        <f>IF(Sheet1!D$192,SUM(D122:K122),NA())</f>
        <v>0</v>
      </c>
    </row>
    <row r="54" spans="1:13" ht="13.2" x14ac:dyDescent="0.25">
      <c r="A54" s="90" t="str">
        <f>IF(Sheet1!D$192,IF((A53&gt;=(Sheet1!D$148+$A$19)-1)," ",A53+1),NA())</f>
        <v xml:space="preserve"> </v>
      </c>
      <c r="B54" s="90" t="str">
        <f>IF(Sheet1!D$192,IF((B53&gt;=(Sheet1!D$148+$B$19)-1)," ",B53+1),NA())</f>
        <v xml:space="preserve"> </v>
      </c>
      <c r="C54" s="91" t="str">
        <f t="shared" si="0"/>
        <v xml:space="preserve"> </v>
      </c>
      <c r="D54" s="92"/>
      <c r="E54" s="92"/>
      <c r="F54" s="92"/>
      <c r="G54" s="92"/>
      <c r="H54" s="92"/>
      <c r="I54" s="92"/>
      <c r="J54" s="92"/>
      <c r="K54" s="92"/>
      <c r="L54" s="95">
        <f>IF(Sheet1!D$192,SUM(D54:K54),NA())</f>
        <v>0</v>
      </c>
      <c r="M54" s="94">
        <f>IF(Sheet1!D$192,SUM(D123:K123),NA())</f>
        <v>0</v>
      </c>
    </row>
    <row r="55" spans="1:13" ht="13.2" x14ac:dyDescent="0.25">
      <c r="A55" s="90" t="str">
        <f>IF(Sheet1!D$192,IF((A54&gt;=(Sheet1!D$148+$A$19)-1)," ",A54+1),NA())</f>
        <v xml:space="preserve"> </v>
      </c>
      <c r="B55" s="90" t="str">
        <f>IF(Sheet1!D$192,IF((B54&gt;=(Sheet1!D$148+$B$19)-1)," ",B54+1),NA())</f>
        <v xml:space="preserve"> </v>
      </c>
      <c r="C55" s="91" t="str">
        <f t="shared" si="0"/>
        <v xml:space="preserve"> </v>
      </c>
      <c r="D55" s="92"/>
      <c r="E55" s="92"/>
      <c r="F55" s="92"/>
      <c r="G55" s="92"/>
      <c r="H55" s="92"/>
      <c r="I55" s="92"/>
      <c r="J55" s="92"/>
      <c r="K55" s="92"/>
      <c r="L55" s="95">
        <f>IF(Sheet1!D$192,SUM(D55:K55),NA())</f>
        <v>0</v>
      </c>
      <c r="M55" s="94">
        <f>IF(Sheet1!D$192,SUM(D124:K124),NA())</f>
        <v>0</v>
      </c>
    </row>
    <row r="56" spans="1:13" ht="13.2" x14ac:dyDescent="0.25">
      <c r="A56" s="90" t="str">
        <f>IF(Sheet1!D$192,IF((A55&gt;=(Sheet1!D$148+$A$19)-1)," ",A55+1),NA())</f>
        <v xml:space="preserve"> </v>
      </c>
      <c r="B56" s="90" t="str">
        <f>IF(Sheet1!D$192,IF((B55&gt;=(Sheet1!D$148+$B$19)-1)," ",B55+1),NA())</f>
        <v xml:space="preserve"> </v>
      </c>
      <c r="C56" s="91" t="str">
        <f t="shared" si="0"/>
        <v xml:space="preserve"> </v>
      </c>
      <c r="D56" s="92"/>
      <c r="E56" s="92"/>
      <c r="F56" s="92"/>
      <c r="G56" s="92"/>
      <c r="H56" s="92"/>
      <c r="I56" s="92"/>
      <c r="J56" s="92"/>
      <c r="K56" s="92"/>
      <c r="L56" s="95">
        <f>IF(Sheet1!D$192,SUM(D56:K56),NA())</f>
        <v>0</v>
      </c>
      <c r="M56" s="94">
        <f>IF(Sheet1!D$192,SUM(D125:K125),NA())</f>
        <v>0</v>
      </c>
    </row>
    <row r="57" spans="1:13" ht="13.2" x14ac:dyDescent="0.25">
      <c r="A57" s="90" t="str">
        <f>IF(Sheet1!D$192,IF((A56&gt;=(Sheet1!D$148+$A$19)-1)," ",A56+1),NA())</f>
        <v xml:space="preserve"> </v>
      </c>
      <c r="B57" s="90" t="str">
        <f>IF(Sheet1!D$192,IF((B56&gt;=(Sheet1!D$148+$B$19)-1)," ",B56+1),NA())</f>
        <v xml:space="preserve"> </v>
      </c>
      <c r="C57" s="91" t="str">
        <f t="shared" si="0"/>
        <v xml:space="preserve"> </v>
      </c>
      <c r="D57" s="92"/>
      <c r="E57" s="92"/>
      <c r="F57" s="92"/>
      <c r="G57" s="92"/>
      <c r="H57" s="92"/>
      <c r="I57" s="92"/>
      <c r="J57" s="92"/>
      <c r="K57" s="92"/>
      <c r="L57" s="95">
        <f>IF(Sheet1!D$192,SUM(D57:K57),NA())</f>
        <v>0</v>
      </c>
      <c r="M57" s="94">
        <f>IF(Sheet1!D$192,SUM(D126:K126),NA())</f>
        <v>0</v>
      </c>
    </row>
    <row r="58" spans="1:13" ht="13.2" x14ac:dyDescent="0.25">
      <c r="A58" s="90" t="str">
        <f>IF(Sheet1!D$192,IF((A57&gt;=(Sheet1!D$148+$A$19)-1)," ",A57+1),NA())</f>
        <v xml:space="preserve"> </v>
      </c>
      <c r="B58" s="90" t="str">
        <f>IF(Sheet1!D$192,IF((B57&gt;=(Sheet1!D$148+$B$19)-1)," ",B57+1),NA())</f>
        <v xml:space="preserve"> </v>
      </c>
      <c r="C58" s="91" t="str">
        <f t="shared" si="0"/>
        <v xml:space="preserve"> </v>
      </c>
      <c r="D58" s="92"/>
      <c r="E58" s="92"/>
      <c r="F58" s="92"/>
      <c r="G58" s="92"/>
      <c r="H58" s="92"/>
      <c r="I58" s="92"/>
      <c r="J58" s="92"/>
      <c r="K58" s="92"/>
      <c r="L58" s="95">
        <f>IF(Sheet1!D$192,SUM(D58:K58),NA())</f>
        <v>0</v>
      </c>
      <c r="M58" s="94">
        <f>IF(Sheet1!D$192,SUM(D127:K127),NA())</f>
        <v>0</v>
      </c>
    </row>
    <row r="59" spans="1:13" ht="13.2" x14ac:dyDescent="0.25">
      <c r="A59" s="90" t="str">
        <f>IF(Sheet1!D$192,IF((A58&gt;=(Sheet1!D$148+$A$19)-1)," ",A58+1),NA())</f>
        <v xml:space="preserve"> </v>
      </c>
      <c r="B59" s="90" t="str">
        <f>IF(Sheet1!D$192,IF((B58&gt;=(Sheet1!D$148+$B$19)-1)," ",B58+1),NA())</f>
        <v xml:space="preserve"> </v>
      </c>
      <c r="C59" s="91" t="str">
        <f t="shared" si="0"/>
        <v xml:space="preserve"> </v>
      </c>
      <c r="D59" s="92"/>
      <c r="E59" s="92"/>
      <c r="F59" s="92"/>
      <c r="G59" s="92"/>
      <c r="H59" s="92"/>
      <c r="I59" s="92"/>
      <c r="J59" s="92"/>
      <c r="K59" s="92"/>
      <c r="L59" s="95">
        <f>IF(Sheet1!D$192,SUM(D59:K59),NA())</f>
        <v>0</v>
      </c>
      <c r="M59" s="94">
        <f>IF(Sheet1!D$192,SUM(D128:K128),NA())</f>
        <v>0</v>
      </c>
    </row>
    <row r="60" spans="1:13" ht="13.2" x14ac:dyDescent="0.25">
      <c r="A60" s="90" t="str">
        <f>IF(Sheet1!D$192,IF((A59&gt;=(Sheet1!D$148+$A$19)-1)," ",A59+1),NA())</f>
        <v xml:space="preserve"> </v>
      </c>
      <c r="B60" s="90" t="str">
        <f>IF(Sheet1!D$192,IF((B59&gt;=(Sheet1!D$148+$B$19)-1)," ",B59+1),NA())</f>
        <v xml:space="preserve"> </v>
      </c>
      <c r="C60" s="91" t="str">
        <f t="shared" si="0"/>
        <v xml:space="preserve"> </v>
      </c>
      <c r="D60" s="92"/>
      <c r="E60" s="92"/>
      <c r="F60" s="92"/>
      <c r="G60" s="92"/>
      <c r="H60" s="92"/>
      <c r="I60" s="92"/>
      <c r="J60" s="92"/>
      <c r="K60" s="92"/>
      <c r="L60" s="95">
        <f>IF(Sheet1!D$192,SUM(D60:K60),NA())</f>
        <v>0</v>
      </c>
      <c r="M60" s="94">
        <f>IF(Sheet1!D$192,SUM(D129:K129),NA())</f>
        <v>0</v>
      </c>
    </row>
    <row r="61" spans="1:13" ht="13.2" x14ac:dyDescent="0.25">
      <c r="A61" s="90" t="str">
        <f>IF(Sheet1!D$192,IF((A60&gt;=(Sheet1!D$148+$A$19)-1)," ",A60+1),NA())</f>
        <v xml:space="preserve"> </v>
      </c>
      <c r="B61" s="90" t="str">
        <f>IF(Sheet1!D$192,IF((B60&gt;=(Sheet1!D$148+$B$19)-1)," ",B60+1),NA())</f>
        <v xml:space="preserve"> </v>
      </c>
      <c r="C61" s="91" t="str">
        <f t="shared" si="0"/>
        <v xml:space="preserve"> </v>
      </c>
      <c r="D61" s="92"/>
      <c r="E61" s="92"/>
      <c r="F61" s="92"/>
      <c r="G61" s="92"/>
      <c r="H61" s="92"/>
      <c r="I61" s="92"/>
      <c r="J61" s="92"/>
      <c r="K61" s="92"/>
      <c r="L61" s="95">
        <f>IF(Sheet1!D$192,SUM(D61:K61),NA())</f>
        <v>0</v>
      </c>
      <c r="M61" s="94">
        <f>IF(Sheet1!D$192,SUM(D130:K130),NA())</f>
        <v>0</v>
      </c>
    </row>
    <row r="62" spans="1:13" ht="13.2" x14ac:dyDescent="0.25">
      <c r="A62" s="90" t="str">
        <f>IF(Sheet1!D$192,IF((A61&gt;=(Sheet1!D$148+$A$19)-1)," ",A61+1),NA())</f>
        <v xml:space="preserve"> </v>
      </c>
      <c r="B62" s="90" t="str">
        <f>IF(Sheet1!D$192,IF((B61&gt;=(Sheet1!D$148+$B$19)-1)," ",B61+1),NA())</f>
        <v xml:space="preserve"> </v>
      </c>
      <c r="C62" s="91" t="str">
        <f t="shared" si="0"/>
        <v xml:space="preserve"> </v>
      </c>
      <c r="D62" s="92"/>
      <c r="E62" s="92"/>
      <c r="F62" s="92"/>
      <c r="G62" s="92"/>
      <c r="H62" s="92"/>
      <c r="I62" s="92"/>
      <c r="J62" s="92"/>
      <c r="K62" s="92"/>
      <c r="L62" s="95">
        <f>IF(Sheet1!D$192,SUM(D62:K62),NA())</f>
        <v>0</v>
      </c>
      <c r="M62" s="94">
        <f>IF(Sheet1!D$192,SUM(D131:K131),NA())</f>
        <v>0</v>
      </c>
    </row>
    <row r="63" spans="1:13" ht="13.2" x14ac:dyDescent="0.25">
      <c r="A63" s="90" t="str">
        <f>IF(Sheet1!D$192,IF((A62&gt;=(Sheet1!D$148+$A$19)-1)," ",A62+1),NA())</f>
        <v xml:space="preserve"> </v>
      </c>
      <c r="B63" s="90" t="str">
        <f>IF(Sheet1!D$192,IF((B62&gt;=(Sheet1!D$148+$B$19)-1)," ",B62+1),NA())</f>
        <v xml:space="preserve"> </v>
      </c>
      <c r="C63" s="91" t="str">
        <f t="shared" si="0"/>
        <v xml:space="preserve"> </v>
      </c>
      <c r="D63" s="92"/>
      <c r="E63" s="92"/>
      <c r="F63" s="92"/>
      <c r="G63" s="92"/>
      <c r="H63" s="92"/>
      <c r="I63" s="92"/>
      <c r="J63" s="92"/>
      <c r="K63" s="92"/>
      <c r="L63" s="95">
        <f>IF(Sheet1!D$192,SUM(D63:K63),NA())</f>
        <v>0</v>
      </c>
      <c r="M63" s="94">
        <f>IF(Sheet1!D$192,SUM(D132:K132),NA())</f>
        <v>0</v>
      </c>
    </row>
    <row r="64" spans="1:13" ht="13.2" x14ac:dyDescent="0.25">
      <c r="A64" s="90" t="str">
        <f>IF(Sheet1!D$192,IF((A63&gt;=(Sheet1!D$148+$A$19)-1)," ",A63+1),NA())</f>
        <v xml:space="preserve"> </v>
      </c>
      <c r="B64" s="90" t="str">
        <f>IF(Sheet1!D$192,IF((B63&gt;=(Sheet1!D$148+$B$19)-1)," ",B63+1),NA())</f>
        <v xml:space="preserve"> </v>
      </c>
      <c r="C64" s="91" t="str">
        <f t="shared" si="0"/>
        <v xml:space="preserve"> </v>
      </c>
      <c r="D64" s="92"/>
      <c r="E64" s="92"/>
      <c r="F64" s="92"/>
      <c r="G64" s="92"/>
      <c r="H64" s="92"/>
      <c r="I64" s="92"/>
      <c r="J64" s="92"/>
      <c r="K64" s="92"/>
      <c r="L64" s="95">
        <f>IF(Sheet1!D$192,SUM(D64:K64),NA())</f>
        <v>0</v>
      </c>
      <c r="M64" s="94">
        <f>IF(Sheet1!D$192,SUM(D133:K133),NA())</f>
        <v>0</v>
      </c>
    </row>
    <row r="65" spans="1:13" ht="13.8" thickBot="1" x14ac:dyDescent="0.3">
      <c r="A65" s="90" t="str">
        <f>IF(Sheet1!D$192,IF((A64&gt;=(Sheet1!D$148+$A$19)-1)," ",A64+1),NA())</f>
        <v xml:space="preserve"> </v>
      </c>
      <c r="B65" s="90" t="str">
        <f>IF(Sheet1!D$192,IF((B64&gt;=(Sheet1!D$148+$B$19)-1)," ",B64+1),NA())</f>
        <v xml:space="preserve"> </v>
      </c>
      <c r="C65" s="91" t="str">
        <f t="shared" si="0"/>
        <v xml:space="preserve"> </v>
      </c>
      <c r="D65" s="92"/>
      <c r="E65" s="92"/>
      <c r="F65" s="92"/>
      <c r="G65" s="92"/>
      <c r="H65" s="92"/>
      <c r="I65" s="92"/>
      <c r="J65" s="92"/>
      <c r="K65" s="92"/>
      <c r="L65" s="95">
        <f>IF(Sheet1!D$192,SUM(D65:K65),NA())</f>
        <v>0</v>
      </c>
      <c r="M65" s="94">
        <f>IF(Sheet1!D$192,SUM(D134:K134),NA())</f>
        <v>0</v>
      </c>
    </row>
    <row r="66" spans="1:13" ht="13.8" hidden="1" thickBot="1" x14ac:dyDescent="0.3">
      <c r="A66" s="90" t="str">
        <f>IF(Sheet1!D$192,IF((A65&gt;=(Sheet1!D$148+$A$19)-1)," ",A65+1),NA())</f>
        <v xml:space="preserve"> </v>
      </c>
      <c r="B66" s="90" t="str">
        <f>IF(Sheet1!D$192,IF((B65&gt;=(Sheet1!D$148+$B$19)-1)," ",B65+1),NA())</f>
        <v xml:space="preserve"> </v>
      </c>
      <c r="C66" s="91" t="str">
        <f t="shared" si="0"/>
        <v xml:space="preserve"> </v>
      </c>
      <c r="D66" s="92"/>
      <c r="E66" s="92"/>
      <c r="F66" s="92"/>
      <c r="G66" s="92"/>
      <c r="H66" s="92"/>
      <c r="I66" s="92"/>
      <c r="J66" s="92"/>
      <c r="K66" s="92"/>
      <c r="L66" s="95">
        <f>IF(Sheet1!D$192,SUM(D66:K66),NA())</f>
        <v>0</v>
      </c>
      <c r="M66" s="94">
        <f>IF(Sheet1!D$192,SUM(D135:K135),NA())</f>
        <v>0</v>
      </c>
    </row>
    <row r="67" spans="1:13" ht="13.8" hidden="1" thickBot="1" x14ac:dyDescent="0.3">
      <c r="A67" s="90" t="str">
        <f>IF(Sheet1!D$192,IF((A66&gt;=(Sheet1!D$148+$A$19)-1)," ",A66+1),NA())</f>
        <v xml:space="preserve"> </v>
      </c>
      <c r="B67" s="90" t="str">
        <f>IF(Sheet1!D$192,IF((B66&gt;=(Sheet1!D$148+$B$19)-1)," ",B66+1),NA())</f>
        <v xml:space="preserve"> </v>
      </c>
      <c r="C67" s="91" t="str">
        <f t="shared" si="0"/>
        <v xml:space="preserve"> </v>
      </c>
      <c r="D67" s="92"/>
      <c r="E67" s="92"/>
      <c r="F67" s="92"/>
      <c r="G67" s="92"/>
      <c r="H67" s="92"/>
      <c r="I67" s="92"/>
      <c r="J67" s="92"/>
      <c r="K67" s="92"/>
      <c r="L67" s="95">
        <f>IF(Sheet1!D$192,SUM(D67:K67),NA())</f>
        <v>0</v>
      </c>
      <c r="M67" s="94">
        <f>IF(Sheet1!D$192,SUM(D136:K136),NA())</f>
        <v>0</v>
      </c>
    </row>
    <row r="68" spans="1:13" ht="13.8" hidden="1" thickBot="1" x14ac:dyDescent="0.3">
      <c r="A68" s="90" t="str">
        <f>IF(Sheet1!D$192,IF((A67&gt;=(Sheet1!D$148+$A$19)-1)," ",A67+1),NA())</f>
        <v xml:space="preserve"> </v>
      </c>
      <c r="B68" s="90" t="str">
        <f>IF(Sheet1!D$192,IF((B67&gt;=(Sheet1!D$148+$B$19)-1)," ",B67+1),NA())</f>
        <v xml:space="preserve"> </v>
      </c>
      <c r="C68" s="91" t="str">
        <f t="shared" si="0"/>
        <v xml:space="preserve"> </v>
      </c>
      <c r="D68" s="92"/>
      <c r="E68" s="92"/>
      <c r="F68" s="92"/>
      <c r="G68" s="92"/>
      <c r="H68" s="92"/>
      <c r="I68" s="92"/>
      <c r="J68" s="92"/>
      <c r="K68" s="92"/>
      <c r="L68" s="95">
        <f>IF(Sheet1!D$192,SUM(D68:K68),NA())</f>
        <v>0</v>
      </c>
      <c r="M68" s="94">
        <f>IF(Sheet1!D$192,SUM(D137:K137),NA())</f>
        <v>0</v>
      </c>
    </row>
    <row r="69" spans="1:13" ht="13.8" thickTop="1" x14ac:dyDescent="0.25">
      <c r="A69" s="91" t="s">
        <v>234</v>
      </c>
      <c r="B69" s="96"/>
      <c r="C69" s="96"/>
      <c r="D69" s="97">
        <f>IF(Sheet1!D$192,SUM(D19:D68),NA())</f>
        <v>0</v>
      </c>
      <c r="E69" s="97">
        <f>IF(Sheet1!D$192,SUM(E19:E68),NA())</f>
        <v>0</v>
      </c>
      <c r="F69" s="97">
        <f>IF(Sheet1!D$192,SUM(F19:F68),NA())</f>
        <v>0</v>
      </c>
      <c r="G69" s="97">
        <f>IF(Sheet1!D$192,SUM(G19:G68),NA())</f>
        <v>0</v>
      </c>
      <c r="H69" s="97">
        <f>IF(Sheet1!D$192,SUM(H19:H68),NA())</f>
        <v>0</v>
      </c>
      <c r="I69" s="97">
        <f>IF(Sheet1!D$192,SUM(I19:I68),NA())</f>
        <v>0</v>
      </c>
      <c r="J69" s="97">
        <f>IF(Sheet1!D$192,SUM(J19:J68),NA())</f>
        <v>0</v>
      </c>
      <c r="K69" s="97">
        <f>IF(Sheet1!D$192,SUM(K19:K68),NA())</f>
        <v>0</v>
      </c>
      <c r="L69" s="95">
        <f>IF(Sheet1!D$192,SUM(L19:L68),NA())</f>
        <v>0</v>
      </c>
      <c r="M69" s="95">
        <f>IF(Sheet1!D$192,SUM(M19:M68),NA())</f>
        <v>0</v>
      </c>
    </row>
    <row r="70" spans="1:13" ht="13.2" x14ac:dyDescent="0.25">
      <c r="A70" s="91" t="s">
        <v>235</v>
      </c>
      <c r="B70" s="96"/>
      <c r="C70" s="96"/>
      <c r="D70" s="98" t="str">
        <f t="shared" ref="D70:K70" si="1">IF($L$69=0,"",D69/$L$69)</f>
        <v/>
      </c>
      <c r="E70" s="99" t="str">
        <f t="shared" si="1"/>
        <v/>
      </c>
      <c r="F70" s="99" t="str">
        <f t="shared" si="1"/>
        <v/>
      </c>
      <c r="G70" s="99" t="str">
        <f t="shared" si="1"/>
        <v/>
      </c>
      <c r="H70" s="99" t="str">
        <f t="shared" si="1"/>
        <v/>
      </c>
      <c r="I70" s="99" t="str">
        <f t="shared" si="1"/>
        <v/>
      </c>
      <c r="J70" s="99" t="str">
        <f t="shared" si="1"/>
        <v/>
      </c>
      <c r="K70" s="99" t="str">
        <f t="shared" si="1"/>
        <v/>
      </c>
      <c r="L70" s="99"/>
      <c r="M70" s="99"/>
    </row>
    <row r="71" spans="1:13" ht="13.2" x14ac:dyDescent="0.25">
      <c r="A71" s="91" t="s">
        <v>236</v>
      </c>
      <c r="B71" s="96"/>
      <c r="C71" s="96"/>
      <c r="D71" s="98" t="str">
        <f>IF($M$69=0,"",D138/$M$69)</f>
        <v/>
      </c>
      <c r="E71" s="98" t="str">
        <f>IF($M$69=0,"",E138/$M$69)</f>
        <v/>
      </c>
      <c r="F71" s="98" t="str">
        <f t="shared" ref="F71:K71" si="2">IF($M$69=0,"",F138/$M$69)</f>
        <v/>
      </c>
      <c r="G71" s="98" t="str">
        <f t="shared" si="2"/>
        <v/>
      </c>
      <c r="H71" s="98" t="str">
        <f t="shared" si="2"/>
        <v/>
      </c>
      <c r="I71" s="98" t="str">
        <f t="shared" si="2"/>
        <v/>
      </c>
      <c r="J71" s="98" t="str">
        <f t="shared" si="2"/>
        <v/>
      </c>
      <c r="K71" s="98" t="str">
        <f t="shared" si="2"/>
        <v/>
      </c>
      <c r="L71" s="100"/>
      <c r="M71" s="99"/>
    </row>
    <row r="72" spans="1:13" ht="13.2" x14ac:dyDescent="0.25">
      <c r="A72" s="77"/>
      <c r="B72" s="77"/>
      <c r="C72" s="77"/>
      <c r="D72" s="101"/>
      <c r="E72" s="101"/>
      <c r="F72" s="101"/>
      <c r="G72" s="101"/>
      <c r="H72" s="101"/>
      <c r="I72" s="101"/>
      <c r="J72" s="101"/>
      <c r="K72" s="101"/>
      <c r="L72" s="101"/>
      <c r="M72" s="102"/>
    </row>
    <row r="73" spans="1:13" ht="13.2" x14ac:dyDescent="0.25">
      <c r="A73" s="79" t="s">
        <v>237</v>
      </c>
      <c r="B73" s="70"/>
      <c r="C73" s="70"/>
      <c r="D73" s="80"/>
      <c r="E73" s="80"/>
      <c r="F73" s="80"/>
      <c r="G73" s="80"/>
      <c r="H73" s="80"/>
      <c r="I73" s="80"/>
      <c r="J73" s="80"/>
      <c r="K73" s="80"/>
      <c r="L73" s="101"/>
      <c r="M73" s="102"/>
    </row>
    <row r="74" spans="1:13" ht="13.5" customHeight="1" x14ac:dyDescent="0.25">
      <c r="A74" s="81" t="s">
        <v>238</v>
      </c>
      <c r="B74" s="70"/>
      <c r="C74" s="70"/>
      <c r="D74" s="101"/>
      <c r="E74" s="101"/>
      <c r="F74" s="101"/>
      <c r="G74" s="101"/>
      <c r="H74" s="101"/>
      <c r="I74" s="101"/>
      <c r="J74" s="101"/>
      <c r="K74" s="101"/>
      <c r="L74" s="101"/>
      <c r="M74" s="102"/>
    </row>
    <row r="75" spans="1:13" ht="2.25" customHeight="1" x14ac:dyDescent="0.25">
      <c r="A75" s="91"/>
      <c r="B75" s="77"/>
      <c r="C75" s="77"/>
      <c r="D75" s="101"/>
      <c r="E75" s="101"/>
      <c r="F75" s="101"/>
      <c r="G75" s="101"/>
      <c r="H75" s="101"/>
      <c r="I75" s="101"/>
      <c r="J75" s="101"/>
      <c r="K75" s="101"/>
      <c r="L75" s="101"/>
      <c r="M75" s="102"/>
    </row>
    <row r="76" spans="1:13" ht="33" customHeight="1" x14ac:dyDescent="0.25">
      <c r="A76" s="85" t="s">
        <v>229</v>
      </c>
      <c r="B76" s="85" t="s">
        <v>230</v>
      </c>
      <c r="C76" s="77"/>
      <c r="D76" s="103" t="s">
        <v>239</v>
      </c>
      <c r="E76" s="103" t="s">
        <v>239</v>
      </c>
      <c r="F76" s="103" t="s">
        <v>239</v>
      </c>
      <c r="G76" s="103" t="s">
        <v>239</v>
      </c>
      <c r="H76" s="103" t="s">
        <v>239</v>
      </c>
      <c r="I76" s="103" t="s">
        <v>239</v>
      </c>
      <c r="J76" s="103" t="s">
        <v>239</v>
      </c>
      <c r="K76" s="103" t="s">
        <v>239</v>
      </c>
      <c r="L76" s="104" t="s">
        <v>240</v>
      </c>
      <c r="M76" s="102"/>
    </row>
    <row r="77" spans="1:13" ht="13.8" thickBot="1" x14ac:dyDescent="0.3">
      <c r="A77" s="90">
        <f>IF(Sheet1!D$192,IF(Sheet1!D148=50,51,VLOOKUP(Sheet1!D148+1,Sheet1!A148:B197,2)),NA())</f>
        <v>2</v>
      </c>
      <c r="B77" s="90">
        <f>IF(Sheet1!D$192,B19+Sheet1!D148,NA())</f>
        <v>2025</v>
      </c>
      <c r="C77" s="91" t="str">
        <f>IF(AND(OR(A77=" ",A77="#NA"),OR(D77&lt;&gt;0,E77&lt;&gt;0,F77&lt;&gt;0,G77&lt;&gt;0,H77&lt;&gt;0,I77&lt;&gt;0,J77&lt;&gt;0,K77&lt;&gt;0)),"Clear=&gt;"," ")</f>
        <v xml:space="preserve"> </v>
      </c>
      <c r="D77" s="105"/>
      <c r="E77" s="105"/>
      <c r="F77" s="105"/>
      <c r="G77" s="105"/>
      <c r="H77" s="105"/>
      <c r="I77" s="105"/>
      <c r="J77" s="105"/>
      <c r="K77" s="105"/>
      <c r="L77" s="95">
        <f>IF(Sheet1!D$192,SUM(D77:K77),NA())</f>
        <v>0</v>
      </c>
      <c r="M77" s="102"/>
    </row>
    <row r="78" spans="1:13" ht="13.5" customHeight="1" thickTop="1" x14ac:dyDescent="0.25">
      <c r="A78" s="66"/>
      <c r="B78" s="106"/>
      <c r="C78" s="66"/>
      <c r="D78" s="107"/>
      <c r="E78" s="107"/>
      <c r="F78" s="107"/>
      <c r="G78" s="107"/>
      <c r="H78" s="107"/>
      <c r="I78" s="107"/>
      <c r="J78" s="107"/>
      <c r="K78" s="107"/>
      <c r="L78" s="101"/>
      <c r="M78" s="102"/>
    </row>
    <row r="79" spans="1:13" ht="13.2" x14ac:dyDescent="0.25">
      <c r="A79" s="66"/>
      <c r="B79" s="106"/>
      <c r="C79" s="66"/>
      <c r="D79" s="101"/>
      <c r="E79" s="101"/>
      <c r="F79" s="101"/>
      <c r="G79" s="101"/>
      <c r="H79" s="101"/>
      <c r="I79" s="101"/>
      <c r="J79" s="101"/>
      <c r="K79" s="101"/>
      <c r="L79" s="101"/>
      <c r="M79" s="102"/>
    </row>
    <row r="80" spans="1:13" ht="13.2" x14ac:dyDescent="0.25">
      <c r="A80" s="66"/>
      <c r="B80" s="66"/>
      <c r="C80" s="66"/>
      <c r="D80" s="74"/>
      <c r="E80" s="74"/>
      <c r="F80" s="74"/>
      <c r="G80" s="74"/>
      <c r="H80" s="74"/>
      <c r="I80" s="74"/>
      <c r="J80" s="74"/>
      <c r="K80" s="74"/>
      <c r="L80" s="74"/>
      <c r="M80" s="102"/>
    </row>
    <row r="81" spans="1:13" ht="13.2" x14ac:dyDescent="0.25">
      <c r="A81" s="66"/>
      <c r="B81" s="66"/>
      <c r="C81" s="66"/>
      <c r="D81" s="74"/>
      <c r="E81" s="74"/>
      <c r="F81" s="74"/>
      <c r="G81" s="74"/>
      <c r="H81" s="74"/>
      <c r="I81" s="74"/>
      <c r="J81" s="74"/>
      <c r="K81" s="74"/>
      <c r="L81" s="74"/>
      <c r="M81" s="102"/>
    </row>
    <row r="82" spans="1:13" ht="13.2" x14ac:dyDescent="0.25">
      <c r="A82" s="108"/>
      <c r="B82" s="66"/>
      <c r="C82" s="66"/>
      <c r="D82" s="74"/>
      <c r="E82" s="74"/>
      <c r="F82" s="74"/>
      <c r="G82" s="74"/>
      <c r="H82" s="74"/>
      <c r="I82" s="74"/>
      <c r="J82" s="74"/>
      <c r="K82" s="74"/>
      <c r="L82" s="74"/>
      <c r="M82" s="102"/>
    </row>
    <row r="83" spans="1:13" ht="13.2" x14ac:dyDescent="0.25">
      <c r="A83" s="66"/>
      <c r="B83" s="66"/>
      <c r="C83" s="66"/>
      <c r="D83" s="74"/>
      <c r="E83" s="74"/>
      <c r="F83" s="74"/>
      <c r="G83" s="74"/>
      <c r="H83" s="74"/>
      <c r="I83" s="74"/>
      <c r="J83" s="74"/>
      <c r="K83" s="74"/>
      <c r="L83" s="74"/>
      <c r="M83" s="102"/>
    </row>
    <row r="84" spans="1:13" ht="14.25" customHeight="1" x14ac:dyDescent="0.25">
      <c r="A84" s="66"/>
      <c r="B84" s="66"/>
      <c r="C84" s="66"/>
      <c r="D84" s="74"/>
      <c r="E84" s="74"/>
      <c r="F84" s="74"/>
      <c r="G84" s="74"/>
      <c r="H84" s="74"/>
      <c r="I84" s="74"/>
      <c r="J84" s="74"/>
      <c r="K84" s="74"/>
      <c r="L84" s="74"/>
      <c r="M84" s="102"/>
    </row>
    <row r="85" spans="1:13" ht="13.2" hidden="1" x14ac:dyDescent="0.25"/>
    <row r="86" spans="1:13" ht="13.2" hidden="1" x14ac:dyDescent="0.25">
      <c r="A86" s="109" t="s">
        <v>241</v>
      </c>
      <c r="B86" s="110"/>
      <c r="C86" s="110"/>
      <c r="D86" s="110"/>
      <c r="E86" s="110"/>
      <c r="F86" s="110"/>
      <c r="G86" s="110"/>
      <c r="H86" s="110"/>
      <c r="I86" s="110"/>
      <c r="J86" s="110"/>
      <c r="K86" s="111"/>
    </row>
    <row r="87" spans="1:13" ht="13.2" hidden="1" x14ac:dyDescent="0.25"/>
    <row r="88" spans="1:13" ht="13.2" hidden="1" x14ac:dyDescent="0.25">
      <c r="B88" s="112">
        <f>IF(Sheet1!D$192,B19,NA())</f>
        <v>2024</v>
      </c>
      <c r="C88" s="112"/>
      <c r="D88" s="113" t="str">
        <f>IF(Sheet1!$D$192,CHOOSE(Sheet1!D$264,"",IF($C19="Clear=&gt;","",D19)),NA())</f>
        <v/>
      </c>
      <c r="E88" s="114" t="str">
        <f>IF(Sheet1!$D$192,CHOOSE(Sheet1!E$264,"",IF($C19="Clear=&gt;","",E19)),NA())</f>
        <v/>
      </c>
      <c r="F88" s="114" t="str">
        <f>IF(Sheet1!$D$192,CHOOSE(Sheet1!F$264,"",IF($C19="Clear=&gt;","",F19)),NA())</f>
        <v/>
      </c>
      <c r="G88" s="114" t="str">
        <f>IF(Sheet1!$D$192,CHOOSE(Sheet1!G$264,"",IF($C19="Clear=&gt;","",G19)),NA())</f>
        <v/>
      </c>
      <c r="H88" s="114" t="str">
        <f>IF(Sheet1!$D$192,CHOOSE(Sheet1!H$264,"",IF($C19="Clear=&gt;","",H19)),NA())</f>
        <v/>
      </c>
      <c r="I88" s="114" t="str">
        <f>IF(Sheet1!$D$192,CHOOSE(Sheet1!I$264,"",IF($C19="Clear=&gt;","",I19)),NA())</f>
        <v/>
      </c>
      <c r="J88" s="114" t="str">
        <f>IF(Sheet1!$D$192,CHOOSE(Sheet1!J$264,"",IF($C19="Clear=&gt;","",J19)),NA())</f>
        <v/>
      </c>
      <c r="K88" s="115" t="str">
        <f>IF(Sheet1!$D$192,CHOOSE(Sheet1!K$264,"",IF($C19="Clear=&gt;","",K19)),NA())</f>
        <v/>
      </c>
    </row>
    <row r="89" spans="1:13" ht="13.2" hidden="1" x14ac:dyDescent="0.25">
      <c r="B89" s="112" t="str">
        <f>IF(Sheet1!D$192,B20,NA())</f>
        <v xml:space="preserve"> </v>
      </c>
      <c r="C89" s="112"/>
      <c r="D89" s="116" t="str">
        <f>IF(Sheet1!$D$192,CHOOSE(Sheet1!D$264,"",IF($C20="Clear=&gt;","",D20)),NA())</f>
        <v/>
      </c>
      <c r="E89" s="117" t="str">
        <f>IF(Sheet1!$D$192,CHOOSE(Sheet1!E$264,"",IF($C20="Clear=&gt;","",E20)),NA())</f>
        <v/>
      </c>
      <c r="F89" s="117" t="str">
        <f>IF(Sheet1!$D$192,CHOOSE(Sheet1!F$264,"",IF($C20="Clear=&gt;","",F20)),NA())</f>
        <v/>
      </c>
      <c r="G89" s="117" t="str">
        <f>IF(Sheet1!$D$192,CHOOSE(Sheet1!G$264,"",IF($C20="Clear=&gt;","",G20)),NA())</f>
        <v/>
      </c>
      <c r="H89" s="117" t="str">
        <f>IF(Sheet1!$D$192,CHOOSE(Sheet1!H$264,"",IF($C20="Clear=&gt;","",H20)),NA())</f>
        <v/>
      </c>
      <c r="I89" s="117" t="str">
        <f>IF(Sheet1!$D$192,CHOOSE(Sheet1!I$264,"",IF($C20="Clear=&gt;","",I20)),NA())</f>
        <v/>
      </c>
      <c r="J89" s="117" t="str">
        <f>IF(Sheet1!$D$192,CHOOSE(Sheet1!J$264,"",IF($C20="Clear=&gt;","",J20)),NA())</f>
        <v/>
      </c>
      <c r="K89" s="118" t="str">
        <f>IF(Sheet1!$D$192,CHOOSE(Sheet1!K$264,"",IF($C20="Clear=&gt;","",K20)),NA())</f>
        <v/>
      </c>
    </row>
    <row r="90" spans="1:13" ht="13.2" hidden="1" x14ac:dyDescent="0.25">
      <c r="B90" s="112" t="str">
        <f>IF(Sheet1!D$192,B21,NA())</f>
        <v xml:space="preserve"> </v>
      </c>
      <c r="C90" s="112"/>
      <c r="D90" s="116" t="str">
        <f>IF(Sheet1!$D$192,CHOOSE(Sheet1!D$264,"",IF($C21="Clear=&gt;","",D21)),NA())</f>
        <v/>
      </c>
      <c r="E90" s="117" t="str">
        <f>IF(Sheet1!$D$192,CHOOSE(Sheet1!E$264,"",IF($C21="Clear=&gt;","",E21)),NA())</f>
        <v/>
      </c>
      <c r="F90" s="117" t="str">
        <f>IF(Sheet1!$D$192,CHOOSE(Sheet1!F$264,"",IF($C21="Clear=&gt;","",F21)),NA())</f>
        <v/>
      </c>
      <c r="G90" s="117" t="str">
        <f>IF(Sheet1!$D$192,CHOOSE(Sheet1!G$264,"",IF($C21="Clear=&gt;","",G21)),NA())</f>
        <v/>
      </c>
      <c r="H90" s="117" t="str">
        <f>IF(Sheet1!$D$192,CHOOSE(Sheet1!H$264,"",IF($C21="Clear=&gt;","",H21)),NA())</f>
        <v/>
      </c>
      <c r="I90" s="117" t="str">
        <f>IF(Sheet1!$D$192,CHOOSE(Sheet1!I$264,"",IF($C21="Clear=&gt;","",I21)),NA())</f>
        <v/>
      </c>
      <c r="J90" s="117" t="str">
        <f>IF(Sheet1!$D$192,CHOOSE(Sheet1!J$264,"",IF($C21="Clear=&gt;","",J21)),NA())</f>
        <v/>
      </c>
      <c r="K90" s="118" t="str">
        <f>IF(Sheet1!$D$192,CHOOSE(Sheet1!K$264,"",IF($C21="Clear=&gt;","",K21)),NA())</f>
        <v/>
      </c>
    </row>
    <row r="91" spans="1:13" ht="13.2" hidden="1" x14ac:dyDescent="0.25">
      <c r="B91" s="112" t="str">
        <f>IF(Sheet1!D$192,B22,NA())</f>
        <v xml:space="preserve"> </v>
      </c>
      <c r="C91" s="112"/>
      <c r="D91" s="116" t="str">
        <f>IF(Sheet1!$D$192,CHOOSE(Sheet1!D$264,"",IF($C22="Clear=&gt;","",D22)),NA())</f>
        <v/>
      </c>
      <c r="E91" s="117" t="str">
        <f>IF(Sheet1!$D$192,CHOOSE(Sheet1!E$264,"",IF($C22="Clear=&gt;","",E22)),NA())</f>
        <v/>
      </c>
      <c r="F91" s="117" t="str">
        <f>IF(Sheet1!$D$192,CHOOSE(Sheet1!F$264,"",IF($C22="Clear=&gt;","",F22)),NA())</f>
        <v/>
      </c>
      <c r="G91" s="117" t="str">
        <f>IF(Sheet1!$D$192,CHOOSE(Sheet1!G$264,"",IF($C22="Clear=&gt;","",G22)),NA())</f>
        <v/>
      </c>
      <c r="H91" s="117" t="str">
        <f>IF(Sheet1!$D$192,CHOOSE(Sheet1!H$264,"",IF($C22="Clear=&gt;","",H22)),NA())</f>
        <v/>
      </c>
      <c r="I91" s="117" t="str">
        <f>IF(Sheet1!$D$192,CHOOSE(Sheet1!I$264,"",IF($C22="Clear=&gt;","",I22)),NA())</f>
        <v/>
      </c>
      <c r="J91" s="117" t="str">
        <f>IF(Sheet1!$D$192,CHOOSE(Sheet1!J$264,"",IF($C22="Clear=&gt;","",J22)),NA())</f>
        <v/>
      </c>
      <c r="K91" s="118" t="str">
        <f>IF(Sheet1!$D$192,CHOOSE(Sheet1!K$264,"",IF($C22="Clear=&gt;","",K22)),NA())</f>
        <v/>
      </c>
    </row>
    <row r="92" spans="1:13" ht="13.2" hidden="1" x14ac:dyDescent="0.25">
      <c r="B92" s="112" t="str">
        <f>IF(Sheet1!D$192,B23,NA())</f>
        <v xml:space="preserve"> </v>
      </c>
      <c r="C92" s="112"/>
      <c r="D92" s="116" t="str">
        <f>IF(Sheet1!$D$192,CHOOSE(Sheet1!D$264,"",IF($C23="Clear=&gt;","",D23)),NA())</f>
        <v/>
      </c>
      <c r="E92" s="117" t="str">
        <f>IF(Sheet1!$D$192,CHOOSE(Sheet1!E$264,"",IF($C23="Clear=&gt;","",E23)),NA())</f>
        <v/>
      </c>
      <c r="F92" s="117" t="str">
        <f>IF(Sheet1!$D$192,CHOOSE(Sheet1!F$264,"",IF($C23="Clear=&gt;","",F23)),NA())</f>
        <v/>
      </c>
      <c r="G92" s="117" t="str">
        <f>IF(Sheet1!$D$192,CHOOSE(Sheet1!G$264,"",IF($C23="Clear=&gt;","",G23)),NA())</f>
        <v/>
      </c>
      <c r="H92" s="117" t="str">
        <f>IF(Sheet1!$D$192,CHOOSE(Sheet1!H$264,"",IF($C23="Clear=&gt;","",H23)),NA())</f>
        <v/>
      </c>
      <c r="I92" s="117" t="str">
        <f>IF(Sheet1!$D$192,CHOOSE(Sheet1!I$264,"",IF($C23="Clear=&gt;","",I23)),NA())</f>
        <v/>
      </c>
      <c r="J92" s="117" t="str">
        <f>IF(Sheet1!$D$192,CHOOSE(Sheet1!J$264,"",IF($C23="Clear=&gt;","",J23)),NA())</f>
        <v/>
      </c>
      <c r="K92" s="118" t="str">
        <f>IF(Sheet1!$D$192,CHOOSE(Sheet1!K$264,"",IF($C23="Clear=&gt;","",K23)),NA())</f>
        <v/>
      </c>
    </row>
    <row r="93" spans="1:13" ht="13.2" hidden="1" x14ac:dyDescent="0.25">
      <c r="B93" s="112" t="str">
        <f>IF(Sheet1!D$192,B24,NA())</f>
        <v xml:space="preserve"> </v>
      </c>
      <c r="C93" s="112"/>
      <c r="D93" s="116" t="str">
        <f>IF(Sheet1!$D$192,CHOOSE(Sheet1!D$264,"",IF($C24="Clear=&gt;","",D24)),NA())</f>
        <v/>
      </c>
      <c r="E93" s="117" t="str">
        <f>IF(Sheet1!$D$192,CHOOSE(Sheet1!E$264,"",IF($C24="Clear=&gt;","",E24)),NA())</f>
        <v/>
      </c>
      <c r="F93" s="117" t="str">
        <f>IF(Sheet1!$D$192,CHOOSE(Sheet1!F$264,"",IF($C24="Clear=&gt;","",F24)),NA())</f>
        <v/>
      </c>
      <c r="G93" s="117" t="str">
        <f>IF(Sheet1!$D$192,CHOOSE(Sheet1!G$264,"",IF($C24="Clear=&gt;","",G24)),NA())</f>
        <v/>
      </c>
      <c r="H93" s="117" t="str">
        <f>IF(Sheet1!$D$192,CHOOSE(Sheet1!H$264,"",IF($C24="Clear=&gt;","",H24)),NA())</f>
        <v/>
      </c>
      <c r="I93" s="117" t="str">
        <f>IF(Sheet1!$D$192,CHOOSE(Sheet1!I$264,"",IF($C24="Clear=&gt;","",I24)),NA())</f>
        <v/>
      </c>
      <c r="J93" s="117" t="str">
        <f>IF(Sheet1!$D$192,CHOOSE(Sheet1!J$264,"",IF($C24="Clear=&gt;","",J24)),NA())</f>
        <v/>
      </c>
      <c r="K93" s="118" t="str">
        <f>IF(Sheet1!$D$192,CHOOSE(Sheet1!K$264,"",IF($C24="Clear=&gt;","",K24)),NA())</f>
        <v/>
      </c>
    </row>
    <row r="94" spans="1:13" ht="13.2" hidden="1" x14ac:dyDescent="0.25">
      <c r="B94" s="112" t="str">
        <f>IF(Sheet1!D$192,B25,NA())</f>
        <v xml:space="preserve"> </v>
      </c>
      <c r="C94" s="112"/>
      <c r="D94" s="116" t="str">
        <f>IF(Sheet1!$D$192,CHOOSE(Sheet1!D$264,"",IF($C25="Clear=&gt;","",D25)),NA())</f>
        <v/>
      </c>
      <c r="E94" s="117" t="str">
        <f>IF(Sheet1!$D$192,CHOOSE(Sheet1!E$264,"",IF($C25="Clear=&gt;","",E25)),NA())</f>
        <v/>
      </c>
      <c r="F94" s="117" t="str">
        <f>IF(Sheet1!$D$192,CHOOSE(Sheet1!F$264,"",IF($C25="Clear=&gt;","",F25)),NA())</f>
        <v/>
      </c>
      <c r="G94" s="117" t="str">
        <f>IF(Sheet1!$D$192,CHOOSE(Sheet1!G$264,"",IF($C25="Clear=&gt;","",G25)),NA())</f>
        <v/>
      </c>
      <c r="H94" s="117" t="str">
        <f>IF(Sheet1!$D$192,CHOOSE(Sheet1!H$264,"",IF($C25="Clear=&gt;","",H25)),NA())</f>
        <v/>
      </c>
      <c r="I94" s="117" t="str">
        <f>IF(Sheet1!$D$192,CHOOSE(Sheet1!I$264,"",IF($C25="Clear=&gt;","",I25)),NA())</f>
        <v/>
      </c>
      <c r="J94" s="117" t="str">
        <f>IF(Sheet1!$D$192,CHOOSE(Sheet1!J$264,"",IF($C25="Clear=&gt;","",J25)),NA())</f>
        <v/>
      </c>
      <c r="K94" s="118" t="str">
        <f>IF(Sheet1!$D$192,CHOOSE(Sheet1!K$264,"",IF($C25="Clear=&gt;","",K25)),NA())</f>
        <v/>
      </c>
    </row>
    <row r="95" spans="1:13" ht="13.2" hidden="1" x14ac:dyDescent="0.25">
      <c r="B95" s="112" t="str">
        <f>IF(Sheet1!D$192,B26,NA())</f>
        <v xml:space="preserve"> </v>
      </c>
      <c r="C95" s="112"/>
      <c r="D95" s="116" t="str">
        <f>IF(Sheet1!$D$192,CHOOSE(Sheet1!D$264,"",IF($C26="Clear=&gt;","",D26)),NA())</f>
        <v/>
      </c>
      <c r="E95" s="117" t="str">
        <f>IF(Sheet1!$D$192,CHOOSE(Sheet1!E$264,"",IF($C26="Clear=&gt;","",E26)),NA())</f>
        <v/>
      </c>
      <c r="F95" s="117" t="str">
        <f>IF(Sheet1!$D$192,CHOOSE(Sheet1!F$264,"",IF($C26="Clear=&gt;","",F26)),NA())</f>
        <v/>
      </c>
      <c r="G95" s="117" t="str">
        <f>IF(Sheet1!$D$192,CHOOSE(Sheet1!G$264,"",IF($C26="Clear=&gt;","",G26)),NA())</f>
        <v/>
      </c>
      <c r="H95" s="117" t="str">
        <f>IF(Sheet1!$D$192,CHOOSE(Sheet1!H$264,"",IF($C26="Clear=&gt;","",H26)),NA())</f>
        <v/>
      </c>
      <c r="I95" s="117" t="str">
        <f>IF(Sheet1!$D$192,CHOOSE(Sheet1!I$264,"",IF($C26="Clear=&gt;","",I26)),NA())</f>
        <v/>
      </c>
      <c r="J95" s="117" t="str">
        <f>IF(Sheet1!$D$192,CHOOSE(Sheet1!J$264,"",IF($C26="Clear=&gt;","",J26)),NA())</f>
        <v/>
      </c>
      <c r="K95" s="118" t="str">
        <f>IF(Sheet1!$D$192,CHOOSE(Sheet1!K$264,"",IF($C26="Clear=&gt;","",K26)),NA())</f>
        <v/>
      </c>
    </row>
    <row r="96" spans="1:13" ht="13.2" hidden="1" x14ac:dyDescent="0.25">
      <c r="B96" s="112" t="str">
        <f>IF(Sheet1!D$192,B27,NA())</f>
        <v xml:space="preserve"> </v>
      </c>
      <c r="C96" s="112"/>
      <c r="D96" s="116" t="str">
        <f>IF(Sheet1!$D$192,CHOOSE(Sheet1!D$264,"",IF($C27="Clear=&gt;","",D27)),NA())</f>
        <v/>
      </c>
      <c r="E96" s="117" t="str">
        <f>IF(Sheet1!$D$192,CHOOSE(Sheet1!E$264,"",IF($C27="Clear=&gt;","",E27)),NA())</f>
        <v/>
      </c>
      <c r="F96" s="117" t="str">
        <f>IF(Sheet1!$D$192,CHOOSE(Sheet1!F$264,"",IF($C27="Clear=&gt;","",F27)),NA())</f>
        <v/>
      </c>
      <c r="G96" s="117" t="str">
        <f>IF(Sheet1!$D$192,CHOOSE(Sheet1!G$264,"",IF($C27="Clear=&gt;","",G27)),NA())</f>
        <v/>
      </c>
      <c r="H96" s="117" t="str">
        <f>IF(Sheet1!$D$192,CHOOSE(Sheet1!H$264,"",IF($C27="Clear=&gt;","",H27)),NA())</f>
        <v/>
      </c>
      <c r="I96" s="117" t="str">
        <f>IF(Sheet1!$D$192,CHOOSE(Sheet1!I$264,"",IF($C27="Clear=&gt;","",I27)),NA())</f>
        <v/>
      </c>
      <c r="J96" s="117" t="str">
        <f>IF(Sheet1!$D$192,CHOOSE(Sheet1!J$264,"",IF($C27="Clear=&gt;","",J27)),NA())</f>
        <v/>
      </c>
      <c r="K96" s="118" t="str">
        <f>IF(Sheet1!$D$192,CHOOSE(Sheet1!K$264,"",IF($C27="Clear=&gt;","",K27)),NA())</f>
        <v/>
      </c>
    </row>
    <row r="97" spans="2:11" ht="13.2" hidden="1" x14ac:dyDescent="0.25">
      <c r="B97" s="112" t="str">
        <f>IF(Sheet1!D$192,B28,NA())</f>
        <v xml:space="preserve"> </v>
      </c>
      <c r="C97" s="112"/>
      <c r="D97" s="116" t="str">
        <f>IF(Sheet1!$D$192,CHOOSE(Sheet1!D$264,"",IF($C28="Clear=&gt;","",D28)),NA())</f>
        <v/>
      </c>
      <c r="E97" s="117" t="str">
        <f>IF(Sheet1!$D$192,CHOOSE(Sheet1!E$264,"",IF($C28="Clear=&gt;","",E28)),NA())</f>
        <v/>
      </c>
      <c r="F97" s="117" t="str">
        <f>IF(Sheet1!$D$192,CHOOSE(Sheet1!F$264,"",IF($C28="Clear=&gt;","",F28)),NA())</f>
        <v/>
      </c>
      <c r="G97" s="117" t="str">
        <f>IF(Sheet1!$D$192,CHOOSE(Sheet1!G$264,"",IF($C28="Clear=&gt;","",G28)),NA())</f>
        <v/>
      </c>
      <c r="H97" s="117" t="str">
        <f>IF(Sheet1!$D$192,CHOOSE(Sheet1!H$264,"",IF($C28="Clear=&gt;","",H28)),NA())</f>
        <v/>
      </c>
      <c r="I97" s="117" t="str">
        <f>IF(Sheet1!$D$192,CHOOSE(Sheet1!I$264,"",IF($C28="Clear=&gt;","",I28)),NA())</f>
        <v/>
      </c>
      <c r="J97" s="117" t="str">
        <f>IF(Sheet1!$D$192,CHOOSE(Sheet1!J$264,"",IF($C28="Clear=&gt;","",J28)),NA())</f>
        <v/>
      </c>
      <c r="K97" s="118" t="str">
        <f>IF(Sheet1!$D$192,CHOOSE(Sheet1!K$264,"",IF($C28="Clear=&gt;","",K28)),NA())</f>
        <v/>
      </c>
    </row>
    <row r="98" spans="2:11" ht="13.2" hidden="1" x14ac:dyDescent="0.25">
      <c r="B98" s="112" t="str">
        <f>IF(Sheet1!D$192,B29,NA())</f>
        <v xml:space="preserve"> </v>
      </c>
      <c r="C98" s="112"/>
      <c r="D98" s="116" t="str">
        <f>IF(Sheet1!$D$192,CHOOSE(Sheet1!D$264,"",IF($C29="Clear=&gt;","",D29)),NA())</f>
        <v/>
      </c>
      <c r="E98" s="117" t="str">
        <f>IF(Sheet1!$D$192,CHOOSE(Sheet1!E$264,"",IF($C29="Clear=&gt;","",E29)),NA())</f>
        <v/>
      </c>
      <c r="F98" s="117" t="str">
        <f>IF(Sheet1!$D$192,CHOOSE(Sheet1!F$264,"",IF($C29="Clear=&gt;","",F29)),NA())</f>
        <v/>
      </c>
      <c r="G98" s="117" t="str">
        <f>IF(Sheet1!$D$192,CHOOSE(Sheet1!G$264,"",IF($C29="Clear=&gt;","",G29)),NA())</f>
        <v/>
      </c>
      <c r="H98" s="117" t="str">
        <f>IF(Sheet1!$D$192,CHOOSE(Sheet1!H$264,"",IF($C29="Clear=&gt;","",H29)),NA())</f>
        <v/>
      </c>
      <c r="I98" s="117" t="str">
        <f>IF(Sheet1!$D$192,CHOOSE(Sheet1!I$264,"",IF($C29="Clear=&gt;","",I29)),NA())</f>
        <v/>
      </c>
      <c r="J98" s="117" t="str">
        <f>IF(Sheet1!$D$192,CHOOSE(Sheet1!J$264,"",IF($C29="Clear=&gt;","",J29)),NA())</f>
        <v/>
      </c>
      <c r="K98" s="118" t="str">
        <f>IF(Sheet1!$D$192,CHOOSE(Sheet1!K$264,"",IF($C29="Clear=&gt;","",K29)),NA())</f>
        <v/>
      </c>
    </row>
    <row r="99" spans="2:11" ht="13.2" hidden="1" x14ac:dyDescent="0.25">
      <c r="B99" s="112" t="str">
        <f>IF(Sheet1!D$192,B30,NA())</f>
        <v xml:space="preserve"> </v>
      </c>
      <c r="C99" s="112"/>
      <c r="D99" s="116" t="str">
        <f>IF(Sheet1!$D$192,CHOOSE(Sheet1!D$264,"",IF($C30="Clear=&gt;","",D30)),NA())</f>
        <v/>
      </c>
      <c r="E99" s="117" t="str">
        <f>IF(Sheet1!$D$192,CHOOSE(Sheet1!E$264,"",IF($C30="Clear=&gt;","",E30)),NA())</f>
        <v/>
      </c>
      <c r="F99" s="117" t="str">
        <f>IF(Sheet1!$D$192,CHOOSE(Sheet1!F$264,"",IF($C30="Clear=&gt;","",F30)),NA())</f>
        <v/>
      </c>
      <c r="G99" s="117" t="str">
        <f>IF(Sheet1!$D$192,CHOOSE(Sheet1!G$264,"",IF($C30="Clear=&gt;","",G30)),NA())</f>
        <v/>
      </c>
      <c r="H99" s="117" t="str">
        <f>IF(Sheet1!$D$192,CHOOSE(Sheet1!H$264,"",IF($C30="Clear=&gt;","",H30)),NA())</f>
        <v/>
      </c>
      <c r="I99" s="117" t="str">
        <f>IF(Sheet1!$D$192,CHOOSE(Sheet1!I$264,"",IF($C30="Clear=&gt;","",I30)),NA())</f>
        <v/>
      </c>
      <c r="J99" s="117" t="str">
        <f>IF(Sheet1!$D$192,CHOOSE(Sheet1!J$264,"",IF($C30="Clear=&gt;","",J30)),NA())</f>
        <v/>
      </c>
      <c r="K99" s="118" t="str">
        <f>IF(Sheet1!$D$192,CHOOSE(Sheet1!K$264,"",IF($C30="Clear=&gt;","",K30)),NA())</f>
        <v/>
      </c>
    </row>
    <row r="100" spans="2:11" ht="13.2" hidden="1" x14ac:dyDescent="0.25">
      <c r="B100" s="112" t="str">
        <f>IF(Sheet1!D$192,B31,NA())</f>
        <v xml:space="preserve"> </v>
      </c>
      <c r="C100" s="112"/>
      <c r="D100" s="116" t="str">
        <f>IF(Sheet1!$D$192,CHOOSE(Sheet1!D$264,"",IF($C31="Clear=&gt;","",D31)),NA())</f>
        <v/>
      </c>
      <c r="E100" s="117" t="str">
        <f>IF(Sheet1!$D$192,CHOOSE(Sheet1!E$264,"",IF($C31="Clear=&gt;","",E31)),NA())</f>
        <v/>
      </c>
      <c r="F100" s="117" t="str">
        <f>IF(Sheet1!$D$192,CHOOSE(Sheet1!F$264,"",IF($C31="Clear=&gt;","",F31)),NA())</f>
        <v/>
      </c>
      <c r="G100" s="117" t="str">
        <f>IF(Sheet1!$D$192,CHOOSE(Sheet1!G$264,"",IF($C31="Clear=&gt;","",G31)),NA())</f>
        <v/>
      </c>
      <c r="H100" s="117" t="str">
        <f>IF(Sheet1!$D$192,CHOOSE(Sheet1!H$264,"",IF($C31="Clear=&gt;","",H31)),NA())</f>
        <v/>
      </c>
      <c r="I100" s="117" t="str">
        <f>IF(Sheet1!$D$192,CHOOSE(Sheet1!I$264,"",IF($C31="Clear=&gt;","",I31)),NA())</f>
        <v/>
      </c>
      <c r="J100" s="117" t="str">
        <f>IF(Sheet1!$D$192,CHOOSE(Sheet1!J$264,"",IF($C31="Clear=&gt;","",J31)),NA())</f>
        <v/>
      </c>
      <c r="K100" s="118" t="str">
        <f>IF(Sheet1!$D$192,CHOOSE(Sheet1!K$264,"",IF($C31="Clear=&gt;","",K31)),NA())</f>
        <v/>
      </c>
    </row>
    <row r="101" spans="2:11" ht="13.2" hidden="1" x14ac:dyDescent="0.25">
      <c r="B101" s="112" t="str">
        <f>IF(Sheet1!D$192,B32,NA())</f>
        <v xml:space="preserve"> </v>
      </c>
      <c r="C101" s="112"/>
      <c r="D101" s="116" t="str">
        <f>IF(Sheet1!$D$192,CHOOSE(Sheet1!D$264,"",IF($C32="Clear=&gt;","",D32)),NA())</f>
        <v/>
      </c>
      <c r="E101" s="117" t="str">
        <f>IF(Sheet1!$D$192,CHOOSE(Sheet1!E$264,"",IF($C32="Clear=&gt;","",E32)),NA())</f>
        <v/>
      </c>
      <c r="F101" s="117" t="str">
        <f>IF(Sheet1!$D$192,CHOOSE(Sheet1!F$264,"",IF($C32="Clear=&gt;","",F32)),NA())</f>
        <v/>
      </c>
      <c r="G101" s="117" t="str">
        <f>IF(Sheet1!$D$192,CHOOSE(Sheet1!G$264,"",IF($C32="Clear=&gt;","",G32)),NA())</f>
        <v/>
      </c>
      <c r="H101" s="117" t="str">
        <f>IF(Sheet1!$D$192,CHOOSE(Sheet1!H$264,"",IF($C32="Clear=&gt;","",H32)),NA())</f>
        <v/>
      </c>
      <c r="I101" s="117" t="str">
        <f>IF(Sheet1!$D$192,CHOOSE(Sheet1!I$264,"",IF($C32="Clear=&gt;","",I32)),NA())</f>
        <v/>
      </c>
      <c r="J101" s="117" t="str">
        <f>IF(Sheet1!$D$192,CHOOSE(Sheet1!J$264,"",IF($C32="Clear=&gt;","",J32)),NA())</f>
        <v/>
      </c>
      <c r="K101" s="118" t="str">
        <f>IF(Sheet1!$D$192,CHOOSE(Sheet1!K$264,"",IF($C32="Clear=&gt;","",K32)),NA())</f>
        <v/>
      </c>
    </row>
    <row r="102" spans="2:11" ht="13.2" hidden="1" x14ac:dyDescent="0.25">
      <c r="B102" s="112" t="str">
        <f>IF(Sheet1!D$192,B33,NA())</f>
        <v xml:space="preserve"> </v>
      </c>
      <c r="C102" s="112"/>
      <c r="D102" s="116" t="str">
        <f>IF(Sheet1!$D$192,CHOOSE(Sheet1!D$264,"",IF($C33="Clear=&gt;","",D33)),NA())</f>
        <v/>
      </c>
      <c r="E102" s="117" t="str">
        <f>IF(Sheet1!$D$192,CHOOSE(Sheet1!E$264,"",IF($C33="Clear=&gt;","",E33)),NA())</f>
        <v/>
      </c>
      <c r="F102" s="117" t="str">
        <f>IF(Sheet1!$D$192,CHOOSE(Sheet1!F$264,"",IF($C33="Clear=&gt;","",F33)),NA())</f>
        <v/>
      </c>
      <c r="G102" s="117" t="str">
        <f>IF(Sheet1!$D$192,CHOOSE(Sheet1!G$264,"",IF($C33="Clear=&gt;","",G33)),NA())</f>
        <v/>
      </c>
      <c r="H102" s="117" t="str">
        <f>IF(Sheet1!$D$192,CHOOSE(Sheet1!H$264,"",IF($C33="Clear=&gt;","",H33)),NA())</f>
        <v/>
      </c>
      <c r="I102" s="117" t="str">
        <f>IF(Sheet1!$D$192,CHOOSE(Sheet1!I$264,"",IF($C33="Clear=&gt;","",I33)),NA())</f>
        <v/>
      </c>
      <c r="J102" s="117" t="str">
        <f>IF(Sheet1!$D$192,CHOOSE(Sheet1!J$264,"",IF($C33="Clear=&gt;","",J33)),NA())</f>
        <v/>
      </c>
      <c r="K102" s="118" t="str">
        <f>IF(Sheet1!$D$192,CHOOSE(Sheet1!K$264,"",IF($C33="Clear=&gt;","",K33)),NA())</f>
        <v/>
      </c>
    </row>
    <row r="103" spans="2:11" ht="13.2" hidden="1" x14ac:dyDescent="0.25">
      <c r="B103" s="112" t="str">
        <f>IF(Sheet1!D$192,B34,NA())</f>
        <v xml:space="preserve"> </v>
      </c>
      <c r="C103" s="112"/>
      <c r="D103" s="116" t="str">
        <f>IF(Sheet1!$D$192,CHOOSE(Sheet1!D$264,"",IF($C34="Clear=&gt;","",D34)),NA())</f>
        <v/>
      </c>
      <c r="E103" s="117" t="str">
        <f>IF(Sheet1!$D$192,CHOOSE(Sheet1!E$264,"",IF($C34="Clear=&gt;","",E34)),NA())</f>
        <v/>
      </c>
      <c r="F103" s="117" t="str">
        <f>IF(Sheet1!$D$192,CHOOSE(Sheet1!F$264,"",IF($C34="Clear=&gt;","",F34)),NA())</f>
        <v/>
      </c>
      <c r="G103" s="117" t="str">
        <f>IF(Sheet1!$D$192,CHOOSE(Sheet1!G$264,"",IF($C34="Clear=&gt;","",G34)),NA())</f>
        <v/>
      </c>
      <c r="H103" s="117" t="str">
        <f>IF(Sheet1!$D$192,CHOOSE(Sheet1!H$264,"",IF($C34="Clear=&gt;","",H34)),NA())</f>
        <v/>
      </c>
      <c r="I103" s="117" t="str">
        <f>IF(Sheet1!$D$192,CHOOSE(Sheet1!I$264,"",IF($C34="Clear=&gt;","",I34)),NA())</f>
        <v/>
      </c>
      <c r="J103" s="117" t="str">
        <f>IF(Sheet1!$D$192,CHOOSE(Sheet1!J$264,"",IF($C34="Clear=&gt;","",J34)),NA())</f>
        <v/>
      </c>
      <c r="K103" s="118" t="str">
        <f>IF(Sheet1!$D$192,CHOOSE(Sheet1!K$264,"",IF($C34="Clear=&gt;","",K34)),NA())</f>
        <v/>
      </c>
    </row>
    <row r="104" spans="2:11" ht="13.2" hidden="1" x14ac:dyDescent="0.25">
      <c r="B104" s="112" t="str">
        <f>IF(Sheet1!D$192,B35,NA())</f>
        <v xml:space="preserve"> </v>
      </c>
      <c r="C104" s="112"/>
      <c r="D104" s="116" t="str">
        <f>IF(Sheet1!$D$192,CHOOSE(Sheet1!D$264,"",IF($C35="Clear=&gt;","",D35)),NA())</f>
        <v/>
      </c>
      <c r="E104" s="117" t="str">
        <f>IF(Sheet1!$D$192,CHOOSE(Sheet1!E$264,"",IF($C35="Clear=&gt;","",E35)),NA())</f>
        <v/>
      </c>
      <c r="F104" s="117" t="str">
        <f>IF(Sheet1!$D$192,CHOOSE(Sheet1!F$264,"",IF($C35="Clear=&gt;","",F35)),NA())</f>
        <v/>
      </c>
      <c r="G104" s="117" t="str">
        <f>IF(Sheet1!$D$192,CHOOSE(Sheet1!G$264,"",IF($C35="Clear=&gt;","",G35)),NA())</f>
        <v/>
      </c>
      <c r="H104" s="117" t="str">
        <f>IF(Sheet1!$D$192,CHOOSE(Sheet1!H$264,"",IF($C35="Clear=&gt;","",H35)),NA())</f>
        <v/>
      </c>
      <c r="I104" s="117" t="str">
        <f>IF(Sheet1!$D$192,CHOOSE(Sheet1!I$264,"",IF($C35="Clear=&gt;","",I35)),NA())</f>
        <v/>
      </c>
      <c r="J104" s="117" t="str">
        <f>IF(Sheet1!$D$192,CHOOSE(Sheet1!J$264,"",IF($C35="Clear=&gt;","",J35)),NA())</f>
        <v/>
      </c>
      <c r="K104" s="118" t="str">
        <f>IF(Sheet1!$D$192,CHOOSE(Sheet1!K$264,"",IF($C35="Clear=&gt;","",K35)),NA())</f>
        <v/>
      </c>
    </row>
    <row r="105" spans="2:11" ht="13.2" hidden="1" x14ac:dyDescent="0.25">
      <c r="B105" s="112" t="str">
        <f>IF(Sheet1!D$192,B36,NA())</f>
        <v xml:space="preserve"> </v>
      </c>
      <c r="C105" s="112"/>
      <c r="D105" s="116" t="str">
        <f>IF(Sheet1!$D$192,CHOOSE(Sheet1!D$264,"",IF($C36="Clear=&gt;","",D36)),NA())</f>
        <v/>
      </c>
      <c r="E105" s="117" t="str">
        <f>IF(Sheet1!$D$192,CHOOSE(Sheet1!E$264,"",IF($C36="Clear=&gt;","",E36)),NA())</f>
        <v/>
      </c>
      <c r="F105" s="117" t="str">
        <f>IF(Sheet1!$D$192,CHOOSE(Sheet1!F$264,"",IF($C36="Clear=&gt;","",F36)),NA())</f>
        <v/>
      </c>
      <c r="G105" s="117" t="str">
        <f>IF(Sheet1!$D$192,CHOOSE(Sheet1!G$264,"",IF($C36="Clear=&gt;","",G36)),NA())</f>
        <v/>
      </c>
      <c r="H105" s="117" t="str">
        <f>IF(Sheet1!$D$192,CHOOSE(Sheet1!H$264,"",IF($C36="Clear=&gt;","",H36)),NA())</f>
        <v/>
      </c>
      <c r="I105" s="117" t="str">
        <f>IF(Sheet1!$D$192,CHOOSE(Sheet1!I$264,"",IF($C36="Clear=&gt;","",I36)),NA())</f>
        <v/>
      </c>
      <c r="J105" s="117" t="str">
        <f>IF(Sheet1!$D$192,CHOOSE(Sheet1!J$264,"",IF($C36="Clear=&gt;","",J36)),NA())</f>
        <v/>
      </c>
      <c r="K105" s="118" t="str">
        <f>IF(Sheet1!$D$192,CHOOSE(Sheet1!K$264,"",IF($C36="Clear=&gt;","",K36)),NA())</f>
        <v/>
      </c>
    </row>
    <row r="106" spans="2:11" ht="13.2" hidden="1" x14ac:dyDescent="0.25">
      <c r="B106" s="112" t="str">
        <f>IF(Sheet1!D$192,B37,NA())</f>
        <v xml:space="preserve"> </v>
      </c>
      <c r="C106" s="112"/>
      <c r="D106" s="116" t="str">
        <f>IF(Sheet1!$D$192,CHOOSE(Sheet1!D$264,"",IF($C37="Clear=&gt;","",D37)),NA())</f>
        <v/>
      </c>
      <c r="E106" s="117" t="str">
        <f>IF(Sheet1!$D$192,CHOOSE(Sheet1!E$264,"",IF($C37="Clear=&gt;","",E37)),NA())</f>
        <v/>
      </c>
      <c r="F106" s="117" t="str">
        <f>IF(Sheet1!$D$192,CHOOSE(Sheet1!F$264,"",IF($C37="Clear=&gt;","",F37)),NA())</f>
        <v/>
      </c>
      <c r="G106" s="117" t="str">
        <f>IF(Sheet1!$D$192,CHOOSE(Sheet1!G$264,"",IF($C37="Clear=&gt;","",G37)),NA())</f>
        <v/>
      </c>
      <c r="H106" s="117" t="str">
        <f>IF(Sheet1!$D$192,CHOOSE(Sheet1!H$264,"",IF($C37="Clear=&gt;","",H37)),NA())</f>
        <v/>
      </c>
      <c r="I106" s="117" t="str">
        <f>IF(Sheet1!$D$192,CHOOSE(Sheet1!I$264,"",IF($C37="Clear=&gt;","",I37)),NA())</f>
        <v/>
      </c>
      <c r="J106" s="117" t="str">
        <f>IF(Sheet1!$D$192,CHOOSE(Sheet1!J$264,"",IF($C37="Clear=&gt;","",J37)),NA())</f>
        <v/>
      </c>
      <c r="K106" s="118" t="str">
        <f>IF(Sheet1!$D$192,CHOOSE(Sheet1!K$264,"",IF($C37="Clear=&gt;","",K37)),NA())</f>
        <v/>
      </c>
    </row>
    <row r="107" spans="2:11" ht="13.2" hidden="1" x14ac:dyDescent="0.25">
      <c r="B107" s="112" t="str">
        <f>IF(Sheet1!D$192,B38,NA())</f>
        <v xml:space="preserve"> </v>
      </c>
      <c r="C107" s="112"/>
      <c r="D107" s="116" t="str">
        <f>IF(Sheet1!$D$192,CHOOSE(Sheet1!D$264,"",IF($C38="Clear=&gt;","",D38)),NA())</f>
        <v/>
      </c>
      <c r="E107" s="117" t="str">
        <f>IF(Sheet1!$D$192,CHOOSE(Sheet1!E$264,"",IF($C38="Clear=&gt;","",E38)),NA())</f>
        <v/>
      </c>
      <c r="F107" s="117" t="str">
        <f>IF(Sheet1!$D$192,CHOOSE(Sheet1!F$264,"",IF($C38="Clear=&gt;","",F38)),NA())</f>
        <v/>
      </c>
      <c r="G107" s="117" t="str">
        <f>IF(Sheet1!$D$192,CHOOSE(Sheet1!G$264,"",IF($C38="Clear=&gt;","",G38)),NA())</f>
        <v/>
      </c>
      <c r="H107" s="117" t="str">
        <f>IF(Sheet1!$D$192,CHOOSE(Sheet1!H$264,"",IF($C38="Clear=&gt;","",H38)),NA())</f>
        <v/>
      </c>
      <c r="I107" s="117" t="str">
        <f>IF(Sheet1!$D$192,CHOOSE(Sheet1!I$264,"",IF($C38="Clear=&gt;","",I38)),NA())</f>
        <v/>
      </c>
      <c r="J107" s="117" t="str">
        <f>IF(Sheet1!$D$192,CHOOSE(Sheet1!J$264,"",IF($C38="Clear=&gt;","",J38)),NA())</f>
        <v/>
      </c>
      <c r="K107" s="118" t="str">
        <f>IF(Sheet1!$D$192,CHOOSE(Sheet1!K$264,"",IF($C38="Clear=&gt;","",K38)),NA())</f>
        <v/>
      </c>
    </row>
    <row r="108" spans="2:11" ht="13.2" hidden="1" x14ac:dyDescent="0.25">
      <c r="B108" s="112" t="str">
        <f>IF(Sheet1!D$192,B39,NA())</f>
        <v xml:space="preserve"> </v>
      </c>
      <c r="C108" s="112"/>
      <c r="D108" s="116" t="str">
        <f>IF(Sheet1!$D$192,CHOOSE(Sheet1!D$264,"",IF($C39="Clear=&gt;","",D39)),NA())</f>
        <v/>
      </c>
      <c r="E108" s="117" t="str">
        <f>IF(Sheet1!$D$192,CHOOSE(Sheet1!E$264,"",IF($C39="Clear=&gt;","",E39)),NA())</f>
        <v/>
      </c>
      <c r="F108" s="117" t="str">
        <f>IF(Sheet1!$D$192,CHOOSE(Sheet1!F$264,"",IF($C39="Clear=&gt;","",F39)),NA())</f>
        <v/>
      </c>
      <c r="G108" s="117" t="str">
        <f>IF(Sheet1!$D$192,CHOOSE(Sheet1!G$264,"",IF($C39="Clear=&gt;","",G39)),NA())</f>
        <v/>
      </c>
      <c r="H108" s="117" t="str">
        <f>IF(Sheet1!$D$192,CHOOSE(Sheet1!H$264,"",IF($C39="Clear=&gt;","",H39)),NA())</f>
        <v/>
      </c>
      <c r="I108" s="117" t="str">
        <f>IF(Sheet1!$D$192,CHOOSE(Sheet1!I$264,"",IF($C39="Clear=&gt;","",I39)),NA())</f>
        <v/>
      </c>
      <c r="J108" s="117" t="str">
        <f>IF(Sheet1!$D$192,CHOOSE(Sheet1!J$264,"",IF($C39="Clear=&gt;","",J39)),NA())</f>
        <v/>
      </c>
      <c r="K108" s="118" t="str">
        <f>IF(Sheet1!$D$192,CHOOSE(Sheet1!K$264,"",IF($C39="Clear=&gt;","",K39)),NA())</f>
        <v/>
      </c>
    </row>
    <row r="109" spans="2:11" ht="13.2" hidden="1" x14ac:dyDescent="0.25">
      <c r="B109" s="112" t="str">
        <f>IF(Sheet1!D$192,B40,NA())</f>
        <v xml:space="preserve"> </v>
      </c>
      <c r="C109" s="112"/>
      <c r="D109" s="116" t="str">
        <f>IF(Sheet1!$D$192,CHOOSE(Sheet1!D$264,"",IF($C40="Clear=&gt;","",D40)),NA())</f>
        <v/>
      </c>
      <c r="E109" s="117" t="str">
        <f>IF(Sheet1!$D$192,CHOOSE(Sheet1!E$264,"",IF($C40="Clear=&gt;","",E40)),NA())</f>
        <v/>
      </c>
      <c r="F109" s="117" t="str">
        <f>IF(Sheet1!$D$192,CHOOSE(Sheet1!F$264,"",IF($C40="Clear=&gt;","",F40)),NA())</f>
        <v/>
      </c>
      <c r="G109" s="117" t="str">
        <f>IF(Sheet1!$D$192,CHOOSE(Sheet1!G$264,"",IF($C40="Clear=&gt;","",G40)),NA())</f>
        <v/>
      </c>
      <c r="H109" s="117" t="str">
        <f>IF(Sheet1!$D$192,CHOOSE(Sheet1!H$264,"",IF($C40="Clear=&gt;","",H40)),NA())</f>
        <v/>
      </c>
      <c r="I109" s="117" t="str">
        <f>IF(Sheet1!$D$192,CHOOSE(Sheet1!I$264,"",IF($C40="Clear=&gt;","",I40)),NA())</f>
        <v/>
      </c>
      <c r="J109" s="117" t="str">
        <f>IF(Sheet1!$D$192,CHOOSE(Sheet1!J$264,"",IF($C40="Clear=&gt;","",J40)),NA())</f>
        <v/>
      </c>
      <c r="K109" s="118" t="str">
        <f>IF(Sheet1!$D$192,CHOOSE(Sheet1!K$264,"",IF($C40="Clear=&gt;","",K40)),NA())</f>
        <v/>
      </c>
    </row>
    <row r="110" spans="2:11" ht="13.2" hidden="1" x14ac:dyDescent="0.25">
      <c r="B110" s="112" t="str">
        <f>IF(Sheet1!D$192,B41,NA())</f>
        <v xml:space="preserve"> </v>
      </c>
      <c r="C110" s="112"/>
      <c r="D110" s="116" t="str">
        <f>IF(Sheet1!$D$192,CHOOSE(Sheet1!D$264,"",IF($C41="Clear=&gt;","",D41)),NA())</f>
        <v/>
      </c>
      <c r="E110" s="117" t="str">
        <f>IF(Sheet1!$D$192,CHOOSE(Sheet1!E$264,"",IF($C41="Clear=&gt;","",E41)),NA())</f>
        <v/>
      </c>
      <c r="F110" s="117" t="str">
        <f>IF(Sheet1!$D$192,CHOOSE(Sheet1!F$264,"",IF($C41="Clear=&gt;","",F41)),NA())</f>
        <v/>
      </c>
      <c r="G110" s="117" t="str">
        <f>IF(Sheet1!$D$192,CHOOSE(Sheet1!G$264,"",IF($C41="Clear=&gt;","",G41)),NA())</f>
        <v/>
      </c>
      <c r="H110" s="117" t="str">
        <f>IF(Sheet1!$D$192,CHOOSE(Sheet1!H$264,"",IF($C41="Clear=&gt;","",H41)),NA())</f>
        <v/>
      </c>
      <c r="I110" s="117" t="str">
        <f>IF(Sheet1!$D$192,CHOOSE(Sheet1!I$264,"",IF($C41="Clear=&gt;","",I41)),NA())</f>
        <v/>
      </c>
      <c r="J110" s="117" t="str">
        <f>IF(Sheet1!$D$192,CHOOSE(Sheet1!J$264,"",IF($C41="Clear=&gt;","",J41)),NA())</f>
        <v/>
      </c>
      <c r="K110" s="118" t="str">
        <f>IF(Sheet1!$D$192,CHOOSE(Sheet1!K$264,"",IF($C41="Clear=&gt;","",K41)),NA())</f>
        <v/>
      </c>
    </row>
    <row r="111" spans="2:11" ht="13.2" hidden="1" x14ac:dyDescent="0.25">
      <c r="B111" s="112" t="str">
        <f>IF(Sheet1!D$192,B42,NA())</f>
        <v xml:space="preserve"> </v>
      </c>
      <c r="C111" s="112"/>
      <c r="D111" s="116" t="str">
        <f>IF(Sheet1!$D$192,CHOOSE(Sheet1!D$264,"",IF($C42="Clear=&gt;","",D42)),NA())</f>
        <v/>
      </c>
      <c r="E111" s="117" t="str">
        <f>IF(Sheet1!$D$192,CHOOSE(Sheet1!E$264,"",IF($C42="Clear=&gt;","",E42)),NA())</f>
        <v/>
      </c>
      <c r="F111" s="117" t="str">
        <f>IF(Sheet1!$D$192,CHOOSE(Sheet1!F$264,"",IF($C42="Clear=&gt;","",F42)),NA())</f>
        <v/>
      </c>
      <c r="G111" s="117" t="str">
        <f>IF(Sheet1!$D$192,CHOOSE(Sheet1!G$264,"",IF($C42="Clear=&gt;","",G42)),NA())</f>
        <v/>
      </c>
      <c r="H111" s="117" t="str">
        <f>IF(Sheet1!$D$192,CHOOSE(Sheet1!H$264,"",IF($C42="Clear=&gt;","",H42)),NA())</f>
        <v/>
      </c>
      <c r="I111" s="117" t="str">
        <f>IF(Sheet1!$D$192,CHOOSE(Sheet1!I$264,"",IF($C42="Clear=&gt;","",I42)),NA())</f>
        <v/>
      </c>
      <c r="J111" s="117" t="str">
        <f>IF(Sheet1!$D$192,CHOOSE(Sheet1!J$264,"",IF($C42="Clear=&gt;","",J42)),NA())</f>
        <v/>
      </c>
      <c r="K111" s="118" t="str">
        <f>IF(Sheet1!$D$192,CHOOSE(Sheet1!K$264,"",IF($C42="Clear=&gt;","",K42)),NA())</f>
        <v/>
      </c>
    </row>
    <row r="112" spans="2:11" ht="13.2" hidden="1" x14ac:dyDescent="0.25">
      <c r="B112" s="112" t="str">
        <f>IF(Sheet1!D$192,B43,NA())</f>
        <v xml:space="preserve"> </v>
      </c>
      <c r="C112" s="112"/>
      <c r="D112" s="116" t="str">
        <f>IF(Sheet1!$D$192,CHOOSE(Sheet1!D$264,"",IF($C43="Clear=&gt;","",D43)),NA())</f>
        <v/>
      </c>
      <c r="E112" s="117" t="str">
        <f>IF(Sheet1!$D$192,CHOOSE(Sheet1!E$264,"",IF($C43="Clear=&gt;","",E43)),NA())</f>
        <v/>
      </c>
      <c r="F112" s="117" t="str">
        <f>IF(Sheet1!$D$192,CHOOSE(Sheet1!F$264,"",IF($C43="Clear=&gt;","",F43)),NA())</f>
        <v/>
      </c>
      <c r="G112" s="117" t="str">
        <f>IF(Sheet1!$D$192,CHOOSE(Sheet1!G$264,"",IF($C43="Clear=&gt;","",G43)),NA())</f>
        <v/>
      </c>
      <c r="H112" s="117" t="str">
        <f>IF(Sheet1!$D$192,CHOOSE(Sheet1!H$264,"",IF($C43="Clear=&gt;","",H43)),NA())</f>
        <v/>
      </c>
      <c r="I112" s="117" t="str">
        <f>IF(Sheet1!$D$192,CHOOSE(Sheet1!I$264,"",IF($C43="Clear=&gt;","",I43)),NA())</f>
        <v/>
      </c>
      <c r="J112" s="117" t="str">
        <f>IF(Sheet1!$D$192,CHOOSE(Sheet1!J$264,"",IF($C43="Clear=&gt;","",J43)),NA())</f>
        <v/>
      </c>
      <c r="K112" s="118" t="str">
        <f>IF(Sheet1!$D$192,CHOOSE(Sheet1!K$264,"",IF($C43="Clear=&gt;","",K43)),NA())</f>
        <v/>
      </c>
    </row>
    <row r="113" spans="2:11" ht="13.2" hidden="1" x14ac:dyDescent="0.25">
      <c r="B113" s="112" t="str">
        <f>IF(Sheet1!D$192,B44,NA())</f>
        <v xml:space="preserve"> </v>
      </c>
      <c r="C113" s="112"/>
      <c r="D113" s="116" t="str">
        <f>IF(Sheet1!$D$192,CHOOSE(Sheet1!D$264,"",IF($C44="Clear=&gt;","",D44)),NA())</f>
        <v/>
      </c>
      <c r="E113" s="117" t="str">
        <f>IF(Sheet1!$D$192,CHOOSE(Sheet1!E$264,"",IF($C44="Clear=&gt;","",E44)),NA())</f>
        <v/>
      </c>
      <c r="F113" s="117" t="str">
        <f>IF(Sheet1!$D$192,CHOOSE(Sheet1!F$264,"",IF($C44="Clear=&gt;","",F44)),NA())</f>
        <v/>
      </c>
      <c r="G113" s="117" t="str">
        <f>IF(Sheet1!$D$192,CHOOSE(Sheet1!G$264,"",IF($C44="Clear=&gt;","",G44)),NA())</f>
        <v/>
      </c>
      <c r="H113" s="117" t="str">
        <f>IF(Sheet1!$D$192,CHOOSE(Sheet1!H$264,"",IF($C44="Clear=&gt;","",H44)),NA())</f>
        <v/>
      </c>
      <c r="I113" s="117" t="str">
        <f>IF(Sheet1!$D$192,CHOOSE(Sheet1!I$264,"",IF($C44="Clear=&gt;","",I44)),NA())</f>
        <v/>
      </c>
      <c r="J113" s="117" t="str">
        <f>IF(Sheet1!$D$192,CHOOSE(Sheet1!J$264,"",IF($C44="Clear=&gt;","",J44)),NA())</f>
        <v/>
      </c>
      <c r="K113" s="118" t="str">
        <f>IF(Sheet1!$D$192,CHOOSE(Sheet1!K$264,"",IF($C44="Clear=&gt;","",K44)),NA())</f>
        <v/>
      </c>
    </row>
    <row r="114" spans="2:11" ht="13.2" hidden="1" x14ac:dyDescent="0.25">
      <c r="B114" s="112" t="str">
        <f>IF(Sheet1!D$192,B45,NA())</f>
        <v xml:space="preserve"> </v>
      </c>
      <c r="C114" s="112"/>
      <c r="D114" s="116" t="str">
        <f>IF(Sheet1!$D$192,CHOOSE(Sheet1!D$264,"",IF($C45="Clear=&gt;","",D45)),NA())</f>
        <v/>
      </c>
      <c r="E114" s="117" t="str">
        <f>IF(Sheet1!$D$192,CHOOSE(Sheet1!E$264,"",IF($C45="Clear=&gt;","",E45)),NA())</f>
        <v/>
      </c>
      <c r="F114" s="117" t="str">
        <f>IF(Sheet1!$D$192,CHOOSE(Sheet1!F$264,"",IF($C45="Clear=&gt;","",F45)),NA())</f>
        <v/>
      </c>
      <c r="G114" s="117" t="str">
        <f>IF(Sheet1!$D$192,CHOOSE(Sheet1!G$264,"",IF($C45="Clear=&gt;","",G45)),NA())</f>
        <v/>
      </c>
      <c r="H114" s="117" t="str">
        <f>IF(Sheet1!$D$192,CHOOSE(Sheet1!H$264,"",IF($C45="Clear=&gt;","",H45)),NA())</f>
        <v/>
      </c>
      <c r="I114" s="117" t="str">
        <f>IF(Sheet1!$D$192,CHOOSE(Sheet1!I$264,"",IF($C45="Clear=&gt;","",I45)),NA())</f>
        <v/>
      </c>
      <c r="J114" s="117" t="str">
        <f>IF(Sheet1!$D$192,CHOOSE(Sheet1!J$264,"",IF($C45="Clear=&gt;","",J45)),NA())</f>
        <v/>
      </c>
      <c r="K114" s="118" t="str">
        <f>IF(Sheet1!$D$192,CHOOSE(Sheet1!K$264,"",IF($C45="Clear=&gt;","",K45)),NA())</f>
        <v/>
      </c>
    </row>
    <row r="115" spans="2:11" ht="13.2" hidden="1" x14ac:dyDescent="0.25">
      <c r="B115" s="112" t="str">
        <f>IF(Sheet1!D$192,B46,NA())</f>
        <v xml:space="preserve"> </v>
      </c>
      <c r="C115" s="112"/>
      <c r="D115" s="116" t="str">
        <f>IF(Sheet1!$D$192,CHOOSE(Sheet1!D$264,"",IF($C46="Clear=&gt;","",D46)),NA())</f>
        <v/>
      </c>
      <c r="E115" s="117" t="str">
        <f>IF(Sheet1!$D$192,CHOOSE(Sheet1!E$264,"",IF($C46="Clear=&gt;","",E46)),NA())</f>
        <v/>
      </c>
      <c r="F115" s="117" t="str">
        <f>IF(Sheet1!$D$192,CHOOSE(Sheet1!F$264,"",IF($C46="Clear=&gt;","",F46)),NA())</f>
        <v/>
      </c>
      <c r="G115" s="117" t="str">
        <f>IF(Sheet1!$D$192,CHOOSE(Sheet1!G$264,"",IF($C46="Clear=&gt;","",G46)),NA())</f>
        <v/>
      </c>
      <c r="H115" s="117" t="str">
        <f>IF(Sheet1!$D$192,CHOOSE(Sheet1!H$264,"",IF($C46="Clear=&gt;","",H46)),NA())</f>
        <v/>
      </c>
      <c r="I115" s="117" t="str">
        <f>IF(Sheet1!$D$192,CHOOSE(Sheet1!I$264,"",IF($C46="Clear=&gt;","",I46)),NA())</f>
        <v/>
      </c>
      <c r="J115" s="117" t="str">
        <f>IF(Sheet1!$D$192,CHOOSE(Sheet1!J$264,"",IF($C46="Clear=&gt;","",J46)),NA())</f>
        <v/>
      </c>
      <c r="K115" s="118" t="str">
        <f>IF(Sheet1!$D$192,CHOOSE(Sheet1!K$264,"",IF($C46="Clear=&gt;","",K46)),NA())</f>
        <v/>
      </c>
    </row>
    <row r="116" spans="2:11" ht="13.2" hidden="1" x14ac:dyDescent="0.25">
      <c r="B116" s="112" t="str">
        <f>IF(Sheet1!D$192,B47,NA())</f>
        <v xml:space="preserve"> </v>
      </c>
      <c r="C116" s="112"/>
      <c r="D116" s="116" t="str">
        <f>IF(Sheet1!$D$192,CHOOSE(Sheet1!D$264,"",IF($C47="Clear=&gt;","",D47)),NA())</f>
        <v/>
      </c>
      <c r="E116" s="117" t="str">
        <f>IF(Sheet1!$D$192,CHOOSE(Sheet1!E$264,"",IF($C47="Clear=&gt;","",E47)),NA())</f>
        <v/>
      </c>
      <c r="F116" s="117" t="str">
        <f>IF(Sheet1!$D$192,CHOOSE(Sheet1!F$264,"",IF($C47="Clear=&gt;","",F47)),NA())</f>
        <v/>
      </c>
      <c r="G116" s="117" t="str">
        <f>IF(Sheet1!$D$192,CHOOSE(Sheet1!G$264,"",IF($C47="Clear=&gt;","",G47)),NA())</f>
        <v/>
      </c>
      <c r="H116" s="117" t="str">
        <f>IF(Sheet1!$D$192,CHOOSE(Sheet1!H$264,"",IF($C47="Clear=&gt;","",H47)),NA())</f>
        <v/>
      </c>
      <c r="I116" s="117" t="str">
        <f>IF(Sheet1!$D$192,CHOOSE(Sheet1!I$264,"",IF($C47="Clear=&gt;","",I47)),NA())</f>
        <v/>
      </c>
      <c r="J116" s="117" t="str">
        <f>IF(Sheet1!$D$192,CHOOSE(Sheet1!J$264,"",IF($C47="Clear=&gt;","",J47)),NA())</f>
        <v/>
      </c>
      <c r="K116" s="118" t="str">
        <f>IF(Sheet1!$D$192,CHOOSE(Sheet1!K$264,"",IF($C47="Clear=&gt;","",K47)),NA())</f>
        <v/>
      </c>
    </row>
    <row r="117" spans="2:11" ht="13.2" hidden="1" x14ac:dyDescent="0.25">
      <c r="B117" s="112" t="str">
        <f>IF(Sheet1!D$192,B48,NA())</f>
        <v xml:space="preserve"> </v>
      </c>
      <c r="C117" s="112"/>
      <c r="D117" s="116" t="str">
        <f>IF(Sheet1!$D$192,CHOOSE(Sheet1!D$264,"",IF($C48="Clear=&gt;","",D48)),NA())</f>
        <v/>
      </c>
      <c r="E117" s="117" t="str">
        <f>IF(Sheet1!$D$192,CHOOSE(Sheet1!E$264,"",IF($C48="Clear=&gt;","",E48)),NA())</f>
        <v/>
      </c>
      <c r="F117" s="117" t="str">
        <f>IF(Sheet1!$D$192,CHOOSE(Sheet1!F$264,"",IF($C48="Clear=&gt;","",F48)),NA())</f>
        <v/>
      </c>
      <c r="G117" s="117" t="str">
        <f>IF(Sheet1!$D$192,CHOOSE(Sheet1!G$264,"",IF($C48="Clear=&gt;","",G48)),NA())</f>
        <v/>
      </c>
      <c r="H117" s="117" t="str">
        <f>IF(Sheet1!$D$192,CHOOSE(Sheet1!H$264,"",IF($C48="Clear=&gt;","",H48)),NA())</f>
        <v/>
      </c>
      <c r="I117" s="117" t="str">
        <f>IF(Sheet1!$D$192,CHOOSE(Sheet1!I$264,"",IF($C48="Clear=&gt;","",I48)),NA())</f>
        <v/>
      </c>
      <c r="J117" s="117" t="str">
        <f>IF(Sheet1!$D$192,CHOOSE(Sheet1!J$264,"",IF($C48="Clear=&gt;","",J48)),NA())</f>
        <v/>
      </c>
      <c r="K117" s="118" t="str">
        <f>IF(Sheet1!$D$192,CHOOSE(Sheet1!K$264,"",IF($C48="Clear=&gt;","",K48)),NA())</f>
        <v/>
      </c>
    </row>
    <row r="118" spans="2:11" ht="13.2" hidden="1" x14ac:dyDescent="0.25">
      <c r="B118" s="112" t="str">
        <f>IF(Sheet1!D$192,B49,NA())</f>
        <v xml:space="preserve"> </v>
      </c>
      <c r="C118" s="112"/>
      <c r="D118" s="116" t="str">
        <f>IF(Sheet1!$D$192,CHOOSE(Sheet1!D$264,"",IF($C49="Clear=&gt;","",D49)),NA())</f>
        <v/>
      </c>
      <c r="E118" s="117" t="str">
        <f>IF(Sheet1!$D$192,CHOOSE(Sheet1!E$264,"",IF($C49="Clear=&gt;","",E49)),NA())</f>
        <v/>
      </c>
      <c r="F118" s="117" t="str">
        <f>IF(Sheet1!$D$192,CHOOSE(Sheet1!F$264,"",IF($C49="Clear=&gt;","",F49)),NA())</f>
        <v/>
      </c>
      <c r="G118" s="117" t="str">
        <f>IF(Sheet1!$D$192,CHOOSE(Sheet1!G$264,"",IF($C49="Clear=&gt;","",G49)),NA())</f>
        <v/>
      </c>
      <c r="H118" s="117" t="str">
        <f>IF(Sheet1!$D$192,CHOOSE(Sheet1!H$264,"",IF($C49="Clear=&gt;","",H49)),NA())</f>
        <v/>
      </c>
      <c r="I118" s="117" t="str">
        <f>IF(Sheet1!$D$192,CHOOSE(Sheet1!I$264,"",IF($C49="Clear=&gt;","",I49)),NA())</f>
        <v/>
      </c>
      <c r="J118" s="117" t="str">
        <f>IF(Sheet1!$D$192,CHOOSE(Sheet1!J$264,"",IF($C49="Clear=&gt;","",J49)),NA())</f>
        <v/>
      </c>
      <c r="K118" s="118" t="str">
        <f>IF(Sheet1!$D$192,CHOOSE(Sheet1!K$264,"",IF($C49="Clear=&gt;","",K49)),NA())</f>
        <v/>
      </c>
    </row>
    <row r="119" spans="2:11" ht="13.8" hidden="1" thickBot="1" x14ac:dyDescent="0.3">
      <c r="B119" s="112" t="str">
        <f>IF(Sheet1!D$192,B50,NA())</f>
        <v xml:space="preserve"> </v>
      </c>
      <c r="C119" s="112"/>
      <c r="D119" s="119" t="str">
        <f>IF(Sheet1!$D$192,CHOOSE(Sheet1!D$264,"",IF($C50="Clear=&gt;","",D50)),NA())</f>
        <v/>
      </c>
      <c r="E119" s="120" t="str">
        <f>IF(Sheet1!$D$192,CHOOSE(Sheet1!E$264,"",IF($C50="Clear=&gt;","",E50)),NA())</f>
        <v/>
      </c>
      <c r="F119" s="120" t="str">
        <f>IF(Sheet1!$D$192,CHOOSE(Sheet1!F$264,"",IF($C50="Clear=&gt;","",F50)),NA())</f>
        <v/>
      </c>
      <c r="G119" s="120" t="str">
        <f>IF(Sheet1!$D$192,CHOOSE(Sheet1!G$264,"",IF($C50="Clear=&gt;","",G50)),NA())</f>
        <v/>
      </c>
      <c r="H119" s="120" t="str">
        <f>IF(Sheet1!$D$192,CHOOSE(Sheet1!H$264,"",IF($C50="Clear=&gt;","",H50)),NA())</f>
        <v/>
      </c>
      <c r="I119" s="120" t="str">
        <f>IF(Sheet1!$D$192,CHOOSE(Sheet1!I$264,"",IF($C50="Clear=&gt;","",I50)),NA())</f>
        <v/>
      </c>
      <c r="J119" s="120" t="str">
        <f>IF(Sheet1!$D$192,CHOOSE(Sheet1!J$264,"",IF($C50="Clear=&gt;","",J50)),NA())</f>
        <v/>
      </c>
      <c r="K119" s="121" t="str">
        <f>IF(Sheet1!$D$192,CHOOSE(Sheet1!K$264,"",IF($C50="Clear=&gt;","",K50)),NA())</f>
        <v/>
      </c>
    </row>
    <row r="120" spans="2:11" ht="13.2" hidden="1" x14ac:dyDescent="0.25">
      <c r="B120" s="112" t="str">
        <f>IF(Sheet1!D$192,B51,NA())</f>
        <v xml:space="preserve"> </v>
      </c>
      <c r="C120" s="112"/>
      <c r="D120" s="116" t="str">
        <f>IF(Sheet1!$D$192,CHOOSE(Sheet1!D$264,"",IF($C51="Clear=&gt;","",D51)),NA())</f>
        <v/>
      </c>
      <c r="E120" s="117" t="str">
        <f>IF(Sheet1!$D$192,CHOOSE(Sheet1!E$264,"",IF($C51="Clear=&gt;","",E51)),NA())</f>
        <v/>
      </c>
      <c r="F120" s="117" t="str">
        <f>IF(Sheet1!$D$192,CHOOSE(Sheet1!F$264,"",IF($C51="Clear=&gt;","",F51)),NA())</f>
        <v/>
      </c>
      <c r="G120" s="117" t="str">
        <f>IF(Sheet1!$D$192,CHOOSE(Sheet1!G$264,"",IF($C51="Clear=&gt;","",G51)),NA())</f>
        <v/>
      </c>
      <c r="H120" s="117" t="str">
        <f>IF(Sheet1!$D$192,CHOOSE(Sheet1!H$264,"",IF($C51="Clear=&gt;","",H51)),NA())</f>
        <v/>
      </c>
      <c r="I120" s="117" t="str">
        <f>IF(Sheet1!$D$192,CHOOSE(Sheet1!I$264,"",IF($C51="Clear=&gt;","",I51)),NA())</f>
        <v/>
      </c>
      <c r="J120" s="117" t="str">
        <f>IF(Sheet1!$D$192,CHOOSE(Sheet1!J$264,"",IF($C51="Clear=&gt;","",J51)),NA())</f>
        <v/>
      </c>
      <c r="K120" s="118" t="str">
        <f>IF(Sheet1!$D$192,CHOOSE(Sheet1!K$264,"",IF($C51="Clear=&gt;","",K51)),NA())</f>
        <v/>
      </c>
    </row>
    <row r="121" spans="2:11" ht="13.2" hidden="1" x14ac:dyDescent="0.25">
      <c r="B121" s="112" t="str">
        <f>IF(Sheet1!D$192,B52,NA())</f>
        <v xml:space="preserve"> </v>
      </c>
      <c r="C121" s="112"/>
      <c r="D121" s="116" t="str">
        <f>IF(Sheet1!$D$192,CHOOSE(Sheet1!D$264,"",IF($C52="Clear=&gt;","",D52)),NA())</f>
        <v/>
      </c>
      <c r="E121" s="117" t="str">
        <f>IF(Sheet1!$D$192,CHOOSE(Sheet1!E$264,"",IF($C52="Clear=&gt;","",E52)),NA())</f>
        <v/>
      </c>
      <c r="F121" s="117" t="str">
        <f>IF(Sheet1!$D$192,CHOOSE(Sheet1!F$264,"",IF($C52="Clear=&gt;","",F52)),NA())</f>
        <v/>
      </c>
      <c r="G121" s="117" t="str">
        <f>IF(Sheet1!$D$192,CHOOSE(Sheet1!G$264,"",IF($C52="Clear=&gt;","",G52)),NA())</f>
        <v/>
      </c>
      <c r="H121" s="117" t="str">
        <f>IF(Sheet1!$D$192,CHOOSE(Sheet1!H$264,"",IF($C52="Clear=&gt;","",H52)),NA())</f>
        <v/>
      </c>
      <c r="I121" s="117" t="str">
        <f>IF(Sheet1!$D$192,CHOOSE(Sheet1!I$264,"",IF($C52="Clear=&gt;","",I52)),NA())</f>
        <v/>
      </c>
      <c r="J121" s="117" t="str">
        <f>IF(Sheet1!$D$192,CHOOSE(Sheet1!J$264,"",IF($C52="Clear=&gt;","",J52)),NA())</f>
        <v/>
      </c>
      <c r="K121" s="118" t="str">
        <f>IF(Sheet1!$D$192,CHOOSE(Sheet1!K$264,"",IF($C52="Clear=&gt;","",K52)),NA())</f>
        <v/>
      </c>
    </row>
    <row r="122" spans="2:11" ht="13.2" hidden="1" x14ac:dyDescent="0.25">
      <c r="B122" s="112" t="str">
        <f>IF(Sheet1!D$192,B53,NA())</f>
        <v xml:space="preserve"> </v>
      </c>
      <c r="C122" s="112"/>
      <c r="D122" s="116" t="str">
        <f>IF(Sheet1!$D$192,CHOOSE(Sheet1!D$264,"",IF($C53="Clear=&gt;","",D53)),NA())</f>
        <v/>
      </c>
      <c r="E122" s="117" t="str">
        <f>IF(Sheet1!$D$192,CHOOSE(Sheet1!E$264,"",IF($C53="Clear=&gt;","",E53)),NA())</f>
        <v/>
      </c>
      <c r="F122" s="117" t="str">
        <f>IF(Sheet1!$D$192,CHOOSE(Sheet1!F$264,"",IF($C53="Clear=&gt;","",F53)),NA())</f>
        <v/>
      </c>
      <c r="G122" s="117" t="str">
        <f>IF(Sheet1!$D$192,CHOOSE(Sheet1!G$264,"",IF($C53="Clear=&gt;","",G53)),NA())</f>
        <v/>
      </c>
      <c r="H122" s="117" t="str">
        <f>IF(Sheet1!$D$192,CHOOSE(Sheet1!H$264,"",IF($C53="Clear=&gt;","",H53)),NA())</f>
        <v/>
      </c>
      <c r="I122" s="117" t="str">
        <f>IF(Sheet1!$D$192,CHOOSE(Sheet1!I$264,"",IF($C53="Clear=&gt;","",I53)),NA())</f>
        <v/>
      </c>
      <c r="J122" s="117" t="str">
        <f>IF(Sheet1!$D$192,CHOOSE(Sheet1!J$264,"",IF($C53="Clear=&gt;","",J53)),NA())</f>
        <v/>
      </c>
      <c r="K122" s="118" t="str">
        <f>IF(Sheet1!$D$192,CHOOSE(Sheet1!K$264,"",IF($C53="Clear=&gt;","",K53)),NA())</f>
        <v/>
      </c>
    </row>
    <row r="123" spans="2:11" ht="13.2" hidden="1" x14ac:dyDescent="0.25">
      <c r="B123" s="112" t="str">
        <f>IF(Sheet1!D$192,B54,NA())</f>
        <v xml:space="preserve"> </v>
      </c>
      <c r="C123" s="112"/>
      <c r="D123" s="116" t="str">
        <f>IF(Sheet1!$D$192,CHOOSE(Sheet1!D$264,"",IF($C54="Clear=&gt;","",D54)),NA())</f>
        <v/>
      </c>
      <c r="E123" s="117" t="str">
        <f>IF(Sheet1!$D$192,CHOOSE(Sheet1!E$264,"",IF($C54="Clear=&gt;","",E54)),NA())</f>
        <v/>
      </c>
      <c r="F123" s="117" t="str">
        <f>IF(Sheet1!$D$192,CHOOSE(Sheet1!F$264,"",IF($C54="Clear=&gt;","",F54)),NA())</f>
        <v/>
      </c>
      <c r="G123" s="117" t="str">
        <f>IF(Sheet1!$D$192,CHOOSE(Sheet1!G$264,"",IF($C54="Clear=&gt;","",G54)),NA())</f>
        <v/>
      </c>
      <c r="H123" s="117" t="str">
        <f>IF(Sheet1!$D$192,CHOOSE(Sheet1!H$264,"",IF($C54="Clear=&gt;","",H54)),NA())</f>
        <v/>
      </c>
      <c r="I123" s="117" t="str">
        <f>IF(Sheet1!$D$192,CHOOSE(Sheet1!I$264,"",IF($C54="Clear=&gt;","",I54)),NA())</f>
        <v/>
      </c>
      <c r="J123" s="117" t="str">
        <f>IF(Sheet1!$D$192,CHOOSE(Sheet1!J$264,"",IF($C54="Clear=&gt;","",J54)),NA())</f>
        <v/>
      </c>
      <c r="K123" s="118" t="str">
        <f>IF(Sheet1!$D$192,CHOOSE(Sheet1!K$264,"",IF($C54="Clear=&gt;","",K54)),NA())</f>
        <v/>
      </c>
    </row>
    <row r="124" spans="2:11" ht="13.2" hidden="1" x14ac:dyDescent="0.25">
      <c r="B124" s="112" t="str">
        <f>IF(Sheet1!D$192,B55,NA())</f>
        <v xml:space="preserve"> </v>
      </c>
      <c r="C124" s="112"/>
      <c r="D124" s="116" t="str">
        <f>IF(Sheet1!$D$192,CHOOSE(Sheet1!D$264,"",IF($C55="Clear=&gt;","",D55)),NA())</f>
        <v/>
      </c>
      <c r="E124" s="117" t="str">
        <f>IF(Sheet1!$D$192,CHOOSE(Sheet1!E$264,"",IF($C55="Clear=&gt;","",E55)),NA())</f>
        <v/>
      </c>
      <c r="F124" s="117" t="str">
        <f>IF(Sheet1!$D$192,CHOOSE(Sheet1!F$264,"",IF($C55="Clear=&gt;","",F55)),NA())</f>
        <v/>
      </c>
      <c r="G124" s="117" t="str">
        <f>IF(Sheet1!$D$192,CHOOSE(Sheet1!G$264,"",IF($C55="Clear=&gt;","",G55)),NA())</f>
        <v/>
      </c>
      <c r="H124" s="117" t="str">
        <f>IF(Sheet1!$D$192,CHOOSE(Sheet1!H$264,"",IF($C55="Clear=&gt;","",H55)),NA())</f>
        <v/>
      </c>
      <c r="I124" s="117" t="str">
        <f>IF(Sheet1!$D$192,CHOOSE(Sheet1!I$264,"",IF($C55="Clear=&gt;","",I55)),NA())</f>
        <v/>
      </c>
      <c r="J124" s="117" t="str">
        <f>IF(Sheet1!$D$192,CHOOSE(Sheet1!J$264,"",IF($C55="Clear=&gt;","",J55)),NA())</f>
        <v/>
      </c>
      <c r="K124" s="118" t="str">
        <f>IF(Sheet1!$D$192,CHOOSE(Sheet1!K$264,"",IF($C55="Clear=&gt;","",K55)),NA())</f>
        <v/>
      </c>
    </row>
    <row r="125" spans="2:11" ht="13.2" hidden="1" x14ac:dyDescent="0.25">
      <c r="B125" s="112" t="str">
        <f>IF(Sheet1!D$192,B56,NA())</f>
        <v xml:space="preserve"> </v>
      </c>
      <c r="C125" s="112"/>
      <c r="D125" s="116" t="str">
        <f>IF(Sheet1!$D$192,CHOOSE(Sheet1!D$264,"",IF($C56="Clear=&gt;","",D56)),NA())</f>
        <v/>
      </c>
      <c r="E125" s="117" t="str">
        <f>IF(Sheet1!$D$192,CHOOSE(Sheet1!E$264,"",IF($C56="Clear=&gt;","",E56)),NA())</f>
        <v/>
      </c>
      <c r="F125" s="117" t="str">
        <f>IF(Sheet1!$D$192,CHOOSE(Sheet1!F$264,"",IF($C56="Clear=&gt;","",F56)),NA())</f>
        <v/>
      </c>
      <c r="G125" s="117" t="str">
        <f>IF(Sheet1!$D$192,CHOOSE(Sheet1!G$264,"",IF($C56="Clear=&gt;","",G56)),NA())</f>
        <v/>
      </c>
      <c r="H125" s="117" t="str">
        <f>IF(Sheet1!$D$192,CHOOSE(Sheet1!H$264,"",IF($C56="Clear=&gt;","",H56)),NA())</f>
        <v/>
      </c>
      <c r="I125" s="117" t="str">
        <f>IF(Sheet1!$D$192,CHOOSE(Sheet1!I$264,"",IF($C56="Clear=&gt;","",I56)),NA())</f>
        <v/>
      </c>
      <c r="J125" s="117" t="str">
        <f>IF(Sheet1!$D$192,CHOOSE(Sheet1!J$264,"",IF($C56="Clear=&gt;","",J56)),NA())</f>
        <v/>
      </c>
      <c r="K125" s="118" t="str">
        <f>IF(Sheet1!$D$192,CHOOSE(Sheet1!K$264,"",IF($C56="Clear=&gt;","",K56)),NA())</f>
        <v/>
      </c>
    </row>
    <row r="126" spans="2:11" ht="13.2" hidden="1" x14ac:dyDescent="0.25">
      <c r="B126" s="112" t="str">
        <f>IF(Sheet1!D$192,B57,NA())</f>
        <v xml:space="preserve"> </v>
      </c>
      <c r="C126" s="112"/>
      <c r="D126" s="116" t="str">
        <f>IF(Sheet1!$D$192,CHOOSE(Sheet1!D$264,"",IF($C57="Clear=&gt;","",D57)),NA())</f>
        <v/>
      </c>
      <c r="E126" s="117" t="str">
        <f>IF(Sheet1!$D$192,CHOOSE(Sheet1!E$264,"",IF($C57="Clear=&gt;","",E57)),NA())</f>
        <v/>
      </c>
      <c r="F126" s="117" t="str">
        <f>IF(Sheet1!$D$192,CHOOSE(Sheet1!F$264,"",IF($C57="Clear=&gt;","",F57)),NA())</f>
        <v/>
      </c>
      <c r="G126" s="117" t="str">
        <f>IF(Sheet1!$D$192,CHOOSE(Sheet1!G$264,"",IF($C57="Clear=&gt;","",G57)),NA())</f>
        <v/>
      </c>
      <c r="H126" s="117" t="str">
        <f>IF(Sheet1!$D$192,CHOOSE(Sheet1!H$264,"",IF($C57="Clear=&gt;","",H57)),NA())</f>
        <v/>
      </c>
      <c r="I126" s="117" t="str">
        <f>IF(Sheet1!$D$192,CHOOSE(Sheet1!I$264,"",IF($C57="Clear=&gt;","",I57)),NA())</f>
        <v/>
      </c>
      <c r="J126" s="117" t="str">
        <f>IF(Sheet1!$D$192,CHOOSE(Sheet1!J$264,"",IF($C57="Clear=&gt;","",J57)),NA())</f>
        <v/>
      </c>
      <c r="K126" s="118" t="str">
        <f>IF(Sheet1!$D$192,CHOOSE(Sheet1!K$264,"",IF($C57="Clear=&gt;","",K57)),NA())</f>
        <v/>
      </c>
    </row>
    <row r="127" spans="2:11" ht="13.2" hidden="1" x14ac:dyDescent="0.25">
      <c r="B127" s="112" t="str">
        <f>IF(Sheet1!D$192,B58,NA())</f>
        <v xml:space="preserve"> </v>
      </c>
      <c r="C127" s="112"/>
      <c r="D127" s="116" t="str">
        <f>IF(Sheet1!$D$192,CHOOSE(Sheet1!D$264,"",IF($C58="Clear=&gt;","",D58)),NA())</f>
        <v/>
      </c>
      <c r="E127" s="117" t="str">
        <f>IF(Sheet1!$D$192,CHOOSE(Sheet1!E$264,"",IF($C58="Clear=&gt;","",E58)),NA())</f>
        <v/>
      </c>
      <c r="F127" s="117" t="str">
        <f>IF(Sheet1!$D$192,CHOOSE(Sheet1!F$264,"",IF($C58="Clear=&gt;","",F58)),NA())</f>
        <v/>
      </c>
      <c r="G127" s="117" t="str">
        <f>IF(Sheet1!$D$192,CHOOSE(Sheet1!G$264,"",IF($C58="Clear=&gt;","",G58)),NA())</f>
        <v/>
      </c>
      <c r="H127" s="117" t="str">
        <f>IF(Sheet1!$D$192,CHOOSE(Sheet1!H$264,"",IF($C58="Clear=&gt;","",H58)),NA())</f>
        <v/>
      </c>
      <c r="I127" s="117" t="str">
        <f>IF(Sheet1!$D$192,CHOOSE(Sheet1!I$264,"",IF($C58="Clear=&gt;","",I58)),NA())</f>
        <v/>
      </c>
      <c r="J127" s="117" t="str">
        <f>IF(Sheet1!$D$192,CHOOSE(Sheet1!J$264,"",IF($C58="Clear=&gt;","",J58)),NA())</f>
        <v/>
      </c>
      <c r="K127" s="118" t="str">
        <f>IF(Sheet1!$D$192,CHOOSE(Sheet1!K$264,"",IF($C58="Clear=&gt;","",K58)),NA())</f>
        <v/>
      </c>
    </row>
    <row r="128" spans="2:11" ht="13.2" hidden="1" x14ac:dyDescent="0.25">
      <c r="B128" s="112" t="str">
        <f>IF(Sheet1!D$192,B59,NA())</f>
        <v xml:space="preserve"> </v>
      </c>
      <c r="C128" s="112"/>
      <c r="D128" s="116" t="str">
        <f>IF(Sheet1!$D$192,CHOOSE(Sheet1!D$264,"",IF($C59="Clear=&gt;","",D59)),NA())</f>
        <v/>
      </c>
      <c r="E128" s="117" t="str">
        <f>IF(Sheet1!$D$192,CHOOSE(Sheet1!E$264,"",IF($C59="Clear=&gt;","",E59)),NA())</f>
        <v/>
      </c>
      <c r="F128" s="117" t="str">
        <f>IF(Sheet1!$D$192,CHOOSE(Sheet1!F$264,"",IF($C59="Clear=&gt;","",F59)),NA())</f>
        <v/>
      </c>
      <c r="G128" s="117" t="str">
        <f>IF(Sheet1!$D$192,CHOOSE(Sheet1!G$264,"",IF($C59="Clear=&gt;","",G59)),NA())</f>
        <v/>
      </c>
      <c r="H128" s="117" t="str">
        <f>IF(Sheet1!$D$192,CHOOSE(Sheet1!H$264,"",IF($C59="Clear=&gt;","",H59)),NA())</f>
        <v/>
      </c>
      <c r="I128" s="117" t="str">
        <f>IF(Sheet1!$D$192,CHOOSE(Sheet1!I$264,"",IF($C59="Clear=&gt;","",I59)),NA())</f>
        <v/>
      </c>
      <c r="J128" s="117" t="str">
        <f>IF(Sheet1!$D$192,CHOOSE(Sheet1!J$264,"",IF($C59="Clear=&gt;","",J59)),NA())</f>
        <v/>
      </c>
      <c r="K128" s="118" t="str">
        <f>IF(Sheet1!$D$192,CHOOSE(Sheet1!K$264,"",IF($C59="Clear=&gt;","",K59)),NA())</f>
        <v/>
      </c>
    </row>
    <row r="129" spans="1:11" ht="13.2" hidden="1" x14ac:dyDescent="0.25">
      <c r="B129" s="112" t="str">
        <f>IF(Sheet1!D$192,B60,NA())</f>
        <v xml:space="preserve"> </v>
      </c>
      <c r="C129" s="112"/>
      <c r="D129" s="116" t="str">
        <f>IF(Sheet1!$D$192,CHOOSE(Sheet1!D$264,"",IF($C60="Clear=&gt;","",D60)),NA())</f>
        <v/>
      </c>
      <c r="E129" s="117" t="str">
        <f>IF(Sheet1!$D$192,CHOOSE(Sheet1!E$264,"",IF($C60="Clear=&gt;","",E60)),NA())</f>
        <v/>
      </c>
      <c r="F129" s="117" t="str">
        <f>IF(Sheet1!$D$192,CHOOSE(Sheet1!F$264,"",IF($C60="Clear=&gt;","",F60)),NA())</f>
        <v/>
      </c>
      <c r="G129" s="117" t="str">
        <f>IF(Sheet1!$D$192,CHOOSE(Sheet1!G$264,"",IF($C60="Clear=&gt;","",G60)),NA())</f>
        <v/>
      </c>
      <c r="H129" s="117" t="str">
        <f>IF(Sheet1!$D$192,CHOOSE(Sheet1!H$264,"",IF($C60="Clear=&gt;","",H60)),NA())</f>
        <v/>
      </c>
      <c r="I129" s="117" t="str">
        <f>IF(Sheet1!$D$192,CHOOSE(Sheet1!I$264,"",IF($C60="Clear=&gt;","",I60)),NA())</f>
        <v/>
      </c>
      <c r="J129" s="117" t="str">
        <f>IF(Sheet1!$D$192,CHOOSE(Sheet1!J$264,"",IF($C60="Clear=&gt;","",J60)),NA())</f>
        <v/>
      </c>
      <c r="K129" s="118" t="str">
        <f>IF(Sheet1!$D$192,CHOOSE(Sheet1!K$264,"",IF($C60="Clear=&gt;","",K60)),NA())</f>
        <v/>
      </c>
    </row>
    <row r="130" spans="1:11" ht="13.2" hidden="1" x14ac:dyDescent="0.25">
      <c r="B130" s="112" t="str">
        <f>IF(Sheet1!D$192,B61,NA())</f>
        <v xml:space="preserve"> </v>
      </c>
      <c r="C130" s="112"/>
      <c r="D130" s="116" t="str">
        <f>IF(Sheet1!$D$192,CHOOSE(Sheet1!D$264,"",IF($C61="Clear=&gt;","",D61)),NA())</f>
        <v/>
      </c>
      <c r="E130" s="117" t="str">
        <f>IF(Sheet1!$D$192,CHOOSE(Sheet1!E$264,"",IF($C61="Clear=&gt;","",E61)),NA())</f>
        <v/>
      </c>
      <c r="F130" s="117" t="str">
        <f>IF(Sheet1!$D$192,CHOOSE(Sheet1!F$264,"",IF($C61="Clear=&gt;","",F61)),NA())</f>
        <v/>
      </c>
      <c r="G130" s="117" t="str">
        <f>IF(Sheet1!$D$192,CHOOSE(Sheet1!G$264,"",IF($C61="Clear=&gt;","",G61)),NA())</f>
        <v/>
      </c>
      <c r="H130" s="117" t="str">
        <f>IF(Sheet1!$D$192,CHOOSE(Sheet1!H$264,"",IF($C61="Clear=&gt;","",H61)),NA())</f>
        <v/>
      </c>
      <c r="I130" s="117" t="str">
        <f>IF(Sheet1!$D$192,CHOOSE(Sheet1!I$264,"",IF($C61="Clear=&gt;","",I61)),NA())</f>
        <v/>
      </c>
      <c r="J130" s="117" t="str">
        <f>IF(Sheet1!$D$192,CHOOSE(Sheet1!J$264,"",IF($C61="Clear=&gt;","",J61)),NA())</f>
        <v/>
      </c>
      <c r="K130" s="118" t="str">
        <f>IF(Sheet1!$D$192,CHOOSE(Sheet1!K$264,"",IF($C61="Clear=&gt;","",K61)),NA())</f>
        <v/>
      </c>
    </row>
    <row r="131" spans="1:11" ht="13.2" hidden="1" x14ac:dyDescent="0.25">
      <c r="B131" s="112" t="str">
        <f>IF(Sheet1!D$192,B62,NA())</f>
        <v xml:space="preserve"> </v>
      </c>
      <c r="C131" s="112"/>
      <c r="D131" s="116" t="str">
        <f>IF(Sheet1!$D$192,CHOOSE(Sheet1!D$264,"",IF($C62="Clear=&gt;","",D62)),NA())</f>
        <v/>
      </c>
      <c r="E131" s="117" t="str">
        <f>IF(Sheet1!$D$192,CHOOSE(Sheet1!E$264,"",IF($C62="Clear=&gt;","",E62)),NA())</f>
        <v/>
      </c>
      <c r="F131" s="117" t="str">
        <f>IF(Sheet1!$D$192,CHOOSE(Sheet1!F$264,"",IF($C62="Clear=&gt;","",F62)),NA())</f>
        <v/>
      </c>
      <c r="G131" s="117" t="str">
        <f>IF(Sheet1!$D$192,CHOOSE(Sheet1!G$264,"",IF($C62="Clear=&gt;","",G62)),NA())</f>
        <v/>
      </c>
      <c r="H131" s="117" t="str">
        <f>IF(Sheet1!$D$192,CHOOSE(Sheet1!H$264,"",IF($C62="Clear=&gt;","",H62)),NA())</f>
        <v/>
      </c>
      <c r="I131" s="117" t="str">
        <f>IF(Sheet1!$D$192,CHOOSE(Sheet1!I$264,"",IF($C62="Clear=&gt;","",I62)),NA())</f>
        <v/>
      </c>
      <c r="J131" s="117" t="str">
        <f>IF(Sheet1!$D$192,CHOOSE(Sheet1!J$264,"",IF($C62="Clear=&gt;","",J62)),NA())</f>
        <v/>
      </c>
      <c r="K131" s="118" t="str">
        <f>IF(Sheet1!$D$192,CHOOSE(Sheet1!K$264,"",IF($C62="Clear=&gt;","",K62)),NA())</f>
        <v/>
      </c>
    </row>
    <row r="132" spans="1:11" ht="13.2" hidden="1" x14ac:dyDescent="0.25">
      <c r="B132" s="112" t="str">
        <f>IF(Sheet1!D$192,B63,NA())</f>
        <v xml:space="preserve"> </v>
      </c>
      <c r="C132" s="112"/>
      <c r="D132" s="116" t="str">
        <f>IF(Sheet1!$D$192,CHOOSE(Sheet1!D$264,"",IF($C63="Clear=&gt;","",D63)),NA())</f>
        <v/>
      </c>
      <c r="E132" s="117" t="str">
        <f>IF(Sheet1!$D$192,CHOOSE(Sheet1!E$264,"",IF($C63="Clear=&gt;","",E63)),NA())</f>
        <v/>
      </c>
      <c r="F132" s="117" t="str">
        <f>IF(Sheet1!$D$192,CHOOSE(Sheet1!F$264,"",IF($C63="Clear=&gt;","",F63)),NA())</f>
        <v/>
      </c>
      <c r="G132" s="117" t="str">
        <f>IF(Sheet1!$D$192,CHOOSE(Sheet1!G$264,"",IF($C63="Clear=&gt;","",G63)),NA())</f>
        <v/>
      </c>
      <c r="H132" s="117" t="str">
        <f>IF(Sheet1!$D$192,CHOOSE(Sheet1!H$264,"",IF($C63="Clear=&gt;","",H63)),NA())</f>
        <v/>
      </c>
      <c r="I132" s="117" t="str">
        <f>IF(Sheet1!$D$192,CHOOSE(Sheet1!I$264,"",IF($C63="Clear=&gt;","",I63)),NA())</f>
        <v/>
      </c>
      <c r="J132" s="117" t="str">
        <f>IF(Sheet1!$D$192,CHOOSE(Sheet1!J$264,"",IF($C63="Clear=&gt;","",J63)),NA())</f>
        <v/>
      </c>
      <c r="K132" s="118" t="str">
        <f>IF(Sheet1!$D$192,CHOOSE(Sheet1!K$264,"",IF($C63="Clear=&gt;","",K63)),NA())</f>
        <v/>
      </c>
    </row>
    <row r="133" spans="1:11" ht="13.2" hidden="1" x14ac:dyDescent="0.25">
      <c r="B133" s="112" t="str">
        <f>IF(Sheet1!D$192,B64,NA())</f>
        <v xml:space="preserve"> </v>
      </c>
      <c r="C133" s="112"/>
      <c r="D133" s="116" t="str">
        <f>IF(Sheet1!$D$192,CHOOSE(Sheet1!D$264,"",IF($C64="Clear=&gt;","",D64)),NA())</f>
        <v/>
      </c>
      <c r="E133" s="117" t="str">
        <f>IF(Sheet1!$D$192,CHOOSE(Sheet1!E$264,"",IF($C64="Clear=&gt;","",E64)),NA())</f>
        <v/>
      </c>
      <c r="F133" s="117" t="str">
        <f>IF(Sheet1!$D$192,CHOOSE(Sheet1!F$264,"",IF($C64="Clear=&gt;","",F64)),NA())</f>
        <v/>
      </c>
      <c r="G133" s="117" t="str">
        <f>IF(Sheet1!$D$192,CHOOSE(Sheet1!G$264,"",IF($C64="Clear=&gt;","",G64)),NA())</f>
        <v/>
      </c>
      <c r="H133" s="117" t="str">
        <f>IF(Sheet1!$D$192,CHOOSE(Sheet1!H$264,"",IF($C64="Clear=&gt;","",H64)),NA())</f>
        <v/>
      </c>
      <c r="I133" s="117" t="str">
        <f>IF(Sheet1!$D$192,CHOOSE(Sheet1!I$264,"",IF($C64="Clear=&gt;","",I64)),NA())</f>
        <v/>
      </c>
      <c r="J133" s="117" t="str">
        <f>IF(Sheet1!$D$192,CHOOSE(Sheet1!J$264,"",IF($C64="Clear=&gt;","",J64)),NA())</f>
        <v/>
      </c>
      <c r="K133" s="118" t="str">
        <f>IF(Sheet1!$D$192,CHOOSE(Sheet1!K$264,"",IF($C64="Clear=&gt;","",K64)),NA())</f>
        <v/>
      </c>
    </row>
    <row r="134" spans="1:11" ht="13.2" hidden="1" x14ac:dyDescent="0.25">
      <c r="B134" s="112" t="str">
        <f>IF(Sheet1!D$192,B65,NA())</f>
        <v xml:space="preserve"> </v>
      </c>
      <c r="C134" s="112"/>
      <c r="D134" s="116" t="str">
        <f>IF(Sheet1!$D$192,CHOOSE(Sheet1!D$264,"",IF($C65="Clear=&gt;","",D65)),NA())</f>
        <v/>
      </c>
      <c r="E134" s="117" t="str">
        <f>IF(Sheet1!$D$192,CHOOSE(Sheet1!E$264,"",IF($C65="Clear=&gt;","",E65)),NA())</f>
        <v/>
      </c>
      <c r="F134" s="117" t="str">
        <f>IF(Sheet1!$D$192,CHOOSE(Sheet1!F$264,"",IF($C65="Clear=&gt;","",F65)),NA())</f>
        <v/>
      </c>
      <c r="G134" s="117" t="str">
        <f>IF(Sheet1!$D$192,CHOOSE(Sheet1!G$264,"",IF($C65="Clear=&gt;","",G65)),NA())</f>
        <v/>
      </c>
      <c r="H134" s="117" t="str">
        <f>IF(Sheet1!$D$192,CHOOSE(Sheet1!H$264,"",IF($C65="Clear=&gt;","",H65)),NA())</f>
        <v/>
      </c>
      <c r="I134" s="117" t="str">
        <f>IF(Sheet1!$D$192,CHOOSE(Sheet1!I$264,"",IF($C65="Clear=&gt;","",I65)),NA())</f>
        <v/>
      </c>
      <c r="J134" s="117" t="str">
        <f>IF(Sheet1!$D$192,CHOOSE(Sheet1!J$264,"",IF($C65="Clear=&gt;","",J65)),NA())</f>
        <v/>
      </c>
      <c r="K134" s="118" t="str">
        <f>IF(Sheet1!$D$192,CHOOSE(Sheet1!K$264,"",IF($C65="Clear=&gt;","",K65)),NA())</f>
        <v/>
      </c>
    </row>
    <row r="135" spans="1:11" ht="13.2" hidden="1" x14ac:dyDescent="0.25">
      <c r="B135" s="112" t="str">
        <f>IF(Sheet1!D$192,B66,NA())</f>
        <v xml:space="preserve"> </v>
      </c>
      <c r="C135" s="112"/>
      <c r="D135" s="116" t="str">
        <f>IF(Sheet1!$D$192,CHOOSE(Sheet1!D$264,"",IF($C66="Clear=&gt;","",D66)),NA())</f>
        <v/>
      </c>
      <c r="E135" s="117" t="str">
        <f>IF(Sheet1!$D$192,CHOOSE(Sheet1!E$264,"",IF($C66="Clear=&gt;","",E66)),NA())</f>
        <v/>
      </c>
      <c r="F135" s="117" t="str">
        <f>IF(Sheet1!$D$192,CHOOSE(Sheet1!F$264,"",IF($C66="Clear=&gt;","",F66)),NA())</f>
        <v/>
      </c>
      <c r="G135" s="117" t="str">
        <f>IF(Sheet1!$D$192,CHOOSE(Sheet1!G$264,"",IF($C66="Clear=&gt;","",G66)),NA())</f>
        <v/>
      </c>
      <c r="H135" s="117" t="str">
        <f>IF(Sheet1!$D$192,CHOOSE(Sheet1!H$264,"",IF($C66="Clear=&gt;","",H66)),NA())</f>
        <v/>
      </c>
      <c r="I135" s="117" t="str">
        <f>IF(Sheet1!$D$192,CHOOSE(Sheet1!I$264,"",IF($C66="Clear=&gt;","",I66)),NA())</f>
        <v/>
      </c>
      <c r="J135" s="117" t="str">
        <f>IF(Sheet1!$D$192,CHOOSE(Sheet1!J$264,"",IF($C66="Clear=&gt;","",J66)),NA())</f>
        <v/>
      </c>
      <c r="K135" s="118" t="str">
        <f>IF(Sheet1!$D$192,CHOOSE(Sheet1!K$264,"",IF($C66="Clear=&gt;","",K66)),NA())</f>
        <v/>
      </c>
    </row>
    <row r="136" spans="1:11" ht="13.2" hidden="1" x14ac:dyDescent="0.25">
      <c r="B136" s="112" t="str">
        <f>IF(Sheet1!D$192,B67,NA())</f>
        <v xml:space="preserve"> </v>
      </c>
      <c r="C136" s="112"/>
      <c r="D136" s="116" t="str">
        <f>IF(Sheet1!$D$192,CHOOSE(Sheet1!D$264,"",IF($C67="Clear=&gt;","",D67)),NA())</f>
        <v/>
      </c>
      <c r="E136" s="117" t="str">
        <f>IF(Sheet1!$D$192,CHOOSE(Sheet1!E$264,"",IF($C67="Clear=&gt;","",E67)),NA())</f>
        <v/>
      </c>
      <c r="F136" s="117" t="str">
        <f>IF(Sheet1!$D$192,CHOOSE(Sheet1!F$264,"",IF($C67="Clear=&gt;","",F67)),NA())</f>
        <v/>
      </c>
      <c r="G136" s="117" t="str">
        <f>IF(Sheet1!$D$192,CHOOSE(Sheet1!G$264,"",IF($C67="Clear=&gt;","",G67)),NA())</f>
        <v/>
      </c>
      <c r="H136" s="117" t="str">
        <f>IF(Sheet1!$D$192,CHOOSE(Sheet1!H$264,"",IF($C67="Clear=&gt;","",H67)),NA())</f>
        <v/>
      </c>
      <c r="I136" s="117" t="str">
        <f>IF(Sheet1!$D$192,CHOOSE(Sheet1!I$264,"",IF($C67="Clear=&gt;","",I67)),NA())</f>
        <v/>
      </c>
      <c r="J136" s="117" t="str">
        <f>IF(Sheet1!$D$192,CHOOSE(Sheet1!J$264,"",IF($C67="Clear=&gt;","",J67)),NA())</f>
        <v/>
      </c>
      <c r="K136" s="118" t="str">
        <f>IF(Sheet1!$D$192,CHOOSE(Sheet1!K$264,"",IF($C67="Clear=&gt;","",K67)),NA())</f>
        <v/>
      </c>
    </row>
    <row r="137" spans="1:11" ht="13.2" hidden="1" x14ac:dyDescent="0.25">
      <c r="B137" s="112" t="str">
        <f>IF(Sheet1!D$192,B68,NA())</f>
        <v xml:space="preserve"> </v>
      </c>
      <c r="C137" s="112"/>
      <c r="D137" s="116" t="str">
        <f>IF(Sheet1!$D$192,CHOOSE(Sheet1!D$264,"",IF($C68="Clear=&gt;","",D68)),NA())</f>
        <v/>
      </c>
      <c r="E137" s="117" t="str">
        <f>IF(Sheet1!$D$192,CHOOSE(Sheet1!E$264,"",IF($C68="Clear=&gt;","",E68)),NA())</f>
        <v/>
      </c>
      <c r="F137" s="117" t="str">
        <f>IF(Sheet1!$D$192,CHOOSE(Sheet1!F$264,"",IF($C68="Clear=&gt;","",F68)),NA())</f>
        <v/>
      </c>
      <c r="G137" s="117" t="str">
        <f>IF(Sheet1!$D$192,CHOOSE(Sheet1!G$264,"",IF($C68="Clear=&gt;","",G68)),NA())</f>
        <v/>
      </c>
      <c r="H137" s="117" t="str">
        <f>IF(Sheet1!$D$192,CHOOSE(Sheet1!H$264,"",IF($C68="Clear=&gt;","",H68)),NA())</f>
        <v/>
      </c>
      <c r="I137" s="117" t="str">
        <f>IF(Sheet1!$D$192,CHOOSE(Sheet1!I$264,"",IF($C68="Clear=&gt;","",I68)),NA())</f>
        <v/>
      </c>
      <c r="J137" s="117" t="str">
        <f>IF(Sheet1!$D$192,CHOOSE(Sheet1!J$264,"",IF($C68="Clear=&gt;","",J68)),NA())</f>
        <v/>
      </c>
      <c r="K137" s="118" t="str">
        <f>IF(Sheet1!$D$192,CHOOSE(Sheet1!K$264,"",IF($C68="Clear=&gt;","",K68)),NA())</f>
        <v/>
      </c>
    </row>
    <row r="138" spans="1:11" ht="13.2" hidden="1" x14ac:dyDescent="0.25">
      <c r="B138" s="112"/>
      <c r="C138" s="122" t="s">
        <v>242</v>
      </c>
      <c r="D138" s="123">
        <f>IF(Sheet1!D$192,SUM(D88:D137),NA())</f>
        <v>0</v>
      </c>
      <c r="E138" s="123">
        <f>IF(Sheet1!D$192,SUM(E88:E137),NA())</f>
        <v>0</v>
      </c>
      <c r="F138" s="123">
        <f>IF(Sheet1!D$192,SUM(F88:F137),NA())</f>
        <v>0</v>
      </c>
      <c r="G138" s="123">
        <f>IF(Sheet1!D$192,SUM(G88:G137),NA())</f>
        <v>0</v>
      </c>
      <c r="H138" s="123">
        <f>IF(Sheet1!D$192,SUM(H88:H137),NA())</f>
        <v>0</v>
      </c>
      <c r="I138" s="123">
        <f>IF(Sheet1!D$192,SUM(I88:I137),NA())</f>
        <v>0</v>
      </c>
      <c r="J138" s="123">
        <f>IF(Sheet1!D$192,SUM(J88:J137),NA())</f>
        <v>0</v>
      </c>
      <c r="K138" s="123">
        <f>IF(Sheet1!D$192,SUM(K88:K137),NA())</f>
        <v>0</v>
      </c>
    </row>
    <row r="139" spans="1:11" ht="13.2" hidden="1" x14ac:dyDescent="0.25"/>
    <row r="140" spans="1:11" ht="13.2" hidden="1" x14ac:dyDescent="0.25">
      <c r="A140" s="109" t="s">
        <v>243</v>
      </c>
      <c r="B140" s="110"/>
      <c r="C140" s="110"/>
      <c r="D140" s="110"/>
      <c r="E140" s="110"/>
      <c r="F140" s="110"/>
      <c r="G140" s="110"/>
      <c r="H140" s="110"/>
      <c r="I140" s="110"/>
      <c r="J140" s="110"/>
      <c r="K140" s="111"/>
    </row>
    <row r="141" spans="1:11" ht="13.2" hidden="1" x14ac:dyDescent="0.25"/>
    <row r="142" spans="1:11" ht="13.2" hidden="1" x14ac:dyDescent="0.25"/>
    <row r="143" spans="1:11" ht="13.2" hidden="1" x14ac:dyDescent="0.25"/>
    <row r="144" spans="1:11" ht="13.2" hidden="1" x14ac:dyDescent="0.25"/>
    <row r="145" ht="13.2" hidden="1" x14ac:dyDescent="0.25"/>
    <row r="146" ht="13.2" hidden="1" x14ac:dyDescent="0.25"/>
    <row r="147" ht="13.2" hidden="1" x14ac:dyDescent="0.25"/>
    <row r="148" ht="13.2" hidden="1" x14ac:dyDescent="0.25"/>
    <row r="149" ht="13.2" hidden="1" x14ac:dyDescent="0.25"/>
    <row r="150" ht="13.2" hidden="1" x14ac:dyDescent="0.25"/>
    <row r="151" ht="13.2" hidden="1" x14ac:dyDescent="0.25"/>
    <row r="152" ht="13.2" hidden="1" x14ac:dyDescent="0.25"/>
    <row r="153" ht="13.2" hidden="1" x14ac:dyDescent="0.25"/>
    <row r="154" ht="13.2" hidden="1" x14ac:dyDescent="0.25"/>
    <row r="155" ht="13.2" hidden="1" x14ac:dyDescent="0.25"/>
    <row r="156" ht="13.2" hidden="1" x14ac:dyDescent="0.25"/>
    <row r="157" ht="13.2" hidden="1" x14ac:dyDescent="0.25"/>
    <row r="158" ht="13.2" hidden="1" x14ac:dyDescent="0.25"/>
    <row r="159" ht="13.2" hidden="1" x14ac:dyDescent="0.25"/>
    <row r="160" ht="13.2" hidden="1" x14ac:dyDescent="0.25"/>
    <row r="161" ht="13.2" hidden="1" x14ac:dyDescent="0.25"/>
    <row r="162" ht="13.2" hidden="1" x14ac:dyDescent="0.25"/>
    <row r="163" ht="13.2" hidden="1" x14ac:dyDescent="0.25"/>
    <row r="164" ht="13.2" hidden="1" x14ac:dyDescent="0.25"/>
    <row r="165" ht="13.2" hidden="1" x14ac:dyDescent="0.25"/>
    <row r="166" ht="13.2" hidden="1" x14ac:dyDescent="0.25"/>
    <row r="167" ht="13.2" hidden="1" x14ac:dyDescent="0.25"/>
    <row r="168" ht="13.2" hidden="1" x14ac:dyDescent="0.25"/>
    <row r="169" ht="13.2" hidden="1" x14ac:dyDescent="0.25"/>
    <row r="170" ht="13.2" hidden="1" x14ac:dyDescent="0.25"/>
    <row r="171" ht="13.2" hidden="1" x14ac:dyDescent="0.25"/>
    <row r="172" ht="13.2" hidden="1" x14ac:dyDescent="0.25"/>
    <row r="173" ht="13.2" hidden="1" x14ac:dyDescent="0.25"/>
    <row r="174" ht="13.2" hidden="1" x14ac:dyDescent="0.25"/>
    <row r="175" ht="13.2" hidden="1" x14ac:dyDescent="0.25"/>
    <row r="176" ht="13.2" hidden="1" x14ac:dyDescent="0.25"/>
    <row r="177" ht="13.2" hidden="1" x14ac:dyDescent="0.25"/>
    <row r="178" ht="13.2" hidden="1" x14ac:dyDescent="0.25"/>
    <row r="179" ht="13.2" hidden="1" x14ac:dyDescent="0.25"/>
    <row r="180" ht="13.2" hidden="1" x14ac:dyDescent="0.25"/>
    <row r="181" ht="13.2" hidden="1" x14ac:dyDescent="0.25"/>
    <row r="182" ht="13.2" hidden="1" x14ac:dyDescent="0.25"/>
    <row r="183" ht="13.2" hidden="1" x14ac:dyDescent="0.25"/>
    <row r="184" ht="13.2" hidden="1" x14ac:dyDescent="0.25"/>
    <row r="185" ht="13.2" hidden="1" x14ac:dyDescent="0.25"/>
    <row r="186" ht="13.2" hidden="1" x14ac:dyDescent="0.25"/>
    <row r="187" ht="13.2" hidden="1" x14ac:dyDescent="0.25"/>
    <row r="188" ht="13.2" hidden="1" x14ac:dyDescent="0.25"/>
    <row r="189" ht="13.2" hidden="1" x14ac:dyDescent="0.25"/>
    <row r="190" ht="13.2" hidden="1" x14ac:dyDescent="0.25"/>
    <row r="191" ht="13.2" hidden="1" x14ac:dyDescent="0.25"/>
    <row r="192" ht="13.2" hidden="1" x14ac:dyDescent="0.25"/>
    <row r="193" ht="13.2" hidden="1" x14ac:dyDescent="0.25"/>
    <row r="194" ht="13.2" hidden="1" x14ac:dyDescent="0.25"/>
    <row r="195" ht="13.2" hidden="1" x14ac:dyDescent="0.25"/>
    <row r="196" ht="13.2" hidden="1" x14ac:dyDescent="0.25"/>
    <row r="197" ht="13.2" hidden="1" x14ac:dyDescent="0.25"/>
    <row r="198" ht="13.2" hidden="1" x14ac:dyDescent="0.25"/>
    <row r="199" ht="13.2" hidden="1" x14ac:dyDescent="0.25"/>
    <row r="200" ht="13.2" hidden="1" x14ac:dyDescent="0.25"/>
    <row r="201" ht="13.2" hidden="1" x14ac:dyDescent="0.25"/>
    <row r="202" ht="13.2" hidden="1" x14ac:dyDescent="0.25"/>
    <row r="203" ht="13.2" hidden="1" x14ac:dyDescent="0.25"/>
    <row r="204" ht="13.2" hidden="1" x14ac:dyDescent="0.25"/>
    <row r="205" ht="13.2" hidden="1" x14ac:dyDescent="0.25"/>
    <row r="206" ht="13.2" hidden="1" x14ac:dyDescent="0.25"/>
    <row r="207" ht="13.2" hidden="1" x14ac:dyDescent="0.25"/>
    <row r="208" ht="13.2" hidden="1" x14ac:dyDescent="0.25"/>
    <row r="209" ht="13.2" hidden="1" x14ac:dyDescent="0.25"/>
    <row r="210" ht="13.2" hidden="1" x14ac:dyDescent="0.25"/>
    <row r="211" ht="13.2" hidden="1" x14ac:dyDescent="0.25"/>
    <row r="212" ht="13.2" hidden="1" x14ac:dyDescent="0.25"/>
    <row r="213" ht="13.2" hidden="1" x14ac:dyDescent="0.25"/>
    <row r="214" ht="13.2" hidden="1" x14ac:dyDescent="0.25"/>
    <row r="215" ht="13.2" hidden="1" x14ac:dyDescent="0.25"/>
    <row r="216" ht="13.2" hidden="1" x14ac:dyDescent="0.25"/>
    <row r="217" ht="13.2" hidden="1" x14ac:dyDescent="0.25"/>
    <row r="218" ht="13.2" hidden="1" x14ac:dyDescent="0.25"/>
    <row r="219" ht="13.2" hidden="1" x14ac:dyDescent="0.25"/>
    <row r="220" ht="13.2" hidden="1" x14ac:dyDescent="0.25"/>
    <row r="221" ht="13.2" hidden="1" x14ac:dyDescent="0.25"/>
    <row r="222" ht="13.2" hidden="1" x14ac:dyDescent="0.25"/>
    <row r="223" ht="13.2" hidden="1" x14ac:dyDescent="0.25"/>
    <row r="224" ht="13.2" hidden="1" x14ac:dyDescent="0.25"/>
    <row r="225" ht="13.2" hidden="1" x14ac:dyDescent="0.25"/>
    <row r="226" ht="13.2" hidden="1" x14ac:dyDescent="0.25"/>
    <row r="227" ht="13.2" hidden="1" x14ac:dyDescent="0.25"/>
    <row r="228" ht="13.2" hidden="1" x14ac:dyDescent="0.25"/>
    <row r="229" ht="13.2" hidden="1" x14ac:dyDescent="0.25"/>
    <row r="230" ht="13.2" hidden="1" x14ac:dyDescent="0.25"/>
    <row r="231" ht="13.2" hidden="1" x14ac:dyDescent="0.25"/>
    <row r="232" ht="13.2" hidden="1" x14ac:dyDescent="0.25"/>
    <row r="233" ht="13.2" hidden="1" x14ac:dyDescent="0.25"/>
    <row r="234" ht="13.2" hidden="1" x14ac:dyDescent="0.25"/>
    <row r="235" ht="13.2" hidden="1" x14ac:dyDescent="0.25"/>
    <row r="236" ht="13.2" hidden="1" x14ac:dyDescent="0.25"/>
    <row r="237" ht="13.2" hidden="1" x14ac:dyDescent="0.25"/>
    <row r="238" ht="13.2" hidden="1" x14ac:dyDescent="0.25"/>
    <row r="239" ht="13.2" hidden="1" x14ac:dyDescent="0.25"/>
    <row r="240" ht="13.2" hidden="1" x14ac:dyDescent="0.25"/>
    <row r="241" ht="13.2" hidden="1" x14ac:dyDescent="0.25"/>
    <row r="242" ht="13.2" hidden="1" x14ac:dyDescent="0.25"/>
    <row r="243" ht="13.2" hidden="1" x14ac:dyDescent="0.25"/>
    <row r="244" ht="13.2" hidden="1" x14ac:dyDescent="0.25"/>
    <row r="245" ht="13.2" hidden="1" x14ac:dyDescent="0.25"/>
    <row r="246" ht="13.2" hidden="1" x14ac:dyDescent="0.25"/>
    <row r="247" ht="13.2" hidden="1" x14ac:dyDescent="0.25"/>
    <row r="248" ht="13.2" hidden="1" x14ac:dyDescent="0.25"/>
    <row r="249" ht="13.2" hidden="1" x14ac:dyDescent="0.25"/>
    <row r="250" ht="13.2" hidden="1" x14ac:dyDescent="0.25"/>
    <row r="251" ht="13.2" hidden="1" x14ac:dyDescent="0.25"/>
    <row r="252" ht="13.2" hidden="1" x14ac:dyDescent="0.25"/>
    <row r="253" ht="13.2" hidden="1" x14ac:dyDescent="0.25"/>
    <row r="254" ht="13.2" hidden="1" x14ac:dyDescent="0.25"/>
    <row r="255" ht="13.2" hidden="1" x14ac:dyDescent="0.25"/>
    <row r="256" ht="13.2" hidden="1" x14ac:dyDescent="0.25"/>
    <row r="257" ht="13.2" hidden="1" x14ac:dyDescent="0.25"/>
    <row r="258" ht="13.2" hidden="1" x14ac:dyDescent="0.25"/>
    <row r="259" ht="13.2" hidden="1" x14ac:dyDescent="0.25"/>
    <row r="260" ht="13.2" hidden="1" x14ac:dyDescent="0.25"/>
    <row r="261" ht="13.2" hidden="1" x14ac:dyDescent="0.25"/>
    <row r="262" ht="13.2" hidden="1" x14ac:dyDescent="0.25"/>
    <row r="263" ht="13.2" hidden="1" x14ac:dyDescent="0.25"/>
    <row r="264" ht="13.2" hidden="1" x14ac:dyDescent="0.25"/>
    <row r="265" ht="13.2" hidden="1" x14ac:dyDescent="0.25"/>
    <row r="266" ht="13.2" hidden="1" x14ac:dyDescent="0.25"/>
    <row r="267" ht="13.2" hidden="1" x14ac:dyDescent="0.25"/>
    <row r="268" ht="13.2" hidden="1" x14ac:dyDescent="0.25"/>
    <row r="269" ht="13.2" hidden="1" x14ac:dyDescent="0.25"/>
    <row r="270" ht="13.2" hidden="1" x14ac:dyDescent="0.25"/>
    <row r="271" ht="13.2" hidden="1" x14ac:dyDescent="0.25"/>
    <row r="272" ht="13.2" hidden="1" x14ac:dyDescent="0.25"/>
    <row r="273" ht="13.2" hidden="1" x14ac:dyDescent="0.25"/>
    <row r="274" ht="13.2" hidden="1" x14ac:dyDescent="0.25"/>
    <row r="275" ht="13.2" hidden="1" x14ac:dyDescent="0.25"/>
    <row r="276" ht="13.2" hidden="1" x14ac:dyDescent="0.25"/>
    <row r="277" ht="13.2" hidden="1" x14ac:dyDescent="0.25"/>
    <row r="278" ht="13.2" hidden="1" x14ac:dyDescent="0.25"/>
    <row r="279" ht="13.2" hidden="1" x14ac:dyDescent="0.25"/>
    <row r="280" ht="13.2" hidden="1" x14ac:dyDescent="0.25"/>
    <row r="281" ht="13.2" hidden="1" x14ac:dyDescent="0.25"/>
    <row r="282" ht="13.2" hidden="1" x14ac:dyDescent="0.25"/>
    <row r="283" ht="13.2" hidden="1" x14ac:dyDescent="0.25"/>
    <row r="284" ht="13.2" hidden="1" x14ac:dyDescent="0.25"/>
    <row r="285" ht="13.2" hidden="1" x14ac:dyDescent="0.25"/>
    <row r="286" ht="13.2" hidden="1" x14ac:dyDescent="0.25"/>
    <row r="287" ht="13.2" hidden="1" x14ac:dyDescent="0.25"/>
    <row r="288" ht="13.2" hidden="1" x14ac:dyDescent="0.25"/>
    <row r="289" ht="13.2" hidden="1" x14ac:dyDescent="0.25"/>
    <row r="290" ht="13.2" hidden="1" x14ac:dyDescent="0.25"/>
    <row r="291" ht="13.2" hidden="1" x14ac:dyDescent="0.25"/>
    <row r="292" ht="13.2" hidden="1" x14ac:dyDescent="0.25"/>
    <row r="293" ht="13.2" hidden="1" x14ac:dyDescent="0.25"/>
    <row r="294" ht="13.2" hidden="1" x14ac:dyDescent="0.25"/>
    <row r="295" ht="13.2" hidden="1" x14ac:dyDescent="0.25"/>
    <row r="296" ht="13.2" hidden="1" x14ac:dyDescent="0.25"/>
    <row r="297" ht="13.2" hidden="1" x14ac:dyDescent="0.25"/>
    <row r="298" ht="13.2" hidden="1" x14ac:dyDescent="0.25"/>
    <row r="299" ht="13.2" hidden="1" x14ac:dyDescent="0.25"/>
    <row r="300" ht="13.2" hidden="1" x14ac:dyDescent="0.25"/>
    <row r="301" ht="13.2" hidden="1" x14ac:dyDescent="0.25"/>
    <row r="302" ht="13.2" hidden="1" x14ac:dyDescent="0.25"/>
    <row r="303" ht="13.2" hidden="1" x14ac:dyDescent="0.25"/>
    <row r="304" ht="13.2" hidden="1" x14ac:dyDescent="0.25"/>
    <row r="305" ht="13.2" hidden="1" x14ac:dyDescent="0.25"/>
    <row r="306" ht="13.2" hidden="1" x14ac:dyDescent="0.25"/>
    <row r="307" ht="13.2" hidden="1" x14ac:dyDescent="0.25"/>
    <row r="308" ht="13.2" hidden="1" x14ac:dyDescent="0.25"/>
    <row r="309" ht="13.2" hidden="1" x14ac:dyDescent="0.25"/>
    <row r="310" ht="13.2" hidden="1" x14ac:dyDescent="0.25"/>
    <row r="311" ht="13.2" hidden="1" x14ac:dyDescent="0.25"/>
    <row r="312" ht="13.2" hidden="1" x14ac:dyDescent="0.25"/>
    <row r="313" ht="13.2" hidden="1" x14ac:dyDescent="0.25"/>
    <row r="314" ht="13.2" hidden="1" x14ac:dyDescent="0.25"/>
    <row r="315" ht="13.2" hidden="1" x14ac:dyDescent="0.25"/>
    <row r="316" ht="13.2" hidden="1" x14ac:dyDescent="0.25"/>
    <row r="317" ht="13.2" hidden="1" x14ac:dyDescent="0.25"/>
    <row r="318" ht="13.2" hidden="1" x14ac:dyDescent="0.25"/>
    <row r="319" ht="13.2" hidden="1" x14ac:dyDescent="0.25"/>
    <row r="320" ht="13.2" hidden="1" x14ac:dyDescent="0.25"/>
    <row r="321" ht="13.2" hidden="1" x14ac:dyDescent="0.25"/>
    <row r="322" ht="13.2" hidden="1" x14ac:dyDescent="0.25"/>
    <row r="323" ht="13.2" hidden="1" x14ac:dyDescent="0.25"/>
    <row r="324" ht="13.2" hidden="1" x14ac:dyDescent="0.25"/>
    <row r="325" ht="13.2" hidden="1" x14ac:dyDescent="0.25"/>
    <row r="326" ht="13.2" hidden="1" x14ac:dyDescent="0.25"/>
    <row r="327" ht="13.2" hidden="1" x14ac:dyDescent="0.25"/>
    <row r="328" ht="13.2" hidden="1" x14ac:dyDescent="0.25"/>
    <row r="329" ht="13.2" hidden="1" x14ac:dyDescent="0.25"/>
    <row r="330" ht="13.2" hidden="1" x14ac:dyDescent="0.25"/>
    <row r="331" ht="13.2" hidden="1" x14ac:dyDescent="0.25"/>
    <row r="332" ht="13.2" hidden="1" x14ac:dyDescent="0.25"/>
    <row r="333" ht="13.2" hidden="1" x14ac:dyDescent="0.25"/>
    <row r="334" ht="13.2" hidden="1" x14ac:dyDescent="0.25"/>
    <row r="335" ht="13.2" hidden="1" x14ac:dyDescent="0.25"/>
    <row r="336" ht="13.2" hidden="1" x14ac:dyDescent="0.25"/>
    <row r="337" ht="13.2" hidden="1" x14ac:dyDescent="0.25"/>
    <row r="338" ht="13.2" hidden="1" x14ac:dyDescent="0.25"/>
    <row r="339" ht="13.2" hidden="1" x14ac:dyDescent="0.25"/>
    <row r="340" ht="13.2" hidden="1" x14ac:dyDescent="0.25"/>
    <row r="341" ht="13.2" hidden="1" x14ac:dyDescent="0.25"/>
    <row r="342" ht="13.2" hidden="1" x14ac:dyDescent="0.25"/>
    <row r="343" ht="13.2" hidden="1" x14ac:dyDescent="0.25"/>
    <row r="344" ht="13.2" hidden="1" x14ac:dyDescent="0.25"/>
    <row r="345" ht="13.2" hidden="1" x14ac:dyDescent="0.25"/>
    <row r="346" ht="13.2" hidden="1" x14ac:dyDescent="0.25"/>
    <row r="347" ht="13.2" hidden="1" x14ac:dyDescent="0.25"/>
    <row r="348" ht="13.2" hidden="1" x14ac:dyDescent="0.25"/>
    <row r="349" ht="13.2" hidden="1" x14ac:dyDescent="0.25"/>
    <row r="350" ht="13.2" hidden="1" x14ac:dyDescent="0.25"/>
    <row r="351" ht="13.2" hidden="1" x14ac:dyDescent="0.25"/>
    <row r="352" ht="13.2" hidden="1" x14ac:dyDescent="0.25"/>
    <row r="353" ht="13.2" hidden="1" x14ac:dyDescent="0.25"/>
    <row r="354" ht="13.2" hidden="1" x14ac:dyDescent="0.25"/>
    <row r="355" ht="13.2" hidden="1" x14ac:dyDescent="0.25"/>
    <row r="356" ht="13.2" hidden="1" x14ac:dyDescent="0.25"/>
    <row r="357" ht="13.2" hidden="1" x14ac:dyDescent="0.25"/>
    <row r="358" ht="13.2" hidden="1" x14ac:dyDescent="0.25"/>
    <row r="359" ht="13.2" hidden="1" x14ac:dyDescent="0.25"/>
    <row r="360" ht="13.2" hidden="1" x14ac:dyDescent="0.25"/>
    <row r="361" ht="13.2" hidden="1" x14ac:dyDescent="0.25"/>
    <row r="362" ht="13.2" hidden="1" x14ac:dyDescent="0.25"/>
    <row r="363" ht="13.2" hidden="1" x14ac:dyDescent="0.25"/>
    <row r="364" ht="13.2" hidden="1" x14ac:dyDescent="0.25"/>
    <row r="365" ht="13.2" hidden="1" x14ac:dyDescent="0.25"/>
    <row r="366" ht="13.2" hidden="1" x14ac:dyDescent="0.25"/>
    <row r="367" ht="13.2" hidden="1" x14ac:dyDescent="0.25"/>
    <row r="368" ht="13.2" hidden="1" x14ac:dyDescent="0.25"/>
    <row r="369" ht="13.2" hidden="1" x14ac:dyDescent="0.25"/>
    <row r="370" ht="13.2" hidden="1" x14ac:dyDescent="0.25"/>
    <row r="371" ht="13.2" hidden="1" x14ac:dyDescent="0.25"/>
    <row r="372" ht="13.2" hidden="1" x14ac:dyDescent="0.25"/>
    <row r="373" ht="13.2" hidden="1" x14ac:dyDescent="0.25"/>
    <row r="374" ht="13.2" hidden="1" x14ac:dyDescent="0.25"/>
    <row r="375" ht="13.2" hidden="1" x14ac:dyDescent="0.25"/>
    <row r="376" ht="13.2" hidden="1" x14ac:dyDescent="0.25"/>
    <row r="377" ht="13.2" hidden="1" x14ac:dyDescent="0.25"/>
    <row r="378" ht="13.2" hidden="1" x14ac:dyDescent="0.25"/>
    <row r="379" ht="13.2" hidden="1" x14ac:dyDescent="0.25"/>
    <row r="380" ht="13.2" hidden="1" x14ac:dyDescent="0.25"/>
    <row r="381" ht="13.2" hidden="1" x14ac:dyDescent="0.25"/>
    <row r="382" ht="13.2" hidden="1" x14ac:dyDescent="0.25"/>
    <row r="383" ht="13.2" hidden="1" x14ac:dyDescent="0.25"/>
    <row r="384" ht="13.2" hidden="1" x14ac:dyDescent="0.25"/>
    <row r="385" ht="13.2" hidden="1" x14ac:dyDescent="0.25"/>
    <row r="386" ht="13.2" hidden="1" x14ac:dyDescent="0.25"/>
    <row r="387" ht="13.2" hidden="1" x14ac:dyDescent="0.25"/>
    <row r="388" ht="13.2" hidden="1" x14ac:dyDescent="0.25"/>
    <row r="389" ht="13.2" hidden="1" x14ac:dyDescent="0.25"/>
    <row r="390" ht="13.2" hidden="1" x14ac:dyDescent="0.25"/>
    <row r="391" ht="13.2" hidden="1" x14ac:dyDescent="0.25"/>
    <row r="392" ht="13.2" hidden="1" x14ac:dyDescent="0.25"/>
    <row r="393" ht="13.2" hidden="1" x14ac:dyDescent="0.25"/>
    <row r="394" ht="13.2" hidden="1" x14ac:dyDescent="0.25"/>
    <row r="395" ht="13.2" hidden="1" x14ac:dyDescent="0.25"/>
    <row r="396" ht="13.2" hidden="1" x14ac:dyDescent="0.25"/>
    <row r="397" ht="13.2" hidden="1" x14ac:dyDescent="0.25"/>
    <row r="398" ht="13.2" hidden="1" x14ac:dyDescent="0.25"/>
    <row r="399" ht="13.2" hidden="1" x14ac:dyDescent="0.25"/>
    <row r="400" ht="13.2" hidden="1" x14ac:dyDescent="0.25"/>
    <row r="401" ht="13.2" hidden="1" x14ac:dyDescent="0.25"/>
    <row r="402" ht="13.2" hidden="1" x14ac:dyDescent="0.25"/>
    <row r="403" ht="13.2" hidden="1" x14ac:dyDescent="0.25"/>
    <row r="404" ht="13.2" hidden="1" x14ac:dyDescent="0.25"/>
    <row r="405" ht="13.2" hidden="1" x14ac:dyDescent="0.25"/>
    <row r="406" ht="13.2" hidden="1" x14ac:dyDescent="0.25"/>
    <row r="407" ht="13.2" hidden="1" x14ac:dyDescent="0.25"/>
    <row r="408" ht="13.2" hidden="1" x14ac:dyDescent="0.25"/>
    <row r="409" ht="13.2" hidden="1" x14ac:dyDescent="0.25"/>
    <row r="410" ht="13.2" hidden="1" x14ac:dyDescent="0.25"/>
    <row r="411" ht="13.2" hidden="1" x14ac:dyDescent="0.25"/>
    <row r="412" ht="13.2" hidden="1" x14ac:dyDescent="0.25"/>
    <row r="413" ht="13.2" hidden="1" x14ac:dyDescent="0.25"/>
    <row r="414" ht="13.2" hidden="1" x14ac:dyDescent="0.25"/>
    <row r="415" ht="13.2" hidden="1" x14ac:dyDescent="0.25"/>
    <row r="416" ht="13.2" hidden="1" x14ac:dyDescent="0.25"/>
    <row r="417" ht="13.2" hidden="1" x14ac:dyDescent="0.25"/>
    <row r="418" ht="13.2" hidden="1" x14ac:dyDescent="0.25"/>
    <row r="419" ht="13.2" hidden="1" x14ac:dyDescent="0.25"/>
    <row r="420" ht="13.2" hidden="1" x14ac:dyDescent="0.25"/>
    <row r="421" ht="13.2" hidden="1" x14ac:dyDescent="0.25"/>
    <row r="422" ht="13.2" hidden="1" x14ac:dyDescent="0.25"/>
    <row r="423" ht="13.2" hidden="1" x14ac:dyDescent="0.25"/>
    <row r="424" ht="13.2" hidden="1" x14ac:dyDescent="0.25"/>
    <row r="425" ht="13.2" hidden="1" x14ac:dyDescent="0.25"/>
    <row r="426" ht="13.2" hidden="1" x14ac:dyDescent="0.25"/>
    <row r="427" ht="13.2" hidden="1" x14ac:dyDescent="0.25"/>
    <row r="428" ht="13.2" hidden="1" x14ac:dyDescent="0.25"/>
    <row r="429" ht="13.2" hidden="1" x14ac:dyDescent="0.25"/>
    <row r="430" ht="13.2" hidden="1" x14ac:dyDescent="0.25"/>
    <row r="431" ht="13.2" hidden="1" x14ac:dyDescent="0.25"/>
    <row r="432" ht="13.2" hidden="1" x14ac:dyDescent="0.25"/>
    <row r="433" ht="13.2" hidden="1" x14ac:dyDescent="0.25"/>
    <row r="434" ht="13.2" hidden="1" x14ac:dyDescent="0.25"/>
    <row r="435" ht="13.2" hidden="1" x14ac:dyDescent="0.25"/>
    <row r="436" ht="13.2" hidden="1" x14ac:dyDescent="0.25"/>
    <row r="437" ht="13.2" hidden="1" x14ac:dyDescent="0.25"/>
    <row r="438" ht="13.2" hidden="1" x14ac:dyDescent="0.25"/>
    <row r="439" ht="13.2" hidden="1" x14ac:dyDescent="0.25"/>
    <row r="440" ht="13.2" hidden="1" x14ac:dyDescent="0.25"/>
    <row r="441" ht="13.2" hidden="1" x14ac:dyDescent="0.25"/>
    <row r="442" ht="13.2" hidden="1" x14ac:dyDescent="0.25"/>
    <row r="443" ht="13.2" hidden="1" x14ac:dyDescent="0.25"/>
    <row r="444" ht="13.2" hidden="1" x14ac:dyDescent="0.25"/>
    <row r="445" ht="13.2" hidden="1" x14ac:dyDescent="0.25"/>
    <row r="446" ht="13.2" hidden="1" x14ac:dyDescent="0.25"/>
    <row r="447" ht="13.2" hidden="1" x14ac:dyDescent="0.25"/>
    <row r="448" ht="13.2" hidden="1" x14ac:dyDescent="0.25"/>
    <row r="449" ht="13.2" hidden="1" x14ac:dyDescent="0.25"/>
    <row r="450" ht="13.2" hidden="1" x14ac:dyDescent="0.25"/>
    <row r="451" ht="13.2" hidden="1" x14ac:dyDescent="0.25"/>
    <row r="452" ht="13.2" hidden="1" x14ac:dyDescent="0.25"/>
    <row r="453" ht="13.2" hidden="1" x14ac:dyDescent="0.25"/>
    <row r="454" ht="13.2" hidden="1" x14ac:dyDescent="0.25"/>
    <row r="455" ht="13.2" hidden="1" x14ac:dyDescent="0.25"/>
    <row r="456" ht="13.2" hidden="1" x14ac:dyDescent="0.25"/>
    <row r="457" ht="13.2" hidden="1" x14ac:dyDescent="0.25"/>
    <row r="458" ht="13.2" hidden="1" x14ac:dyDescent="0.25"/>
    <row r="459" ht="13.2" hidden="1" x14ac:dyDescent="0.25"/>
    <row r="460" ht="13.2" hidden="1" x14ac:dyDescent="0.25"/>
    <row r="461" ht="13.2" hidden="1" x14ac:dyDescent="0.25"/>
    <row r="462" ht="13.2" hidden="1" x14ac:dyDescent="0.25"/>
    <row r="463" ht="13.2" hidden="1" x14ac:dyDescent="0.25"/>
    <row r="464" ht="13.2" hidden="1" x14ac:dyDescent="0.25"/>
    <row r="465" ht="13.2" hidden="1" x14ac:dyDescent="0.25"/>
    <row r="466" ht="13.2" hidden="1" x14ac:dyDescent="0.25"/>
    <row r="467" ht="13.2" hidden="1" x14ac:dyDescent="0.25"/>
    <row r="468" ht="13.2" hidden="1" x14ac:dyDescent="0.25"/>
    <row r="469" ht="13.2" hidden="1" x14ac:dyDescent="0.25"/>
    <row r="470" ht="13.2" hidden="1" x14ac:dyDescent="0.25"/>
    <row r="471" ht="13.2" hidden="1" x14ac:dyDescent="0.25"/>
    <row r="472" ht="13.2" hidden="1" x14ac:dyDescent="0.25"/>
    <row r="473" ht="13.2" hidden="1" x14ac:dyDescent="0.25"/>
    <row r="474" ht="13.2" hidden="1" x14ac:dyDescent="0.25"/>
    <row r="475" ht="13.2" hidden="1" x14ac:dyDescent="0.25"/>
    <row r="476" ht="13.2" hidden="1" x14ac:dyDescent="0.25"/>
    <row r="477" ht="13.2" hidden="1" x14ac:dyDescent="0.25"/>
    <row r="478" ht="13.2" hidden="1" x14ac:dyDescent="0.25"/>
    <row r="479" ht="13.2" hidden="1" x14ac:dyDescent="0.25"/>
    <row r="480" ht="13.2" hidden="1" x14ac:dyDescent="0.25"/>
    <row r="481" ht="13.2" hidden="1" x14ac:dyDescent="0.25"/>
    <row r="482" ht="13.2" hidden="1" x14ac:dyDescent="0.25"/>
    <row r="483" ht="13.2" hidden="1" x14ac:dyDescent="0.25"/>
    <row r="484" ht="13.2" hidden="1" x14ac:dyDescent="0.25"/>
    <row r="485" ht="13.2" hidden="1" x14ac:dyDescent="0.25"/>
    <row r="486" ht="13.2" hidden="1" x14ac:dyDescent="0.25"/>
    <row r="487" ht="13.2" hidden="1" x14ac:dyDescent="0.25"/>
    <row r="488" ht="13.2" hidden="1" x14ac:dyDescent="0.25"/>
    <row r="489" ht="13.2" hidden="1" x14ac:dyDescent="0.25"/>
    <row r="490" ht="13.2" hidden="1" x14ac:dyDescent="0.25"/>
    <row r="491" ht="13.2" hidden="1" x14ac:dyDescent="0.25"/>
    <row r="492" ht="13.2" hidden="1" x14ac:dyDescent="0.25"/>
    <row r="493" ht="13.2" hidden="1" x14ac:dyDescent="0.25"/>
    <row r="494" ht="13.2" hidden="1" x14ac:dyDescent="0.25"/>
    <row r="495" ht="13.2" hidden="1" x14ac:dyDescent="0.25"/>
    <row r="496" ht="13.2" hidden="1" x14ac:dyDescent="0.25"/>
    <row r="497" ht="13.2" hidden="1" x14ac:dyDescent="0.25"/>
    <row r="498" ht="13.2" hidden="1" x14ac:dyDescent="0.25"/>
    <row r="499" ht="13.2" hidden="1" x14ac:dyDescent="0.25"/>
    <row r="500" ht="13.2" hidden="1" x14ac:dyDescent="0.25"/>
    <row r="501" ht="13.2" hidden="1" x14ac:dyDescent="0.25"/>
    <row r="502" ht="13.2" hidden="1" x14ac:dyDescent="0.25"/>
    <row r="503" ht="13.2" hidden="1" x14ac:dyDescent="0.25"/>
    <row r="504" ht="13.2" hidden="1" x14ac:dyDescent="0.25"/>
    <row r="505" ht="13.2" hidden="1" x14ac:dyDescent="0.25"/>
    <row r="506" ht="13.2" hidden="1" x14ac:dyDescent="0.25"/>
    <row r="507" ht="13.2" hidden="1" x14ac:dyDescent="0.25"/>
    <row r="508" ht="13.2" hidden="1" x14ac:dyDescent="0.25"/>
    <row r="509" ht="13.2" hidden="1" x14ac:dyDescent="0.25"/>
    <row r="510" ht="13.2" hidden="1" x14ac:dyDescent="0.25"/>
    <row r="511" ht="13.2" hidden="1" x14ac:dyDescent="0.25"/>
    <row r="512" ht="13.2" hidden="1" x14ac:dyDescent="0.25"/>
    <row r="513" ht="13.2" hidden="1" x14ac:dyDescent="0.25"/>
    <row r="514" ht="13.2" hidden="1" x14ac:dyDescent="0.25"/>
    <row r="515" ht="13.2" hidden="1" x14ac:dyDescent="0.25"/>
    <row r="516" ht="13.2" hidden="1" x14ac:dyDescent="0.25"/>
    <row r="517" ht="13.2" hidden="1" x14ac:dyDescent="0.25"/>
    <row r="518" ht="13.2" hidden="1" x14ac:dyDescent="0.25"/>
    <row r="519" ht="13.2" hidden="1" x14ac:dyDescent="0.25"/>
    <row r="520" ht="13.2" hidden="1" x14ac:dyDescent="0.25"/>
    <row r="521" ht="13.2" hidden="1" x14ac:dyDescent="0.25"/>
    <row r="522" ht="13.2" hidden="1" x14ac:dyDescent="0.25"/>
    <row r="523" ht="13.2" hidden="1" x14ac:dyDescent="0.25"/>
    <row r="524" ht="13.2" hidden="1" x14ac:dyDescent="0.25"/>
    <row r="525" ht="13.2" hidden="1" x14ac:dyDescent="0.25"/>
    <row r="526" ht="13.2" hidden="1" x14ac:dyDescent="0.25"/>
    <row r="527" ht="13.2" hidden="1" x14ac:dyDescent="0.25"/>
    <row r="528" ht="13.2" hidden="1" x14ac:dyDescent="0.25"/>
    <row r="529" ht="13.2" hidden="1" x14ac:dyDescent="0.25"/>
    <row r="530" ht="13.2" hidden="1" x14ac:dyDescent="0.25"/>
    <row r="531" ht="13.2" hidden="1" x14ac:dyDescent="0.25"/>
    <row r="532" ht="13.2" hidden="1" x14ac:dyDescent="0.25"/>
  </sheetData>
  <printOptions horizontalCentered="1"/>
  <pageMargins left="0.25" right="0.25" top="0.25" bottom="0.5" header="0.25" footer="0.25"/>
  <pageSetup scale="75" orientation="landscape" blackAndWhite="1" r:id="rId1"/>
  <headerFooter alignWithMargins="0">
    <oddFooter>&amp;R&amp;A,   Input Data,  Page &amp;P of &amp;N,  (Printed:  &amp;D,   &amp;T ) Using ver 1.04r6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Fill="0" autoLine="0" autoPict="0">
                <anchor moveWithCells="1">
                  <from>
                    <xdr:col>2</xdr:col>
                    <xdr:colOff>457200</xdr:colOff>
                    <xdr:row>14</xdr:row>
                    <xdr:rowOff>7620</xdr:rowOff>
                  </from>
                  <to>
                    <xdr:col>4</xdr:col>
                    <xdr:colOff>30480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Fill="0" autoLine="0" autoPict="0">
                <anchor moveWithCells="1">
                  <from>
                    <xdr:col>2</xdr:col>
                    <xdr:colOff>457200</xdr:colOff>
                    <xdr:row>11</xdr:row>
                    <xdr:rowOff>152400</xdr:rowOff>
                  </from>
                  <to>
                    <xdr:col>4</xdr:col>
                    <xdr:colOff>7620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Fill="0" autoLine="0" autoPict="0">
                <anchor moveWithCells="1">
                  <from>
                    <xdr:col>4</xdr:col>
                    <xdr:colOff>7620</xdr:colOff>
                    <xdr:row>11</xdr:row>
                    <xdr:rowOff>152400</xdr:rowOff>
                  </from>
                  <to>
                    <xdr:col>5</xdr:col>
                    <xdr:colOff>30480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152400</xdr:rowOff>
                  </from>
                  <to>
                    <xdr:col>6</xdr:col>
                    <xdr:colOff>30480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152400</xdr:rowOff>
                  </from>
                  <to>
                    <xdr:col>7</xdr:col>
                    <xdr:colOff>30480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Fill="0" autoLine="0" autoPict="0">
                <anchor moveWithCells="1">
                  <from>
                    <xdr:col>7</xdr:col>
                    <xdr:colOff>30480</xdr:colOff>
                    <xdr:row>11</xdr:row>
                    <xdr:rowOff>152400</xdr:rowOff>
                  </from>
                  <to>
                    <xdr:col>8</xdr:col>
                    <xdr:colOff>30480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Drop Down 7">
              <controlPr defaultSize="0" autoFill="0" autoLine="0" autoPict="0">
                <anchor moveWithCells="1">
                  <from>
                    <xdr:col>8</xdr:col>
                    <xdr:colOff>38100</xdr:colOff>
                    <xdr:row>11</xdr:row>
                    <xdr:rowOff>152400</xdr:rowOff>
                  </from>
                  <to>
                    <xdr:col>9</xdr:col>
                    <xdr:colOff>30480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Drop Down 8">
              <controlPr defaultSize="0" autoFill="0" autoLine="0" autoPict="0">
                <anchor moveWithCells="1">
                  <from>
                    <xdr:col>9</xdr:col>
                    <xdr:colOff>38100</xdr:colOff>
                    <xdr:row>11</xdr:row>
                    <xdr:rowOff>152400</xdr:rowOff>
                  </from>
                  <to>
                    <xdr:col>10</xdr:col>
                    <xdr:colOff>30480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Drop Down 9">
              <controlPr defaultSize="0" autoFill="0" autoLine="0" autoPict="0">
                <anchor moveWithCells="1">
                  <from>
                    <xdr:col>10</xdr:col>
                    <xdr:colOff>38100</xdr:colOff>
                    <xdr:row>11</xdr:row>
                    <xdr:rowOff>152400</xdr:rowOff>
                  </from>
                  <to>
                    <xdr:col>11</xdr:col>
                    <xdr:colOff>38100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Drop Down 10">
              <controlPr defaultSize="0" autoFill="0" autoLine="0" autoPict="0">
                <anchor moveWithCells="1">
                  <from>
                    <xdr:col>4</xdr:col>
                    <xdr:colOff>22860</xdr:colOff>
                    <xdr:row>14</xdr:row>
                    <xdr:rowOff>7620</xdr:rowOff>
                  </from>
                  <to>
                    <xdr:col>5</xdr:col>
                    <xdr:colOff>30480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Drop Down 11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7620</xdr:rowOff>
                  </from>
                  <to>
                    <xdr:col>6</xdr:col>
                    <xdr:colOff>30480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Drop Down 12">
              <controlPr defaultSize="0" autoFill="0" autoLine="0" autoPict="0">
                <anchor moveWithCells="1">
                  <from>
                    <xdr:col>6</xdr:col>
                    <xdr:colOff>30480</xdr:colOff>
                    <xdr:row>14</xdr:row>
                    <xdr:rowOff>7620</xdr:rowOff>
                  </from>
                  <to>
                    <xdr:col>7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Drop Down 13">
              <controlPr defaultSize="0" autoFill="0" autoLine="0" autoPict="0">
                <anchor moveWithCells="1">
                  <from>
                    <xdr:col>7</xdr:col>
                    <xdr:colOff>30480</xdr:colOff>
                    <xdr:row>14</xdr:row>
                    <xdr:rowOff>7620</xdr:rowOff>
                  </from>
                  <to>
                    <xdr:col>8</xdr:col>
                    <xdr:colOff>30480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Drop Down 14">
              <controlPr defaultSize="0" autoFill="0" autoLine="0" autoPict="0">
                <anchor moveWithCells="1">
                  <from>
                    <xdr:col>8</xdr:col>
                    <xdr:colOff>38100</xdr:colOff>
                    <xdr:row>14</xdr:row>
                    <xdr:rowOff>7620</xdr:rowOff>
                  </from>
                  <to>
                    <xdr:col>9</xdr:col>
                    <xdr:colOff>30480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Drop Down 15">
              <controlPr defaultSize="0" autoFill="0" autoLine="0" autoPict="0">
                <anchor moveWithCells="1">
                  <from>
                    <xdr:col>9</xdr:col>
                    <xdr:colOff>38100</xdr:colOff>
                    <xdr:row>14</xdr:row>
                    <xdr:rowOff>7620</xdr:rowOff>
                  </from>
                  <to>
                    <xdr:col>10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Drop Down 16">
              <controlPr defaultSize="0" autoFill="0" autoLine="0" autoPict="0">
                <anchor moveWithCells="1">
                  <from>
                    <xdr:col>10</xdr:col>
                    <xdr:colOff>30480</xdr:colOff>
                    <xdr:row>14</xdr:row>
                    <xdr:rowOff>7620</xdr:rowOff>
                  </from>
                  <to>
                    <xdr:col>11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Drop Down 17">
              <controlPr defaultSize="0" autoFill="0" autoLine="0" autoPict="0">
                <anchor moveWithCells="1">
                  <from>
                    <xdr:col>2</xdr:col>
                    <xdr:colOff>457200</xdr:colOff>
                    <xdr:row>72</xdr:row>
                    <xdr:rowOff>152400</xdr:rowOff>
                  </from>
                  <to>
                    <xdr:col>4</xdr:col>
                    <xdr:colOff>22860</xdr:colOff>
                    <xdr:row>74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Drop Down 18">
              <controlPr defaultSize="0" autoFill="0" autoLine="0" autoPict="0">
                <anchor moveWithCells="1">
                  <from>
                    <xdr:col>4</xdr:col>
                    <xdr:colOff>30480</xdr:colOff>
                    <xdr:row>72</xdr:row>
                    <xdr:rowOff>152400</xdr:rowOff>
                  </from>
                  <to>
                    <xdr:col>5</xdr:col>
                    <xdr:colOff>30480</xdr:colOff>
                    <xdr:row>74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Drop Down 19">
              <controlPr defaultSize="0" autoFill="0" autoLine="0" autoPict="0">
                <anchor moveWithCells="1">
                  <from>
                    <xdr:col>5</xdr:col>
                    <xdr:colOff>38100</xdr:colOff>
                    <xdr:row>72</xdr:row>
                    <xdr:rowOff>152400</xdr:rowOff>
                  </from>
                  <to>
                    <xdr:col>6</xdr:col>
                    <xdr:colOff>22860</xdr:colOff>
                    <xdr:row>74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Drop Down 20">
              <controlPr defaultSize="0" autoFill="0" autoLine="0" autoPict="0">
                <anchor moveWithCells="1">
                  <from>
                    <xdr:col>6</xdr:col>
                    <xdr:colOff>22860</xdr:colOff>
                    <xdr:row>72</xdr:row>
                    <xdr:rowOff>152400</xdr:rowOff>
                  </from>
                  <to>
                    <xdr:col>7</xdr:col>
                    <xdr:colOff>22860</xdr:colOff>
                    <xdr:row>74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Drop Down 21">
              <controlPr defaultSize="0" autoFill="0" autoLine="0" autoPict="0">
                <anchor moveWithCells="1">
                  <from>
                    <xdr:col>7</xdr:col>
                    <xdr:colOff>30480</xdr:colOff>
                    <xdr:row>72</xdr:row>
                    <xdr:rowOff>152400</xdr:rowOff>
                  </from>
                  <to>
                    <xdr:col>8</xdr:col>
                    <xdr:colOff>30480</xdr:colOff>
                    <xdr:row>74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Drop Down 22">
              <controlPr defaultSize="0" autoFill="0" autoLine="0" autoPict="0">
                <anchor moveWithCells="1">
                  <from>
                    <xdr:col>8</xdr:col>
                    <xdr:colOff>30480</xdr:colOff>
                    <xdr:row>72</xdr:row>
                    <xdr:rowOff>152400</xdr:rowOff>
                  </from>
                  <to>
                    <xdr:col>9</xdr:col>
                    <xdr:colOff>30480</xdr:colOff>
                    <xdr:row>74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Drop Down 23">
              <controlPr defaultSize="0" autoFill="0" autoLine="0" autoPict="0">
                <anchor moveWithCells="1">
                  <from>
                    <xdr:col>9</xdr:col>
                    <xdr:colOff>30480</xdr:colOff>
                    <xdr:row>72</xdr:row>
                    <xdr:rowOff>152400</xdr:rowOff>
                  </from>
                  <to>
                    <xdr:col>10</xdr:col>
                    <xdr:colOff>22860</xdr:colOff>
                    <xdr:row>74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Drop Down 24">
              <controlPr defaultSize="0" autoFill="0" autoLine="0" autoPict="0">
                <anchor moveWithCells="1">
                  <from>
                    <xdr:col>10</xdr:col>
                    <xdr:colOff>30480</xdr:colOff>
                    <xdr:row>72</xdr:row>
                    <xdr:rowOff>152400</xdr:rowOff>
                  </from>
                  <to>
                    <xdr:col>11</xdr:col>
                    <xdr:colOff>30480</xdr:colOff>
                    <xdr:row>74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Drop Down 28">
              <controlPr defaultSize="0" autoLine="0" autoPict="0">
                <anchor moveWithCells="1">
                  <from>
                    <xdr:col>3</xdr:col>
                    <xdr:colOff>30480</xdr:colOff>
                    <xdr:row>9</xdr:row>
                    <xdr:rowOff>76200</xdr:rowOff>
                  </from>
                  <to>
                    <xdr:col>4</xdr:col>
                    <xdr:colOff>30480</xdr:colOff>
                    <xdr:row>10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M244"/>
  <sheetViews>
    <sheetView showGridLines="0" zoomScaleNormal="100" workbookViewId="0"/>
  </sheetViews>
  <sheetFormatPr defaultColWidth="0" defaultRowHeight="13.2" x14ac:dyDescent="0.25"/>
  <cols>
    <col min="1" max="1" width="8.5546875" style="74" customWidth="1"/>
    <col min="2" max="2" width="5.6640625" style="74" customWidth="1"/>
    <col min="3" max="3" width="6.6640625" style="74" customWidth="1"/>
    <col min="4" max="13" width="15.44140625" style="74" customWidth="1"/>
    <col min="14" max="16384" width="0" style="58" hidden="1"/>
  </cols>
  <sheetData>
    <row r="1" spans="1:13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2.7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ht="15.6" x14ac:dyDescent="0.3">
      <c r="A5" s="59" t="s">
        <v>270</v>
      </c>
      <c r="B5" s="60"/>
      <c r="C5" s="60"/>
      <c r="D5" s="61" t="s">
        <v>219</v>
      </c>
      <c r="E5" s="62">
        <f>VLOOKUP(Sheet1!D82,Sheet1!A82:B105,2)</f>
        <v>2024</v>
      </c>
      <c r="F5" s="62" t="str">
        <f>VLOOKUP(Sheet1!D56,Sheet1!A56:B56,2)&amp;"  )"</f>
        <v>Constant Dollars  )</v>
      </c>
      <c r="G5" s="60"/>
      <c r="H5" s="57"/>
      <c r="I5" s="57"/>
      <c r="J5" s="57"/>
      <c r="K5" s="57"/>
      <c r="L5" s="57"/>
      <c r="M5" s="57"/>
    </row>
    <row r="6" spans="1:13" ht="15.6" x14ac:dyDescent="0.3">
      <c r="A6" s="64" t="str">
        <f>IF(Sheet1!D193,"","(NOT FEASIBLE !!)")</f>
        <v/>
      </c>
      <c r="B6" s="60"/>
      <c r="C6" s="60"/>
      <c r="D6" s="61" t="s">
        <v>220</v>
      </c>
      <c r="E6" s="62" t="str">
        <f>VLOOKUP(Sheet1!D67,Sheet1!A66:B68,2)</f>
        <v xml:space="preserve"> ($)</v>
      </c>
      <c r="F6" s="61" t="s">
        <v>221</v>
      </c>
      <c r="G6" s="60"/>
      <c r="H6" s="57"/>
      <c r="I6" s="57"/>
      <c r="J6" s="57"/>
      <c r="K6" s="57"/>
      <c r="L6" s="57"/>
      <c r="M6" s="57"/>
    </row>
    <row r="7" spans="1:13" s="74" customFormat="1" x14ac:dyDescent="0.25">
      <c r="C7" s="128"/>
      <c r="M7" s="138"/>
    </row>
    <row r="8" spans="1:13" s="74" customFormat="1" x14ac:dyDescent="0.25">
      <c r="C8" s="128"/>
      <c r="M8" s="138"/>
    </row>
    <row r="9" spans="1:13" ht="17.25" customHeight="1" x14ac:dyDescent="0.25">
      <c r="A9" s="155" t="s">
        <v>222</v>
      </c>
      <c r="B9" s="142"/>
      <c r="C9" s="142"/>
      <c r="D9" s="71"/>
      <c r="E9" s="72"/>
      <c r="F9" s="72"/>
      <c r="G9" s="72"/>
      <c r="H9" s="73"/>
      <c r="M9" s="138"/>
    </row>
    <row r="10" spans="1:13" ht="21" customHeight="1" x14ac:dyDescent="0.25">
      <c r="A10" s="155" t="s">
        <v>223</v>
      </c>
      <c r="B10" s="155"/>
      <c r="C10" s="142"/>
      <c r="E10" s="75" t="s">
        <v>224</v>
      </c>
      <c r="M10" s="138"/>
    </row>
    <row r="11" spans="1:13" ht="20.100000000000001" customHeight="1" x14ac:dyDescent="0.25">
      <c r="A11" s="152"/>
      <c r="B11" s="152"/>
      <c r="C11" s="139"/>
      <c r="E11" s="78"/>
      <c r="M11" s="138"/>
    </row>
    <row r="12" spans="1:13" ht="13.5" customHeight="1" x14ac:dyDescent="0.25">
      <c r="A12" s="144" t="s">
        <v>269</v>
      </c>
      <c r="B12" s="142"/>
      <c r="C12" s="142"/>
      <c r="D12" s="80"/>
      <c r="E12" s="80"/>
      <c r="F12" s="80"/>
      <c r="G12" s="80"/>
      <c r="H12" s="80"/>
      <c r="I12" s="80"/>
      <c r="J12" s="80"/>
      <c r="K12" s="80"/>
      <c r="M12" s="138"/>
    </row>
    <row r="13" spans="1:13" ht="15" customHeight="1" x14ac:dyDescent="0.25">
      <c r="A13" s="143" t="s">
        <v>268</v>
      </c>
      <c r="B13" s="142"/>
      <c r="C13" s="142"/>
      <c r="D13" s="80"/>
      <c r="E13" s="80"/>
      <c r="F13" s="80"/>
      <c r="G13" s="80"/>
      <c r="H13" s="80"/>
      <c r="I13" s="80"/>
      <c r="J13" s="80"/>
      <c r="K13" s="80"/>
      <c r="M13" s="138"/>
    </row>
    <row r="14" spans="1:13" ht="3" customHeight="1" x14ac:dyDescent="0.25">
      <c r="A14" s="151"/>
      <c r="B14" s="139"/>
      <c r="C14" s="139"/>
      <c r="D14" s="80"/>
      <c r="E14" s="80"/>
      <c r="F14" s="80"/>
      <c r="G14" s="80"/>
      <c r="H14" s="80"/>
      <c r="I14" s="80"/>
      <c r="J14" s="80"/>
      <c r="K14" s="80"/>
      <c r="M14" s="138"/>
    </row>
    <row r="15" spans="1:13" ht="3" customHeight="1" thickBot="1" x14ac:dyDescent="0.3">
      <c r="A15" s="151"/>
      <c r="B15" s="139"/>
      <c r="C15" s="139"/>
      <c r="D15" s="80"/>
      <c r="E15" s="80"/>
      <c r="F15" s="80"/>
      <c r="G15" s="80"/>
      <c r="H15" s="80"/>
      <c r="I15" s="80"/>
      <c r="J15" s="80"/>
      <c r="K15" s="80"/>
      <c r="M15" s="138"/>
    </row>
    <row r="16" spans="1:13" ht="33" customHeight="1" thickTop="1" x14ac:dyDescent="0.25">
      <c r="A16" s="148" t="s">
        <v>229</v>
      </c>
      <c r="B16" s="148" t="s">
        <v>230</v>
      </c>
      <c r="C16" s="86" t="s">
        <v>231</v>
      </c>
      <c r="D16" s="87"/>
      <c r="E16" s="87"/>
      <c r="F16" s="87"/>
      <c r="G16" s="87"/>
      <c r="H16" s="87"/>
      <c r="I16" s="87"/>
      <c r="J16" s="87"/>
      <c r="K16" s="87"/>
      <c r="L16" s="104" t="s">
        <v>252</v>
      </c>
      <c r="M16" s="138"/>
    </row>
    <row r="17" spans="1:13" x14ac:dyDescent="0.25">
      <c r="A17" s="147">
        <f>IF(Sheet1!D$193,VLOOKUP(1,Sheet1!A148:B197,2),NA())</f>
        <v>1</v>
      </c>
      <c r="B17" s="147">
        <f>IF(Sheet1!D$193,VLOOKUP(Sheet1!D$86,Sheet1!A80:B147,2),NA())</f>
        <v>2024</v>
      </c>
      <c r="C17" s="146" t="str">
        <f t="shared" ref="C17:C48" si="0">IF(AND(OR(A17=" ",A17="#NA"),OR(D17&lt;&gt;0,E17&lt;&gt;0,F17&lt;&gt;0,G17&lt;&gt;0,H17&lt;&gt;0,I17&lt;&gt;0,J17&lt;&gt;0,K17&lt;&gt;0)),"Clear=&gt;"," ")</f>
        <v xml:space="preserve"> </v>
      </c>
      <c r="D17" s="92"/>
      <c r="E17" s="92"/>
      <c r="F17" s="92"/>
      <c r="G17" s="92"/>
      <c r="H17" s="92"/>
      <c r="I17" s="92"/>
      <c r="J17" s="92"/>
      <c r="K17" s="92"/>
      <c r="L17" s="95">
        <f>IF(Sheet1!D$193,SUM(D17:K17),NA())</f>
        <v>0</v>
      </c>
      <c r="M17" s="127"/>
    </row>
    <row r="18" spans="1:13" x14ac:dyDescent="0.25">
      <c r="A18" s="147" t="str">
        <f>IF(Sheet1!D$193,IF((A17&gt;=(Sheet1!D$148+$A$17)-1)," ",A17+1),NA())</f>
        <v xml:space="preserve"> </v>
      </c>
      <c r="B18" s="147" t="str">
        <f>IF(Sheet1!D$193,IF((B17&gt;=(Sheet1!D$148+$B$17)-1)," ",B17+1),NA())</f>
        <v xml:space="preserve"> </v>
      </c>
      <c r="C18" s="146" t="str">
        <f t="shared" si="0"/>
        <v xml:space="preserve"> </v>
      </c>
      <c r="D18" s="92"/>
      <c r="E18" s="92"/>
      <c r="F18" s="92"/>
      <c r="G18" s="92"/>
      <c r="H18" s="92"/>
      <c r="I18" s="92"/>
      <c r="J18" s="92"/>
      <c r="K18" s="92"/>
      <c r="L18" s="95">
        <f>IF(Sheet1!D$193,SUM(D18:K18),NA())</f>
        <v>0</v>
      </c>
      <c r="M18" s="127"/>
    </row>
    <row r="19" spans="1:13" x14ac:dyDescent="0.25">
      <c r="A19" s="147" t="str">
        <f>IF(Sheet1!D$193,IF((A18&gt;=(Sheet1!D$148+$A$17)-1)," ",A18+1),NA())</f>
        <v xml:space="preserve"> </v>
      </c>
      <c r="B19" s="147" t="str">
        <f>IF(Sheet1!D$193,IF((B18&gt;=(Sheet1!D$148+$B$17)-1)," ",B18+1),NA())</f>
        <v xml:space="preserve"> </v>
      </c>
      <c r="C19" s="146" t="str">
        <f t="shared" si="0"/>
        <v xml:space="preserve"> </v>
      </c>
      <c r="D19" s="92"/>
      <c r="E19" s="92"/>
      <c r="F19" s="92"/>
      <c r="G19" s="92"/>
      <c r="H19" s="92"/>
      <c r="I19" s="92"/>
      <c r="J19" s="92"/>
      <c r="K19" s="92"/>
      <c r="L19" s="95">
        <f>IF(Sheet1!D$193,SUM(D19:K19),NA())</f>
        <v>0</v>
      </c>
      <c r="M19" s="127"/>
    </row>
    <row r="20" spans="1:13" x14ac:dyDescent="0.25">
      <c r="A20" s="147" t="str">
        <f>IF(Sheet1!D$193,IF((A19&gt;=(Sheet1!D$148+$A$17)-1)," ",A19+1),NA())</f>
        <v xml:space="preserve"> </v>
      </c>
      <c r="B20" s="147" t="str">
        <f>IF(Sheet1!D$193,IF((B19&gt;=(Sheet1!D$148+$B$17)-1)," ",B19+1),NA())</f>
        <v xml:space="preserve"> </v>
      </c>
      <c r="C20" s="146" t="str">
        <f t="shared" si="0"/>
        <v xml:space="preserve"> </v>
      </c>
      <c r="D20" s="92"/>
      <c r="E20" s="92"/>
      <c r="F20" s="92"/>
      <c r="G20" s="92"/>
      <c r="H20" s="92"/>
      <c r="I20" s="92"/>
      <c r="J20" s="92"/>
      <c r="K20" s="92"/>
      <c r="L20" s="95">
        <f>IF(Sheet1!D$193,SUM(D20:K20),NA())</f>
        <v>0</v>
      </c>
      <c r="M20" s="127"/>
    </row>
    <row r="21" spans="1:13" x14ac:dyDescent="0.25">
      <c r="A21" s="147" t="str">
        <f>IF(Sheet1!D$193,IF((A20&gt;=(Sheet1!D$148+$A$17)-1)," ",A20+1),NA())</f>
        <v xml:space="preserve"> </v>
      </c>
      <c r="B21" s="147" t="str">
        <f>IF(Sheet1!D$193,IF((B20&gt;=(Sheet1!D$148+$B$17)-1)," ",B20+1),NA())</f>
        <v xml:space="preserve"> </v>
      </c>
      <c r="C21" s="146" t="str">
        <f t="shared" si="0"/>
        <v xml:space="preserve"> </v>
      </c>
      <c r="D21" s="92"/>
      <c r="E21" s="92"/>
      <c r="F21" s="92"/>
      <c r="G21" s="92"/>
      <c r="H21" s="92"/>
      <c r="I21" s="92"/>
      <c r="J21" s="92"/>
      <c r="K21" s="92"/>
      <c r="L21" s="95">
        <f>IF(Sheet1!D$193,SUM(D21:K21),NA())</f>
        <v>0</v>
      </c>
      <c r="M21" s="127"/>
    </row>
    <row r="22" spans="1:13" x14ac:dyDescent="0.25">
      <c r="A22" s="147" t="str">
        <f>IF(Sheet1!D$193,IF((A21&gt;=(Sheet1!D$148+$A$17)-1)," ",A21+1),NA())</f>
        <v xml:space="preserve"> </v>
      </c>
      <c r="B22" s="147" t="str">
        <f>IF(Sheet1!D$193,IF((B21&gt;=(Sheet1!D$148+$B$17)-1)," ",B21+1),NA())</f>
        <v xml:space="preserve"> </v>
      </c>
      <c r="C22" s="146" t="str">
        <f t="shared" si="0"/>
        <v xml:space="preserve"> </v>
      </c>
      <c r="D22" s="92"/>
      <c r="E22" s="92"/>
      <c r="F22" s="92"/>
      <c r="G22" s="92"/>
      <c r="H22" s="92"/>
      <c r="I22" s="92"/>
      <c r="J22" s="92"/>
      <c r="K22" s="92"/>
      <c r="L22" s="95">
        <f>IF(Sheet1!D$193,SUM(D22:K22),NA())</f>
        <v>0</v>
      </c>
      <c r="M22" s="127"/>
    </row>
    <row r="23" spans="1:13" x14ac:dyDescent="0.25">
      <c r="A23" s="147" t="str">
        <f>IF(Sheet1!D$193,IF((A22&gt;=(Sheet1!D$148+$A$17)-1)," ",A22+1),NA())</f>
        <v xml:space="preserve"> </v>
      </c>
      <c r="B23" s="147" t="str">
        <f>IF(Sheet1!D$193,IF((B22&gt;=(Sheet1!D$148+$B$17)-1)," ",B22+1),NA())</f>
        <v xml:space="preserve"> </v>
      </c>
      <c r="C23" s="146" t="str">
        <f t="shared" si="0"/>
        <v xml:space="preserve"> </v>
      </c>
      <c r="D23" s="92"/>
      <c r="E23" s="92"/>
      <c r="F23" s="92"/>
      <c r="G23" s="92"/>
      <c r="H23" s="92"/>
      <c r="I23" s="92"/>
      <c r="J23" s="92"/>
      <c r="K23" s="92"/>
      <c r="L23" s="95">
        <f>IF(Sheet1!D$193,SUM(D23:K23),NA())</f>
        <v>0</v>
      </c>
      <c r="M23" s="127"/>
    </row>
    <row r="24" spans="1:13" x14ac:dyDescent="0.25">
      <c r="A24" s="147" t="str">
        <f>IF(Sheet1!D$193,IF((A23&gt;=(Sheet1!D$148+$A$17)-1)," ",A23+1),NA())</f>
        <v xml:space="preserve"> </v>
      </c>
      <c r="B24" s="147" t="str">
        <f>IF(Sheet1!D$193,IF((B23&gt;=(Sheet1!D$148+$B$17)-1)," ",B23+1),NA())</f>
        <v xml:space="preserve"> </v>
      </c>
      <c r="C24" s="146" t="str">
        <f t="shared" si="0"/>
        <v xml:space="preserve"> </v>
      </c>
      <c r="D24" s="92"/>
      <c r="E24" s="92"/>
      <c r="F24" s="92"/>
      <c r="G24" s="92"/>
      <c r="H24" s="92"/>
      <c r="I24" s="92"/>
      <c r="J24" s="92"/>
      <c r="K24" s="92"/>
      <c r="L24" s="95">
        <f>IF(Sheet1!D$193,SUM(D24:K24),NA())</f>
        <v>0</v>
      </c>
      <c r="M24" s="127"/>
    </row>
    <row r="25" spans="1:13" x14ac:dyDescent="0.25">
      <c r="A25" s="147" t="str">
        <f>IF(Sheet1!D$193,IF((A24&gt;=(Sheet1!D$148+$A$17)-1)," ",A24+1),NA())</f>
        <v xml:space="preserve"> </v>
      </c>
      <c r="B25" s="147" t="str">
        <f>IF(Sheet1!D$193,IF((B24&gt;=(Sheet1!D$148+$B$17)-1)," ",B24+1),NA())</f>
        <v xml:space="preserve"> </v>
      </c>
      <c r="C25" s="146" t="str">
        <f t="shared" si="0"/>
        <v xml:space="preserve"> </v>
      </c>
      <c r="D25" s="92"/>
      <c r="E25" s="92"/>
      <c r="F25" s="92"/>
      <c r="G25" s="92"/>
      <c r="H25" s="92"/>
      <c r="I25" s="92"/>
      <c r="J25" s="92"/>
      <c r="K25" s="92"/>
      <c r="L25" s="95">
        <f>IF(Sheet1!D$193,SUM(D25:K25),NA())</f>
        <v>0</v>
      </c>
      <c r="M25" s="127"/>
    </row>
    <row r="26" spans="1:13" x14ac:dyDescent="0.25">
      <c r="A26" s="147" t="str">
        <f>IF(Sheet1!D$193,IF((A25&gt;=(Sheet1!D$148+$A$17)-1)," ",A25+1),NA())</f>
        <v xml:space="preserve"> </v>
      </c>
      <c r="B26" s="147" t="str">
        <f>IF(Sheet1!D$193,IF((B25&gt;=(Sheet1!D$148+$B$17)-1)," ",B25+1),NA())</f>
        <v xml:space="preserve"> </v>
      </c>
      <c r="C26" s="146" t="str">
        <f t="shared" si="0"/>
        <v xml:space="preserve"> </v>
      </c>
      <c r="D26" s="92"/>
      <c r="E26" s="92"/>
      <c r="F26" s="92"/>
      <c r="G26" s="92"/>
      <c r="H26" s="92"/>
      <c r="I26" s="92"/>
      <c r="J26" s="92"/>
      <c r="K26" s="92"/>
      <c r="L26" s="95">
        <f>IF(Sheet1!D$193,SUM(D26:K26),NA())</f>
        <v>0</v>
      </c>
      <c r="M26" s="127"/>
    </row>
    <row r="27" spans="1:13" x14ac:dyDescent="0.25">
      <c r="A27" s="147" t="str">
        <f>IF(Sheet1!D$193,IF((A26&gt;=(Sheet1!D$148+$A$17)-1)," ",A26+1),NA())</f>
        <v xml:space="preserve"> </v>
      </c>
      <c r="B27" s="147" t="str">
        <f>IF(Sheet1!D$193,IF((B26&gt;=(Sheet1!D$148+$B$17)-1)," ",B26+1),NA())</f>
        <v xml:space="preserve"> </v>
      </c>
      <c r="C27" s="146" t="str">
        <f t="shared" si="0"/>
        <v xml:space="preserve"> </v>
      </c>
      <c r="D27" s="92"/>
      <c r="E27" s="92"/>
      <c r="F27" s="92"/>
      <c r="G27" s="92"/>
      <c r="H27" s="92"/>
      <c r="I27" s="92"/>
      <c r="J27" s="92"/>
      <c r="K27" s="92"/>
      <c r="L27" s="95">
        <f>IF(Sheet1!D$193,SUM(D27:K27),NA())</f>
        <v>0</v>
      </c>
      <c r="M27" s="127"/>
    </row>
    <row r="28" spans="1:13" x14ac:dyDescent="0.25">
      <c r="A28" s="147" t="str">
        <f>IF(Sheet1!D$193,IF((A27&gt;=(Sheet1!D$148+$A$17)-1)," ",A27+1),NA())</f>
        <v xml:space="preserve"> </v>
      </c>
      <c r="B28" s="147" t="str">
        <f>IF(Sheet1!D$193,IF((B27&gt;=(Sheet1!D$148+$B$17)-1)," ",B27+1),NA())</f>
        <v xml:space="preserve"> </v>
      </c>
      <c r="C28" s="146" t="str">
        <f t="shared" si="0"/>
        <v xml:space="preserve"> </v>
      </c>
      <c r="D28" s="92"/>
      <c r="E28" s="92"/>
      <c r="F28" s="92"/>
      <c r="G28" s="92"/>
      <c r="H28" s="92"/>
      <c r="I28" s="92"/>
      <c r="J28" s="92"/>
      <c r="K28" s="92"/>
      <c r="L28" s="95">
        <f>IF(Sheet1!D$193,SUM(D28:K28),NA())</f>
        <v>0</v>
      </c>
      <c r="M28" s="127"/>
    </row>
    <row r="29" spans="1:13" x14ac:dyDescent="0.25">
      <c r="A29" s="147" t="str">
        <f>IF(Sheet1!D$193,IF((A28&gt;=(Sheet1!D$148+$A$17)-1)," ",A28+1),NA())</f>
        <v xml:space="preserve"> </v>
      </c>
      <c r="B29" s="147" t="str">
        <f>IF(Sheet1!D$193,IF((B28&gt;=(Sheet1!D$148+$B$17)-1)," ",B28+1),NA())</f>
        <v xml:space="preserve"> </v>
      </c>
      <c r="C29" s="146" t="str">
        <f t="shared" si="0"/>
        <v xml:space="preserve"> </v>
      </c>
      <c r="D29" s="92"/>
      <c r="E29" s="92"/>
      <c r="F29" s="92"/>
      <c r="G29" s="92"/>
      <c r="H29" s="92"/>
      <c r="I29" s="92"/>
      <c r="J29" s="92"/>
      <c r="K29" s="92"/>
      <c r="L29" s="95">
        <f>IF(Sheet1!D$193,SUM(D29:K29),NA())</f>
        <v>0</v>
      </c>
      <c r="M29" s="127"/>
    </row>
    <row r="30" spans="1:13" x14ac:dyDescent="0.25">
      <c r="A30" s="147" t="str">
        <f>IF(Sheet1!D$193,IF((A29&gt;=(Sheet1!D$148+$A$17)-1)," ",A29+1),NA())</f>
        <v xml:space="preserve"> </v>
      </c>
      <c r="B30" s="147" t="str">
        <f>IF(Sheet1!D$193,IF((B29&gt;=(Sheet1!D$148+$B$17)-1)," ",B29+1),NA())</f>
        <v xml:space="preserve"> </v>
      </c>
      <c r="C30" s="146" t="str">
        <f t="shared" si="0"/>
        <v xml:space="preserve"> </v>
      </c>
      <c r="D30" s="92"/>
      <c r="E30" s="92"/>
      <c r="F30" s="92"/>
      <c r="G30" s="92"/>
      <c r="H30" s="92"/>
      <c r="I30" s="92"/>
      <c r="J30" s="92"/>
      <c r="K30" s="92"/>
      <c r="L30" s="95">
        <f>IF(Sheet1!D$193,SUM(D30:K30),NA())</f>
        <v>0</v>
      </c>
      <c r="M30" s="127"/>
    </row>
    <row r="31" spans="1:13" x14ac:dyDescent="0.25">
      <c r="A31" s="147" t="str">
        <f>IF(Sheet1!D$193,IF((A30&gt;=(Sheet1!D$148+$A$17)-1)," ",A30+1),NA())</f>
        <v xml:space="preserve"> </v>
      </c>
      <c r="B31" s="147" t="str">
        <f>IF(Sheet1!D$193,IF((B30&gt;=(Sheet1!D$148+$B$17)-1)," ",B30+1),NA())</f>
        <v xml:space="preserve"> </v>
      </c>
      <c r="C31" s="146" t="str">
        <f t="shared" si="0"/>
        <v xml:space="preserve"> </v>
      </c>
      <c r="D31" s="92"/>
      <c r="E31" s="92"/>
      <c r="F31" s="92"/>
      <c r="G31" s="92"/>
      <c r="H31" s="92"/>
      <c r="I31" s="92"/>
      <c r="J31" s="92"/>
      <c r="K31" s="92"/>
      <c r="L31" s="95">
        <f>IF(Sheet1!D$193,SUM(D31:K31),NA())</f>
        <v>0</v>
      </c>
      <c r="M31" s="127"/>
    </row>
    <row r="32" spans="1:13" x14ac:dyDescent="0.25">
      <c r="A32" s="147" t="str">
        <f>IF(Sheet1!D$193,IF((A31&gt;=(Sheet1!D$148+$A$17)-1)," ",A31+1),NA())</f>
        <v xml:space="preserve"> </v>
      </c>
      <c r="B32" s="147" t="str">
        <f>IF(Sheet1!D$193,IF((B31&gt;=(Sheet1!D$148+$B$17)-1)," ",B31+1),NA())</f>
        <v xml:space="preserve"> </v>
      </c>
      <c r="C32" s="146" t="str">
        <f t="shared" si="0"/>
        <v xml:space="preserve"> </v>
      </c>
      <c r="D32" s="92"/>
      <c r="E32" s="92"/>
      <c r="F32" s="92"/>
      <c r="G32" s="92"/>
      <c r="H32" s="92"/>
      <c r="I32" s="92"/>
      <c r="J32" s="92"/>
      <c r="K32" s="92"/>
      <c r="L32" s="95">
        <f>IF(Sheet1!D$193,SUM(D32:K32),NA())</f>
        <v>0</v>
      </c>
      <c r="M32" s="127"/>
    </row>
    <row r="33" spans="1:13" x14ac:dyDescent="0.25">
      <c r="A33" s="147" t="str">
        <f>IF(Sheet1!D$193,IF((A32&gt;=(Sheet1!D$148+$A$17)-1)," ",A32+1),NA())</f>
        <v xml:space="preserve"> </v>
      </c>
      <c r="B33" s="147" t="str">
        <f>IF(Sheet1!D$193,IF((B32&gt;=(Sheet1!D$148+$B$17)-1)," ",B32+1),NA())</f>
        <v xml:space="preserve"> </v>
      </c>
      <c r="C33" s="146" t="str">
        <f t="shared" si="0"/>
        <v xml:space="preserve"> </v>
      </c>
      <c r="D33" s="92"/>
      <c r="E33" s="92"/>
      <c r="F33" s="92"/>
      <c r="G33" s="92"/>
      <c r="H33" s="92"/>
      <c r="I33" s="92"/>
      <c r="J33" s="92"/>
      <c r="K33" s="92"/>
      <c r="L33" s="95">
        <f>IF(Sheet1!D$193,SUM(D33:K33),NA())</f>
        <v>0</v>
      </c>
      <c r="M33" s="127"/>
    </row>
    <row r="34" spans="1:13" x14ac:dyDescent="0.25">
      <c r="A34" s="147" t="str">
        <f>IF(Sheet1!D$193,IF((A33&gt;=(Sheet1!D$148+$A$17)-1)," ",A33+1),NA())</f>
        <v xml:space="preserve"> </v>
      </c>
      <c r="B34" s="147" t="str">
        <f>IF(Sheet1!D$193,IF((B33&gt;=(Sheet1!D$148+$B$17)-1)," ",B33+1),NA())</f>
        <v xml:space="preserve"> </v>
      </c>
      <c r="C34" s="146" t="str">
        <f t="shared" si="0"/>
        <v xml:space="preserve"> </v>
      </c>
      <c r="D34" s="92"/>
      <c r="E34" s="92"/>
      <c r="F34" s="92"/>
      <c r="G34" s="92"/>
      <c r="H34" s="92"/>
      <c r="I34" s="92"/>
      <c r="J34" s="92"/>
      <c r="K34" s="92"/>
      <c r="L34" s="95">
        <f>IF(Sheet1!D$193,SUM(D34:K34),NA())</f>
        <v>0</v>
      </c>
      <c r="M34" s="127"/>
    </row>
    <row r="35" spans="1:13" x14ac:dyDescent="0.25">
      <c r="A35" s="147" t="str">
        <f>IF(Sheet1!D$193,IF((A34&gt;=(Sheet1!D$148+$A$17)-1)," ",A34+1),NA())</f>
        <v xml:space="preserve"> </v>
      </c>
      <c r="B35" s="147" t="str">
        <f>IF(Sheet1!D$193,IF((B34&gt;=(Sheet1!D$148+$B$17)-1)," ",B34+1),NA())</f>
        <v xml:space="preserve"> </v>
      </c>
      <c r="C35" s="146" t="str">
        <f t="shared" si="0"/>
        <v xml:space="preserve"> </v>
      </c>
      <c r="D35" s="92"/>
      <c r="E35" s="92"/>
      <c r="F35" s="92"/>
      <c r="G35" s="92"/>
      <c r="H35" s="92"/>
      <c r="I35" s="92"/>
      <c r="J35" s="92"/>
      <c r="K35" s="92"/>
      <c r="L35" s="95">
        <f>IF(Sheet1!D$193,SUM(D35:K35),NA())</f>
        <v>0</v>
      </c>
      <c r="M35" s="127"/>
    </row>
    <row r="36" spans="1:13" x14ac:dyDescent="0.25">
      <c r="A36" s="147" t="str">
        <f>IF(Sheet1!D$193,IF((A35&gt;=(Sheet1!D$148+$A$17)-1)," ",A35+1),NA())</f>
        <v xml:space="preserve"> </v>
      </c>
      <c r="B36" s="147" t="str">
        <f>IF(Sheet1!D$193,IF((B35&gt;=(Sheet1!D$148+$B$17)-1)," ",B35+1),NA())</f>
        <v xml:space="preserve"> </v>
      </c>
      <c r="C36" s="146" t="str">
        <f t="shared" si="0"/>
        <v xml:space="preserve"> </v>
      </c>
      <c r="D36" s="92"/>
      <c r="E36" s="92"/>
      <c r="F36" s="92"/>
      <c r="G36" s="92"/>
      <c r="H36" s="92"/>
      <c r="I36" s="92"/>
      <c r="J36" s="92"/>
      <c r="K36" s="92"/>
      <c r="L36" s="95">
        <f>IF(Sheet1!D$193,SUM(D36:K36),NA())</f>
        <v>0</v>
      </c>
      <c r="M36" s="127"/>
    </row>
    <row r="37" spans="1:13" x14ac:dyDescent="0.25">
      <c r="A37" s="147" t="str">
        <f>IF(Sheet1!D$193,IF((A36&gt;=(Sheet1!D$148+$A$17)-1)," ",A36+1),NA())</f>
        <v xml:space="preserve"> </v>
      </c>
      <c r="B37" s="147" t="str">
        <f>IF(Sheet1!D$193,IF((B36&gt;=(Sheet1!D$148+$B$17)-1)," ",B36+1),NA())</f>
        <v xml:space="preserve"> </v>
      </c>
      <c r="C37" s="146" t="str">
        <f t="shared" si="0"/>
        <v xml:space="preserve"> </v>
      </c>
      <c r="D37" s="92"/>
      <c r="E37" s="92"/>
      <c r="F37" s="92"/>
      <c r="G37" s="92"/>
      <c r="H37" s="92"/>
      <c r="I37" s="92"/>
      <c r="J37" s="92"/>
      <c r="K37" s="92"/>
      <c r="L37" s="95">
        <f>IF(Sheet1!D$193,SUM(D37:K37),NA())</f>
        <v>0</v>
      </c>
      <c r="M37" s="127"/>
    </row>
    <row r="38" spans="1:13" x14ac:dyDescent="0.25">
      <c r="A38" s="147" t="str">
        <f>IF(Sheet1!D$193,IF((A37&gt;=(Sheet1!D$148+$A$17)-1)," ",A37+1),NA())</f>
        <v xml:space="preserve"> </v>
      </c>
      <c r="B38" s="147" t="str">
        <f>IF(Sheet1!D$193,IF((B37&gt;=(Sheet1!D$148+$B$17)-1)," ",B37+1),NA())</f>
        <v xml:space="preserve"> </v>
      </c>
      <c r="C38" s="146" t="str">
        <f t="shared" si="0"/>
        <v xml:space="preserve"> </v>
      </c>
      <c r="D38" s="92"/>
      <c r="E38" s="92"/>
      <c r="F38" s="92"/>
      <c r="G38" s="92"/>
      <c r="H38" s="92"/>
      <c r="I38" s="92"/>
      <c r="J38" s="92"/>
      <c r="K38" s="92"/>
      <c r="L38" s="95">
        <f>IF(Sheet1!D$193,SUM(D38:K38),NA())</f>
        <v>0</v>
      </c>
      <c r="M38" s="127"/>
    </row>
    <row r="39" spans="1:13" x14ac:dyDescent="0.25">
      <c r="A39" s="147" t="str">
        <f>IF(Sheet1!D$193,IF((A38&gt;=(Sheet1!D$148+$A$17)-1)," ",A38+1),NA())</f>
        <v xml:space="preserve"> </v>
      </c>
      <c r="B39" s="147" t="str">
        <f>IF(Sheet1!D$193,IF((B38&gt;=(Sheet1!D$148+$B$17)-1)," ",B38+1),NA())</f>
        <v xml:space="preserve"> </v>
      </c>
      <c r="C39" s="146" t="str">
        <f t="shared" si="0"/>
        <v xml:space="preserve"> </v>
      </c>
      <c r="D39" s="92"/>
      <c r="E39" s="92"/>
      <c r="F39" s="92"/>
      <c r="G39" s="92"/>
      <c r="H39" s="92"/>
      <c r="I39" s="92"/>
      <c r="J39" s="92"/>
      <c r="K39" s="92"/>
      <c r="L39" s="95">
        <f>IF(Sheet1!D$193,SUM(D39:K39),NA())</f>
        <v>0</v>
      </c>
      <c r="M39" s="127"/>
    </row>
    <row r="40" spans="1:13" x14ac:dyDescent="0.25">
      <c r="A40" s="147" t="str">
        <f>IF(Sheet1!D$193,IF((A39&gt;=(Sheet1!D$148+$A$17)-1)," ",A39+1),NA())</f>
        <v xml:space="preserve"> </v>
      </c>
      <c r="B40" s="147" t="str">
        <f>IF(Sheet1!D$193,IF((B39&gt;=(Sheet1!D$148+$B$17)-1)," ",B39+1),NA())</f>
        <v xml:space="preserve"> </v>
      </c>
      <c r="C40" s="146" t="str">
        <f t="shared" si="0"/>
        <v xml:space="preserve"> </v>
      </c>
      <c r="D40" s="92"/>
      <c r="E40" s="92"/>
      <c r="F40" s="92"/>
      <c r="G40" s="92"/>
      <c r="H40" s="92"/>
      <c r="I40" s="92"/>
      <c r="J40" s="92"/>
      <c r="K40" s="92"/>
      <c r="L40" s="95">
        <f>IF(Sheet1!D$193,SUM(D40:K40),NA())</f>
        <v>0</v>
      </c>
      <c r="M40" s="127"/>
    </row>
    <row r="41" spans="1:13" x14ac:dyDescent="0.25">
      <c r="A41" s="147" t="str">
        <f>IF(Sheet1!D$193,IF((A40&gt;=(Sheet1!D$148+$A$17)-1)," ",A40+1),NA())</f>
        <v xml:space="preserve"> </v>
      </c>
      <c r="B41" s="147" t="str">
        <f>IF(Sheet1!D$193,IF((B40&gt;=(Sheet1!D$148+$B$17)-1)," ",B40+1),NA())</f>
        <v xml:space="preserve"> </v>
      </c>
      <c r="C41" s="146" t="str">
        <f t="shared" si="0"/>
        <v xml:space="preserve"> </v>
      </c>
      <c r="D41" s="92"/>
      <c r="E41" s="92"/>
      <c r="F41" s="92"/>
      <c r="G41" s="92"/>
      <c r="H41" s="92"/>
      <c r="I41" s="92"/>
      <c r="J41" s="92"/>
      <c r="K41" s="92"/>
      <c r="L41" s="95">
        <f>IF(Sheet1!D$193,SUM(D41:K41),NA())</f>
        <v>0</v>
      </c>
      <c r="M41" s="127"/>
    </row>
    <row r="42" spans="1:13" x14ac:dyDescent="0.25">
      <c r="A42" s="147" t="str">
        <f>IF(Sheet1!D$193,IF((A41&gt;=(Sheet1!D$148+$A$17)-1)," ",A41+1),NA())</f>
        <v xml:space="preserve"> </v>
      </c>
      <c r="B42" s="147" t="str">
        <f>IF(Sheet1!D$193,IF((B41&gt;=(Sheet1!D$148+$B$17)-1)," ",B41+1),NA())</f>
        <v xml:space="preserve"> </v>
      </c>
      <c r="C42" s="146" t="str">
        <f t="shared" si="0"/>
        <v xml:space="preserve"> </v>
      </c>
      <c r="D42" s="92"/>
      <c r="E42" s="92"/>
      <c r="F42" s="92"/>
      <c r="G42" s="92"/>
      <c r="H42" s="92"/>
      <c r="I42" s="92"/>
      <c r="J42" s="92"/>
      <c r="K42" s="92"/>
      <c r="L42" s="95">
        <f>IF(Sheet1!D$193,SUM(D42:K42),NA())</f>
        <v>0</v>
      </c>
      <c r="M42" s="127"/>
    </row>
    <row r="43" spans="1:13" x14ac:dyDescent="0.25">
      <c r="A43" s="147" t="str">
        <f>IF(Sheet1!D$193,IF((A42&gt;=(Sheet1!D$148+$A$17)-1)," ",A42+1),NA())</f>
        <v xml:space="preserve"> </v>
      </c>
      <c r="B43" s="147" t="str">
        <f>IF(Sheet1!D$193,IF((B42&gt;=(Sheet1!D$148+$B$17)-1)," ",B42+1),NA())</f>
        <v xml:space="preserve"> </v>
      </c>
      <c r="C43" s="146" t="str">
        <f t="shared" si="0"/>
        <v xml:space="preserve"> </v>
      </c>
      <c r="D43" s="92"/>
      <c r="E43" s="92"/>
      <c r="F43" s="92"/>
      <c r="G43" s="92"/>
      <c r="H43" s="92"/>
      <c r="I43" s="92"/>
      <c r="J43" s="92"/>
      <c r="K43" s="92"/>
      <c r="L43" s="95">
        <f>IF(Sheet1!D$193,SUM(D43:K43),NA())</f>
        <v>0</v>
      </c>
      <c r="M43" s="127"/>
    </row>
    <row r="44" spans="1:13" x14ac:dyDescent="0.25">
      <c r="A44" s="147" t="str">
        <f>IF(Sheet1!D$193,IF((A43&gt;=(Sheet1!D$148+$A$17)-1)," ",A43+1),NA())</f>
        <v xml:space="preserve"> </v>
      </c>
      <c r="B44" s="147" t="str">
        <f>IF(Sheet1!D$193,IF((B43&gt;=(Sheet1!D$148+$B$17)-1)," ",B43+1),NA())</f>
        <v xml:space="preserve"> </v>
      </c>
      <c r="C44" s="146" t="str">
        <f t="shared" si="0"/>
        <v xml:space="preserve"> </v>
      </c>
      <c r="D44" s="92"/>
      <c r="E44" s="92"/>
      <c r="F44" s="92"/>
      <c r="G44" s="92"/>
      <c r="H44" s="92"/>
      <c r="I44" s="92"/>
      <c r="J44" s="92"/>
      <c r="K44" s="92"/>
      <c r="L44" s="95">
        <f>IF(Sheet1!D$193,SUM(D44:K44),NA())</f>
        <v>0</v>
      </c>
      <c r="M44" s="127"/>
    </row>
    <row r="45" spans="1:13" x14ac:dyDescent="0.25">
      <c r="A45" s="147" t="str">
        <f>IF(Sheet1!D$193,IF((A44&gt;=(Sheet1!D$148+$A$17)-1)," ",A44+1),NA())</f>
        <v xml:space="preserve"> </v>
      </c>
      <c r="B45" s="147" t="str">
        <f>IF(Sheet1!D$193,IF((B44&gt;=(Sheet1!D$148+$B$17)-1)," ",B44+1),NA())</f>
        <v xml:space="preserve"> </v>
      </c>
      <c r="C45" s="146" t="str">
        <f t="shared" si="0"/>
        <v xml:space="preserve"> </v>
      </c>
      <c r="D45" s="92"/>
      <c r="E45" s="92"/>
      <c r="F45" s="92"/>
      <c r="G45" s="92"/>
      <c r="H45" s="92"/>
      <c r="I45" s="92"/>
      <c r="J45" s="92"/>
      <c r="K45" s="92"/>
      <c r="L45" s="95">
        <f>IF(Sheet1!D$193,SUM(D45:K45),NA())</f>
        <v>0</v>
      </c>
      <c r="M45" s="127"/>
    </row>
    <row r="46" spans="1:13" x14ac:dyDescent="0.25">
      <c r="A46" s="147" t="str">
        <f>IF(Sheet1!D$193,IF((A45&gt;=(Sheet1!D$148+$A$17)-1)," ",A45+1),NA())</f>
        <v xml:space="preserve"> </v>
      </c>
      <c r="B46" s="147" t="str">
        <f>IF(Sheet1!D$193,IF((B45&gt;=(Sheet1!D$148+$B$17)-1)," ",B45+1),NA())</f>
        <v xml:space="preserve"> </v>
      </c>
      <c r="C46" s="146" t="str">
        <f t="shared" si="0"/>
        <v xml:space="preserve"> </v>
      </c>
      <c r="D46" s="92"/>
      <c r="E46" s="92"/>
      <c r="F46" s="92"/>
      <c r="G46" s="92"/>
      <c r="H46" s="92"/>
      <c r="I46" s="92"/>
      <c r="J46" s="92"/>
      <c r="K46" s="92"/>
      <c r="L46" s="95">
        <f>IF(Sheet1!D$193,SUM(D46:K46),NA())</f>
        <v>0</v>
      </c>
      <c r="M46" s="127"/>
    </row>
    <row r="47" spans="1:13" x14ac:dyDescent="0.25">
      <c r="A47" s="147" t="str">
        <f>IF(Sheet1!D$193,IF((A46&gt;=(Sheet1!D$148+$A$17)-1)," ",A46+1),NA())</f>
        <v xml:space="preserve"> </v>
      </c>
      <c r="B47" s="147" t="str">
        <f>IF(Sheet1!D$193,IF((B46&gt;=(Sheet1!D$148+$B$17)-1)," ",B46+1),NA())</f>
        <v xml:space="preserve"> </v>
      </c>
      <c r="C47" s="146" t="str">
        <f t="shared" si="0"/>
        <v xml:space="preserve"> </v>
      </c>
      <c r="D47" s="92"/>
      <c r="E47" s="92"/>
      <c r="F47" s="92"/>
      <c r="G47" s="92"/>
      <c r="H47" s="92"/>
      <c r="I47" s="92"/>
      <c r="J47" s="92"/>
      <c r="K47" s="92"/>
      <c r="L47" s="95">
        <f>IF(Sheet1!D$193,SUM(D47:K47),NA())</f>
        <v>0</v>
      </c>
      <c r="M47" s="127"/>
    </row>
    <row r="48" spans="1:13" x14ac:dyDescent="0.25">
      <c r="A48" s="147" t="str">
        <f>IF(Sheet1!D$193,IF((A47&gt;=(Sheet1!D$148+$A$17)-1)," ",A47+1),NA())</f>
        <v xml:space="preserve"> </v>
      </c>
      <c r="B48" s="147" t="str">
        <f>IF(Sheet1!D$193,IF((B47&gt;=(Sheet1!D$148+$B$17)-1)," ",B47+1),NA())</f>
        <v xml:space="preserve"> </v>
      </c>
      <c r="C48" s="146" t="str">
        <f t="shared" si="0"/>
        <v xml:space="preserve"> </v>
      </c>
      <c r="D48" s="92"/>
      <c r="E48" s="92"/>
      <c r="F48" s="92"/>
      <c r="G48" s="92"/>
      <c r="H48" s="92"/>
      <c r="I48" s="92"/>
      <c r="J48" s="92"/>
      <c r="K48" s="92"/>
      <c r="L48" s="95">
        <f>IF(Sheet1!D$193,SUM(D48:K48),NA())</f>
        <v>0</v>
      </c>
      <c r="M48" s="127"/>
    </row>
    <row r="49" spans="1:13" x14ac:dyDescent="0.25">
      <c r="A49" s="147" t="str">
        <f>IF(Sheet1!D$193,IF((A48&gt;=(Sheet1!D$148+$A$17)-1)," ",A48+1),NA())</f>
        <v xml:space="preserve"> </v>
      </c>
      <c r="B49" s="147" t="str">
        <f>IF(Sheet1!D$193,IF((B48&gt;=(Sheet1!D$148+$B$17)-1)," ",B48+1),NA())</f>
        <v xml:space="preserve"> </v>
      </c>
      <c r="C49" s="146" t="str">
        <f t="shared" ref="C49:C66" si="1">IF(AND(OR(A49=" ",A49="#NA"),OR(D49&lt;&gt;0,E49&lt;&gt;0,F49&lt;&gt;0,G49&lt;&gt;0,H49&lt;&gt;0,I49&lt;&gt;0,J49&lt;&gt;0,K49&lt;&gt;0)),"Clear=&gt;"," ")</f>
        <v xml:space="preserve"> </v>
      </c>
      <c r="D49" s="92"/>
      <c r="E49" s="92"/>
      <c r="F49" s="92"/>
      <c r="G49" s="92"/>
      <c r="H49" s="92"/>
      <c r="I49" s="92"/>
      <c r="J49" s="92"/>
      <c r="K49" s="92"/>
      <c r="L49" s="95">
        <f>IF(Sheet1!D$193,SUM(D49:K49),NA())</f>
        <v>0</v>
      </c>
      <c r="M49" s="127"/>
    </row>
    <row r="50" spans="1:13" x14ac:dyDescent="0.25">
      <c r="A50" s="147" t="str">
        <f>IF(Sheet1!D$193,IF((A49&gt;=(Sheet1!D$148+$A$17)-1)," ",A49+1),NA())</f>
        <v xml:space="preserve"> </v>
      </c>
      <c r="B50" s="147" t="str">
        <f>IF(Sheet1!D$193,IF((B49&gt;=(Sheet1!D$148+$B$17)-1)," ",B49+1),NA())</f>
        <v xml:space="preserve"> </v>
      </c>
      <c r="C50" s="146" t="str">
        <f t="shared" si="1"/>
        <v xml:space="preserve"> </v>
      </c>
      <c r="D50" s="92"/>
      <c r="E50" s="92"/>
      <c r="F50" s="92"/>
      <c r="G50" s="92"/>
      <c r="H50" s="92"/>
      <c r="I50" s="92"/>
      <c r="J50" s="92"/>
      <c r="K50" s="92"/>
      <c r="L50" s="95">
        <f>IF(Sheet1!D$193,SUM(D50:K50),NA())</f>
        <v>0</v>
      </c>
      <c r="M50" s="127"/>
    </row>
    <row r="51" spans="1:13" x14ac:dyDescent="0.25">
      <c r="A51" s="147" t="str">
        <f>IF(Sheet1!D$193,IF((A50&gt;=(Sheet1!D$148+$A$17)-1)," ",A50+1),NA())</f>
        <v xml:space="preserve"> </v>
      </c>
      <c r="B51" s="147" t="str">
        <f>IF(Sheet1!D$193,IF((B50&gt;=(Sheet1!D$148+$B$17)-1)," ",B50+1),NA())</f>
        <v xml:space="preserve"> </v>
      </c>
      <c r="C51" s="146" t="str">
        <f t="shared" si="1"/>
        <v xml:space="preserve"> </v>
      </c>
      <c r="D51" s="92"/>
      <c r="E51" s="92"/>
      <c r="F51" s="92"/>
      <c r="G51" s="92"/>
      <c r="H51" s="92"/>
      <c r="I51" s="92"/>
      <c r="J51" s="92"/>
      <c r="K51" s="92"/>
      <c r="L51" s="95">
        <f>IF(Sheet1!D$193,SUM(D51:K51),NA())</f>
        <v>0</v>
      </c>
      <c r="M51" s="127"/>
    </row>
    <row r="52" spans="1:13" x14ac:dyDescent="0.25">
      <c r="A52" s="147" t="str">
        <f>IF(Sheet1!D$193,IF((A51&gt;=(Sheet1!D$148+$A$17)-1)," ",A51+1),NA())</f>
        <v xml:space="preserve"> </v>
      </c>
      <c r="B52" s="147" t="str">
        <f>IF(Sheet1!D$193,IF((B51&gt;=(Sheet1!D$148+$B$17)-1)," ",B51+1),NA())</f>
        <v xml:space="preserve"> </v>
      </c>
      <c r="C52" s="146" t="str">
        <f t="shared" si="1"/>
        <v xml:space="preserve"> </v>
      </c>
      <c r="D52" s="92"/>
      <c r="E52" s="92"/>
      <c r="F52" s="92"/>
      <c r="G52" s="92"/>
      <c r="H52" s="92"/>
      <c r="I52" s="92"/>
      <c r="J52" s="92"/>
      <c r="K52" s="92"/>
      <c r="L52" s="95">
        <f>IF(Sheet1!D$193,SUM(D52:K52),NA())</f>
        <v>0</v>
      </c>
      <c r="M52" s="127"/>
    </row>
    <row r="53" spans="1:13" x14ac:dyDescent="0.25">
      <c r="A53" s="147" t="str">
        <f>IF(Sheet1!D$193,IF((A52&gt;=(Sheet1!D$148+$A$17)-1)," ",A52+1),NA())</f>
        <v xml:space="preserve"> </v>
      </c>
      <c r="B53" s="147" t="str">
        <f>IF(Sheet1!D$193,IF((B52&gt;=(Sheet1!D$148+$B$17)-1)," ",B52+1),NA())</f>
        <v xml:space="preserve"> </v>
      </c>
      <c r="C53" s="146" t="str">
        <f t="shared" si="1"/>
        <v xml:space="preserve"> </v>
      </c>
      <c r="D53" s="92"/>
      <c r="E53" s="92"/>
      <c r="F53" s="92"/>
      <c r="G53" s="92"/>
      <c r="H53" s="92"/>
      <c r="I53" s="92"/>
      <c r="J53" s="92"/>
      <c r="K53" s="92"/>
      <c r="L53" s="95">
        <f>IF(Sheet1!D$193,SUM(D53:K53),NA())</f>
        <v>0</v>
      </c>
      <c r="M53" s="127"/>
    </row>
    <row r="54" spans="1:13" x14ac:dyDescent="0.25">
      <c r="A54" s="147" t="str">
        <f>IF(Sheet1!D$193,IF((A53&gt;=(Sheet1!D$148+$A$17)-1)," ",A53+1),NA())</f>
        <v xml:space="preserve"> </v>
      </c>
      <c r="B54" s="147" t="str">
        <f>IF(Sheet1!D$193,IF((B53&gt;=(Sheet1!D$148+$B$17)-1)," ",B53+1),NA())</f>
        <v xml:space="preserve"> </v>
      </c>
      <c r="C54" s="146" t="str">
        <f t="shared" si="1"/>
        <v xml:space="preserve"> </v>
      </c>
      <c r="D54" s="92"/>
      <c r="E54" s="92"/>
      <c r="F54" s="92"/>
      <c r="G54" s="92"/>
      <c r="H54" s="92"/>
      <c r="I54" s="92"/>
      <c r="J54" s="92"/>
      <c r="K54" s="92"/>
      <c r="L54" s="95">
        <f>IF(Sheet1!D$193,SUM(D54:K54),NA())</f>
        <v>0</v>
      </c>
      <c r="M54" s="127"/>
    </row>
    <row r="55" spans="1:13" x14ac:dyDescent="0.25">
      <c r="A55" s="147" t="str">
        <f>IF(Sheet1!D$193,IF((A54&gt;=(Sheet1!D$148+$A$17)-1)," ",A54+1),NA())</f>
        <v xml:space="preserve"> </v>
      </c>
      <c r="B55" s="147" t="str">
        <f>IF(Sheet1!D$193,IF((B54&gt;=(Sheet1!D$148+$B$17)-1)," ",B54+1),NA())</f>
        <v xml:space="preserve"> </v>
      </c>
      <c r="C55" s="146" t="str">
        <f t="shared" si="1"/>
        <v xml:space="preserve"> </v>
      </c>
      <c r="D55" s="92"/>
      <c r="E55" s="92"/>
      <c r="F55" s="92"/>
      <c r="G55" s="92"/>
      <c r="H55" s="92"/>
      <c r="I55" s="92"/>
      <c r="J55" s="92"/>
      <c r="K55" s="92"/>
      <c r="L55" s="95">
        <f>IF(Sheet1!D$193,SUM(D55:K55),NA())</f>
        <v>0</v>
      </c>
      <c r="M55" s="127"/>
    </row>
    <row r="56" spans="1:13" x14ac:dyDescent="0.25">
      <c r="A56" s="147" t="str">
        <f>IF(Sheet1!D$193,IF((A55&gt;=(Sheet1!D$148+$A$17)-1)," ",A55+1),NA())</f>
        <v xml:space="preserve"> </v>
      </c>
      <c r="B56" s="147" t="str">
        <f>IF(Sheet1!D$193,IF((B55&gt;=(Sheet1!D$148+$B$17)-1)," ",B55+1),NA())</f>
        <v xml:space="preserve"> </v>
      </c>
      <c r="C56" s="146" t="str">
        <f t="shared" si="1"/>
        <v xml:space="preserve"> </v>
      </c>
      <c r="D56" s="92"/>
      <c r="E56" s="92"/>
      <c r="F56" s="92"/>
      <c r="G56" s="92"/>
      <c r="H56" s="92"/>
      <c r="I56" s="92"/>
      <c r="J56" s="92"/>
      <c r="K56" s="92"/>
      <c r="L56" s="95">
        <f>IF(Sheet1!D$193,SUM(D56:K56),NA())</f>
        <v>0</v>
      </c>
      <c r="M56" s="127"/>
    </row>
    <row r="57" spans="1:13" x14ac:dyDescent="0.25">
      <c r="A57" s="147" t="str">
        <f>IF(Sheet1!D$193,IF((A56&gt;=(Sheet1!D$148+$A$17)-1)," ",A56+1),NA())</f>
        <v xml:space="preserve"> </v>
      </c>
      <c r="B57" s="147" t="str">
        <f>IF(Sheet1!D$193,IF((B56&gt;=(Sheet1!D$148+$B$17)-1)," ",B56+1),NA())</f>
        <v xml:space="preserve"> </v>
      </c>
      <c r="C57" s="146" t="str">
        <f t="shared" si="1"/>
        <v xml:space="preserve"> </v>
      </c>
      <c r="D57" s="92"/>
      <c r="E57" s="92"/>
      <c r="F57" s="92"/>
      <c r="G57" s="92"/>
      <c r="H57" s="92"/>
      <c r="I57" s="92"/>
      <c r="J57" s="92"/>
      <c r="K57" s="92"/>
      <c r="L57" s="95">
        <f>IF(Sheet1!D$193,SUM(D57:K57),NA())</f>
        <v>0</v>
      </c>
      <c r="M57" s="127"/>
    </row>
    <row r="58" spans="1:13" x14ac:dyDescent="0.25">
      <c r="A58" s="147" t="str">
        <f>IF(Sheet1!D$193,IF((A57&gt;=(Sheet1!D$148+$A$17)-1)," ",A57+1),NA())</f>
        <v xml:space="preserve"> </v>
      </c>
      <c r="B58" s="147" t="str">
        <f>IF(Sheet1!D$193,IF((B57&gt;=(Sheet1!D$148+$B$17)-1)," ",B57+1),NA())</f>
        <v xml:space="preserve"> </v>
      </c>
      <c r="C58" s="146" t="str">
        <f t="shared" si="1"/>
        <v xml:space="preserve"> </v>
      </c>
      <c r="D58" s="92"/>
      <c r="E58" s="92"/>
      <c r="F58" s="92"/>
      <c r="G58" s="92"/>
      <c r="H58" s="92"/>
      <c r="I58" s="92"/>
      <c r="J58" s="92"/>
      <c r="K58" s="92"/>
      <c r="L58" s="95">
        <f>IF(Sheet1!D$193,SUM(D58:K58),NA())</f>
        <v>0</v>
      </c>
      <c r="M58" s="127"/>
    </row>
    <row r="59" spans="1:13" x14ac:dyDescent="0.25">
      <c r="A59" s="147" t="str">
        <f>IF(Sheet1!D$193,IF((A58&gt;=(Sheet1!D$148+$A$17)-1)," ",A58+1),NA())</f>
        <v xml:space="preserve"> </v>
      </c>
      <c r="B59" s="147" t="str">
        <f>IF(Sheet1!D$193,IF((B58&gt;=(Sheet1!D$148+$B$17)-1)," ",B58+1),NA())</f>
        <v xml:space="preserve"> </v>
      </c>
      <c r="C59" s="146" t="str">
        <f t="shared" si="1"/>
        <v xml:space="preserve"> </v>
      </c>
      <c r="D59" s="92"/>
      <c r="E59" s="92"/>
      <c r="F59" s="92"/>
      <c r="G59" s="92"/>
      <c r="H59" s="92"/>
      <c r="I59" s="92"/>
      <c r="J59" s="92"/>
      <c r="K59" s="92"/>
      <c r="L59" s="95">
        <f>IF(Sheet1!D$193,SUM(D59:K59),NA())</f>
        <v>0</v>
      </c>
      <c r="M59" s="127"/>
    </row>
    <row r="60" spans="1:13" x14ac:dyDescent="0.25">
      <c r="A60" s="147" t="str">
        <f>IF(Sheet1!D$193,IF((A59&gt;=(Sheet1!D$148+$A$17)-1)," ",A59+1),NA())</f>
        <v xml:space="preserve"> </v>
      </c>
      <c r="B60" s="147" t="str">
        <f>IF(Sheet1!D$193,IF((B59&gt;=(Sheet1!D$148+$B$17)-1)," ",B59+1),NA())</f>
        <v xml:space="preserve"> </v>
      </c>
      <c r="C60" s="146" t="str">
        <f t="shared" si="1"/>
        <v xml:space="preserve"> </v>
      </c>
      <c r="D60" s="92"/>
      <c r="E60" s="92"/>
      <c r="F60" s="92"/>
      <c r="G60" s="92"/>
      <c r="H60" s="92"/>
      <c r="I60" s="92"/>
      <c r="J60" s="92"/>
      <c r="K60" s="92"/>
      <c r="L60" s="95">
        <f>IF(Sheet1!D$193,SUM(D60:K60),NA())</f>
        <v>0</v>
      </c>
      <c r="M60" s="127"/>
    </row>
    <row r="61" spans="1:13" x14ac:dyDescent="0.25">
      <c r="A61" s="147" t="str">
        <f>IF(Sheet1!D$193,IF((A60&gt;=(Sheet1!D$148+$A$17)-1)," ",A60+1),NA())</f>
        <v xml:space="preserve"> </v>
      </c>
      <c r="B61" s="147" t="str">
        <f>IF(Sheet1!D$193,IF((B60&gt;=(Sheet1!D$148+$B$17)-1)," ",B60+1),NA())</f>
        <v xml:space="preserve"> </v>
      </c>
      <c r="C61" s="146" t="str">
        <f t="shared" si="1"/>
        <v xml:space="preserve"> </v>
      </c>
      <c r="D61" s="92"/>
      <c r="E61" s="92"/>
      <c r="F61" s="92"/>
      <c r="G61" s="92"/>
      <c r="H61" s="92"/>
      <c r="I61" s="92"/>
      <c r="J61" s="92"/>
      <c r="K61" s="92"/>
      <c r="L61" s="95">
        <f>IF(Sheet1!D$193,SUM(D61:K61),NA())</f>
        <v>0</v>
      </c>
      <c r="M61" s="127"/>
    </row>
    <row r="62" spans="1:13" x14ac:dyDescent="0.25">
      <c r="A62" s="147" t="str">
        <f>IF(Sheet1!D$193,IF((A61&gt;=(Sheet1!D$148+$A$17)-1)," ",A61+1),NA())</f>
        <v xml:space="preserve"> </v>
      </c>
      <c r="B62" s="147" t="str">
        <f>IF(Sheet1!D$193,IF((B61&gt;=(Sheet1!D$148+$B$17)-1)," ",B61+1),NA())</f>
        <v xml:space="preserve"> </v>
      </c>
      <c r="C62" s="146" t="str">
        <f t="shared" si="1"/>
        <v xml:space="preserve"> </v>
      </c>
      <c r="D62" s="92"/>
      <c r="E62" s="92"/>
      <c r="F62" s="92"/>
      <c r="G62" s="92"/>
      <c r="H62" s="92"/>
      <c r="I62" s="92"/>
      <c r="J62" s="92"/>
      <c r="K62" s="92"/>
      <c r="L62" s="95">
        <f>IF(Sheet1!D$193,SUM(D62:K62),NA())</f>
        <v>0</v>
      </c>
      <c r="M62" s="127"/>
    </row>
    <row r="63" spans="1:13" ht="13.8" thickBot="1" x14ac:dyDescent="0.3">
      <c r="A63" s="147" t="str">
        <f>IF(Sheet1!D$193,IF((A62&gt;=(Sheet1!D$148+$A$17)-1)," ",A62+1),NA())</f>
        <v xml:space="preserve"> </v>
      </c>
      <c r="B63" s="147" t="str">
        <f>IF(Sheet1!D$193,IF((B62&gt;=(Sheet1!D$148+$B$17)-1)," ",B62+1),NA())</f>
        <v xml:space="preserve"> </v>
      </c>
      <c r="C63" s="146" t="str">
        <f t="shared" si="1"/>
        <v xml:space="preserve"> </v>
      </c>
      <c r="D63" s="92"/>
      <c r="E63" s="92"/>
      <c r="F63" s="92"/>
      <c r="G63" s="92"/>
      <c r="H63" s="92"/>
      <c r="I63" s="92"/>
      <c r="J63" s="92"/>
      <c r="K63" s="92"/>
      <c r="L63" s="95">
        <f>IF(Sheet1!D$193,SUM(D63:K63),NA())</f>
        <v>0</v>
      </c>
      <c r="M63" s="127"/>
    </row>
    <row r="64" spans="1:13" ht="13.8" hidden="1" thickBot="1" x14ac:dyDescent="0.3">
      <c r="A64" s="147" t="str">
        <f>IF(Sheet1!D$193,IF((A63&gt;=(Sheet1!D$148+$A$17)-1)," ",A63+1),NA())</f>
        <v xml:space="preserve"> </v>
      </c>
      <c r="B64" s="147" t="str">
        <f>IF(Sheet1!D$193,IF((B63&gt;=(Sheet1!D$148+$B$17)-1)," ",B63+1),NA())</f>
        <v xml:space="preserve"> </v>
      </c>
      <c r="C64" s="146" t="str">
        <f t="shared" si="1"/>
        <v xml:space="preserve"> </v>
      </c>
      <c r="D64" s="92"/>
      <c r="E64" s="92"/>
      <c r="F64" s="92"/>
      <c r="G64" s="92"/>
      <c r="H64" s="92"/>
      <c r="I64" s="92"/>
      <c r="J64" s="92"/>
      <c r="K64" s="92"/>
      <c r="L64" s="95">
        <f>IF(Sheet1!D$193,SUM(D64:K64),NA())</f>
        <v>0</v>
      </c>
      <c r="M64" s="127"/>
    </row>
    <row r="65" spans="1:13" ht="13.8" hidden="1" thickBot="1" x14ac:dyDescent="0.3">
      <c r="A65" s="147" t="str">
        <f>IF(Sheet1!D$193,IF((A64&gt;=(Sheet1!D$148+$A$17)-1)," ",A64+1),NA())</f>
        <v xml:space="preserve"> </v>
      </c>
      <c r="B65" s="147" t="str">
        <f>IF(Sheet1!D$193,IF((B64&gt;=(Sheet1!D$148+$B$17)-1)," ",B64+1),NA())</f>
        <v xml:space="preserve"> </v>
      </c>
      <c r="C65" s="146" t="str">
        <f t="shared" si="1"/>
        <v xml:space="preserve"> </v>
      </c>
      <c r="D65" s="92"/>
      <c r="E65" s="92"/>
      <c r="F65" s="92"/>
      <c r="G65" s="92"/>
      <c r="H65" s="92"/>
      <c r="I65" s="92"/>
      <c r="J65" s="92"/>
      <c r="K65" s="92"/>
      <c r="L65" s="95">
        <f>IF(Sheet1!D$193,SUM(D65:K65),NA())</f>
        <v>0</v>
      </c>
      <c r="M65" s="127"/>
    </row>
    <row r="66" spans="1:13" ht="13.8" hidden="1" thickBot="1" x14ac:dyDescent="0.3">
      <c r="A66" s="147" t="str">
        <f>IF(Sheet1!D$193,IF((A65&gt;=(Sheet1!D$148+$A$17)-1)," ",A65+1),NA())</f>
        <v xml:space="preserve"> </v>
      </c>
      <c r="B66" s="147" t="str">
        <f>IF(Sheet1!D$193,IF((B65&gt;=(Sheet1!D$148+$B$17)-1)," ",B65+1),NA())</f>
        <v xml:space="preserve"> </v>
      </c>
      <c r="C66" s="146" t="str">
        <f t="shared" si="1"/>
        <v xml:space="preserve"> </v>
      </c>
      <c r="D66" s="92"/>
      <c r="E66" s="92"/>
      <c r="F66" s="92"/>
      <c r="G66" s="92"/>
      <c r="H66" s="92"/>
      <c r="I66" s="92"/>
      <c r="J66" s="92"/>
      <c r="K66" s="92"/>
      <c r="L66" s="95">
        <f>IF(Sheet1!D$193,SUM(D66:K66),NA())</f>
        <v>0</v>
      </c>
      <c r="M66" s="127"/>
    </row>
    <row r="67" spans="1:13" ht="13.8" thickTop="1" x14ac:dyDescent="0.25">
      <c r="A67" s="146" t="s">
        <v>267</v>
      </c>
      <c r="B67" s="150"/>
      <c r="C67" s="150"/>
      <c r="D67" s="97">
        <f>IF(Sheet1!D$193,SUM(D17:D66),NA())</f>
        <v>0</v>
      </c>
      <c r="E67" s="97">
        <f>IF(Sheet1!D$193,SUM(E17:E66),NA())</f>
        <v>0</v>
      </c>
      <c r="F67" s="97">
        <f>IF(Sheet1!D$193,SUM(F17:F66),NA())</f>
        <v>0</v>
      </c>
      <c r="G67" s="97">
        <f>IF(Sheet1!D$193,SUM(G17:G66),NA())</f>
        <v>0</v>
      </c>
      <c r="H67" s="97">
        <f>IF(Sheet1!D$193,SUM(H17:H66),NA())</f>
        <v>0</v>
      </c>
      <c r="I67" s="97">
        <f>IF(Sheet1!D$193,SUM(I17:I66),NA())</f>
        <v>0</v>
      </c>
      <c r="J67" s="97">
        <f>IF(Sheet1!D$193,SUM(J17:J66),NA())</f>
        <v>0</v>
      </c>
      <c r="K67" s="97">
        <f>IF(Sheet1!D$193,SUM(K17:K66),NA())</f>
        <v>0</v>
      </c>
      <c r="L67" s="95">
        <f>IF(Sheet1!D$193,SUM(L17:L66),NA())</f>
        <v>0</v>
      </c>
      <c r="M67" s="127"/>
    </row>
    <row r="68" spans="1:13" x14ac:dyDescent="0.25">
      <c r="A68" s="146" t="s">
        <v>266</v>
      </c>
      <c r="B68" s="150"/>
      <c r="C68" s="150"/>
      <c r="D68" s="99" t="str">
        <f t="shared" ref="D68:K68" si="2">IF($L$67=0,"",D67/$L$67)</f>
        <v/>
      </c>
      <c r="E68" s="99" t="str">
        <f t="shared" si="2"/>
        <v/>
      </c>
      <c r="F68" s="99" t="str">
        <f t="shared" si="2"/>
        <v/>
      </c>
      <c r="G68" s="99" t="str">
        <f t="shared" si="2"/>
        <v/>
      </c>
      <c r="H68" s="99" t="str">
        <f t="shared" si="2"/>
        <v/>
      </c>
      <c r="I68" s="99" t="str">
        <f t="shared" si="2"/>
        <v/>
      </c>
      <c r="J68" s="99" t="str">
        <f t="shared" si="2"/>
        <v/>
      </c>
      <c r="K68" s="99" t="str">
        <f t="shared" si="2"/>
        <v/>
      </c>
      <c r="L68" s="127"/>
      <c r="M68" s="127"/>
    </row>
    <row r="69" spans="1:13" x14ac:dyDescent="0.25">
      <c r="A69" s="152"/>
      <c r="B69" s="139"/>
      <c r="C69" s="139"/>
      <c r="D69" s="138"/>
      <c r="E69" s="138"/>
      <c r="F69" s="138"/>
      <c r="G69" s="138"/>
      <c r="H69" s="138"/>
      <c r="I69" s="138"/>
      <c r="J69" s="138"/>
      <c r="K69" s="138"/>
      <c r="L69" s="138"/>
      <c r="M69" s="138"/>
    </row>
    <row r="70" spans="1:13" hidden="1" x14ac:dyDescent="0.25">
      <c r="A70" s="152"/>
      <c r="B70" s="139"/>
      <c r="C70" s="139"/>
      <c r="D70" s="138"/>
      <c r="E70" s="138"/>
      <c r="F70" s="138"/>
      <c r="G70" s="138"/>
      <c r="H70" s="138"/>
      <c r="I70" s="138"/>
      <c r="J70" s="138"/>
      <c r="K70" s="138"/>
      <c r="L70" s="138"/>
      <c r="M70" s="138"/>
    </row>
    <row r="71" spans="1:13" hidden="1" x14ac:dyDescent="0.25">
      <c r="A71" s="144" t="s">
        <v>263</v>
      </c>
      <c r="B71" s="142"/>
      <c r="C71" s="142"/>
      <c r="D71" s="80"/>
      <c r="E71" s="80"/>
      <c r="F71" s="80"/>
      <c r="G71" s="80"/>
      <c r="H71" s="80"/>
      <c r="I71" s="80"/>
      <c r="J71" s="80"/>
      <c r="K71" s="80"/>
      <c r="M71" s="138"/>
    </row>
    <row r="72" spans="1:13" ht="14.25" hidden="1" customHeight="1" x14ac:dyDescent="0.25">
      <c r="A72" s="144" t="s">
        <v>265</v>
      </c>
      <c r="B72" s="142"/>
      <c r="C72" s="142"/>
      <c r="D72" s="80"/>
      <c r="E72" s="80"/>
      <c r="F72" s="80"/>
      <c r="G72" s="80"/>
      <c r="H72" s="80"/>
      <c r="I72" s="80"/>
      <c r="J72" s="80"/>
      <c r="K72" s="80"/>
      <c r="M72" s="138"/>
    </row>
    <row r="73" spans="1:13" ht="3" hidden="1" customHeight="1" x14ac:dyDescent="0.25">
      <c r="A73" s="151"/>
      <c r="B73" s="139"/>
      <c r="C73" s="139"/>
      <c r="D73" s="80"/>
      <c r="E73" s="80"/>
      <c r="F73" s="80"/>
      <c r="G73" s="80"/>
      <c r="H73" s="80"/>
      <c r="I73" s="80"/>
      <c r="J73" s="80"/>
      <c r="K73" s="80"/>
      <c r="M73" s="138"/>
    </row>
    <row r="74" spans="1:13" ht="3" hidden="1" customHeight="1" thickBot="1" x14ac:dyDescent="0.3">
      <c r="A74" s="151"/>
      <c r="B74" s="139"/>
      <c r="C74" s="139"/>
      <c r="D74" s="80"/>
      <c r="E74" s="80"/>
      <c r="F74" s="80"/>
      <c r="G74" s="80"/>
      <c r="H74" s="80"/>
      <c r="I74" s="80"/>
      <c r="J74" s="80"/>
      <c r="K74" s="80"/>
      <c r="M74" s="138"/>
    </row>
    <row r="75" spans="1:13" ht="33" hidden="1" customHeight="1" thickTop="1" x14ac:dyDescent="0.25">
      <c r="A75" s="148" t="s">
        <v>229</v>
      </c>
      <c r="B75" s="148" t="s">
        <v>230</v>
      </c>
      <c r="C75" s="86" t="s">
        <v>231</v>
      </c>
      <c r="D75" s="154"/>
      <c r="E75" s="154"/>
      <c r="F75" s="154"/>
      <c r="G75" s="154"/>
      <c r="H75" s="154"/>
      <c r="I75" s="154"/>
      <c r="J75" s="154"/>
      <c r="K75" s="154"/>
      <c r="L75" s="104" t="s">
        <v>252</v>
      </c>
      <c r="M75" s="138"/>
    </row>
    <row r="76" spans="1:13" hidden="1" x14ac:dyDescent="0.25">
      <c r="A76" s="153">
        <f>IF(Sheet1!D$193,VLOOKUP(1,Sheet1!A148:B197,2),NA())</f>
        <v>1</v>
      </c>
      <c r="B76" s="147">
        <f>IF(Sheet1!D$193,VLOOKUP(Sheet1!D$86,Sheet1!A80:B147,2),NA())</f>
        <v>2024</v>
      </c>
      <c r="C76" s="146" t="str">
        <f t="shared" ref="C76:C82" si="3">IF(AND(OR(A76=" ",A76="#NA"),OR(D76&lt;&gt;0,E76&lt;&gt;0,F76&lt;&gt;0,G76&lt;&gt;0,H76&lt;&gt;0,I76&lt;&gt;0,J76&lt;&gt;0,K76&lt;&gt;0)),"Clear=&gt;"," ")</f>
        <v xml:space="preserve"> </v>
      </c>
      <c r="D76" s="105"/>
      <c r="E76" s="105"/>
      <c r="F76" s="105"/>
      <c r="G76" s="105"/>
      <c r="H76" s="105"/>
      <c r="I76" s="105"/>
      <c r="J76" s="105"/>
      <c r="K76" s="105"/>
      <c r="L76" s="95">
        <f>IF(Sheet1!D$193,SUM(D76:K76),NA())</f>
        <v>0</v>
      </c>
      <c r="M76" s="138"/>
    </row>
    <row r="77" spans="1:13" hidden="1" x14ac:dyDescent="0.25">
      <c r="A77" s="147" t="str">
        <f>IF(Sheet1!D$193,IF((A76&gt;=(Sheet1!D$148+$A$76)-1)," ",A76+1),NA())</f>
        <v xml:space="preserve"> </v>
      </c>
      <c r="B77" s="147" t="str">
        <f>IF(Sheet1!D$193,IF((B76&gt;=(Sheet1!D$148+$B$76)-1)," ",B76+1),NA())</f>
        <v xml:space="preserve"> </v>
      </c>
      <c r="C77" s="146" t="str">
        <f t="shared" si="3"/>
        <v xml:space="preserve"> </v>
      </c>
      <c r="D77" s="105"/>
      <c r="E77" s="105"/>
      <c r="F77" s="105"/>
      <c r="G77" s="105"/>
      <c r="H77" s="105"/>
      <c r="I77" s="105"/>
      <c r="J77" s="105"/>
      <c r="K77" s="105"/>
      <c r="L77" s="95">
        <f>IF(Sheet1!D$193,SUM(D77:K77),NA())</f>
        <v>0</v>
      </c>
      <c r="M77" s="138"/>
    </row>
    <row r="78" spans="1:13" hidden="1" x14ac:dyDescent="0.25">
      <c r="A78" s="147" t="str">
        <f>IF(Sheet1!D$193,IF((A77&gt;=(Sheet1!D$148+$A$76)-1)," ",A77+1),NA())</f>
        <v xml:space="preserve"> </v>
      </c>
      <c r="B78" s="147" t="str">
        <f>IF(Sheet1!D$193,IF((B77&gt;=(Sheet1!D$148+$B$76)-1)," ",B77+1),NA())</f>
        <v xml:space="preserve"> </v>
      </c>
      <c r="C78" s="146" t="str">
        <f t="shared" si="3"/>
        <v xml:space="preserve"> </v>
      </c>
      <c r="D78" s="105"/>
      <c r="E78" s="105"/>
      <c r="F78" s="105"/>
      <c r="G78" s="105"/>
      <c r="H78" s="105"/>
      <c r="I78" s="105"/>
      <c r="J78" s="105"/>
      <c r="K78" s="105"/>
      <c r="L78" s="95">
        <f>IF(Sheet1!D$193,SUM(D78:K78),NA())</f>
        <v>0</v>
      </c>
      <c r="M78" s="138"/>
    </row>
    <row r="79" spans="1:13" hidden="1" x14ac:dyDescent="0.25">
      <c r="A79" s="147" t="str">
        <f>IF(Sheet1!D$193,IF((A78&gt;=(Sheet1!D$148+$A$76)-1)," ",A78+1),NA())</f>
        <v xml:space="preserve"> </v>
      </c>
      <c r="B79" s="147" t="str">
        <f>IF(Sheet1!D$193,IF((B78&gt;=(Sheet1!D$148+$B$76)-1)," ",B78+1),NA())</f>
        <v xml:space="preserve"> </v>
      </c>
      <c r="C79" s="146" t="str">
        <f t="shared" si="3"/>
        <v xml:space="preserve"> </v>
      </c>
      <c r="D79" s="105"/>
      <c r="E79" s="105"/>
      <c r="F79" s="105"/>
      <c r="G79" s="105"/>
      <c r="H79" s="105"/>
      <c r="I79" s="105"/>
      <c r="J79" s="105"/>
      <c r="K79" s="105"/>
      <c r="L79" s="95">
        <f>IF(Sheet1!D$193,SUM(D79:K79),NA())</f>
        <v>0</v>
      </c>
      <c r="M79" s="138"/>
    </row>
    <row r="80" spans="1:13" hidden="1" x14ac:dyDescent="0.25">
      <c r="A80" s="147" t="str">
        <f>IF(Sheet1!D$193,IF((A79&gt;=(Sheet1!D$148+$A$76)-1)," ",A79+1),NA())</f>
        <v xml:space="preserve"> </v>
      </c>
      <c r="B80" s="147" t="str">
        <f>IF(Sheet1!D$193,IF((B79&gt;=(Sheet1!D$148+$B$76)-1)," ",B79+1),NA())</f>
        <v xml:space="preserve"> </v>
      </c>
      <c r="C80" s="146" t="str">
        <f t="shared" si="3"/>
        <v xml:space="preserve"> </v>
      </c>
      <c r="D80" s="105"/>
      <c r="E80" s="105"/>
      <c r="F80" s="105"/>
      <c r="G80" s="105"/>
      <c r="H80" s="105"/>
      <c r="I80" s="105"/>
      <c r="J80" s="105"/>
      <c r="K80" s="105"/>
      <c r="L80" s="95">
        <f>IF(Sheet1!D$193,SUM(D80:K80),NA())</f>
        <v>0</v>
      </c>
      <c r="M80" s="138"/>
    </row>
    <row r="81" spans="1:13" hidden="1" x14ac:dyDescent="0.25">
      <c r="A81" s="147" t="str">
        <f>IF(Sheet1!D$193,IF((A80&gt;=(Sheet1!D$148+$A$76)-1)," ",A80+1),NA())</f>
        <v xml:space="preserve"> </v>
      </c>
      <c r="B81" s="147" t="str">
        <f>IF(Sheet1!D$193,IF((B80&gt;=(Sheet1!D$148+$B$76)-1)," ",B80+1),NA())</f>
        <v xml:space="preserve"> </v>
      </c>
      <c r="C81" s="146" t="str">
        <f t="shared" si="3"/>
        <v xml:space="preserve"> </v>
      </c>
      <c r="D81" s="105"/>
      <c r="E81" s="105"/>
      <c r="F81" s="105"/>
      <c r="G81" s="105"/>
      <c r="H81" s="105"/>
      <c r="I81" s="105"/>
      <c r="J81" s="105"/>
      <c r="K81" s="105"/>
      <c r="L81" s="95">
        <f>IF(Sheet1!D$193,SUM(D81:K81),NA())</f>
        <v>0</v>
      </c>
      <c r="M81" s="138"/>
    </row>
    <row r="82" spans="1:13" hidden="1" x14ac:dyDescent="0.25">
      <c r="A82" s="147" t="str">
        <f>IF(Sheet1!D$193,IF((A81&gt;=(Sheet1!D$148+$A$76)-1)," ",A81+1),NA())</f>
        <v xml:space="preserve"> </v>
      </c>
      <c r="B82" s="147" t="str">
        <f>IF(Sheet1!D$193,IF((B81&gt;=(Sheet1!D$148+$B$76)-1)," ",B81+1),NA())</f>
        <v xml:space="preserve"> </v>
      </c>
      <c r="C82" s="146" t="str">
        <f t="shared" si="3"/>
        <v xml:space="preserve"> </v>
      </c>
      <c r="D82" s="105"/>
      <c r="E82" s="105"/>
      <c r="F82" s="105"/>
      <c r="G82" s="105"/>
      <c r="H82" s="105"/>
      <c r="I82" s="105"/>
      <c r="J82" s="105"/>
      <c r="K82" s="105"/>
      <c r="L82" s="95">
        <f>IF(Sheet1!D$193,SUM(D82:K82),NA())</f>
        <v>0</v>
      </c>
      <c r="M82" s="138"/>
    </row>
    <row r="83" spans="1:13" ht="13.8" hidden="1" thickTop="1" x14ac:dyDescent="0.25">
      <c r="A83" s="146" t="s">
        <v>264</v>
      </c>
      <c r="B83" s="150"/>
      <c r="C83" s="150"/>
      <c r="D83" s="97">
        <f>IF(Sheet1!D$193,SUM(D76:D82),NA())</f>
        <v>0</v>
      </c>
      <c r="E83" s="97">
        <f>IF(Sheet1!D$193,SUM(E76:E82),NA())</f>
        <v>0</v>
      </c>
      <c r="F83" s="97">
        <f>IF(Sheet1!D$193,SUM(F76:F82),NA())</f>
        <v>0</v>
      </c>
      <c r="G83" s="97">
        <f>IF(Sheet1!D$193,SUM(G76:G82),NA())</f>
        <v>0</v>
      </c>
      <c r="H83" s="97">
        <f>IF(Sheet1!D$193,SUM(H76:H82),NA())</f>
        <v>0</v>
      </c>
      <c r="I83" s="97">
        <f>IF(Sheet1!D$193,SUM(I76:I82),NA())</f>
        <v>0</v>
      </c>
      <c r="J83" s="97">
        <f>IF(Sheet1!D$193,SUM(J76:J82),NA())</f>
        <v>0</v>
      </c>
      <c r="K83" s="97">
        <f>IF(Sheet1!D$193,SUM(K76:K82),NA())</f>
        <v>0</v>
      </c>
      <c r="L83" s="95">
        <f>IF(Sheet1!D$193,SUM(L76:L82),NA())</f>
        <v>0</v>
      </c>
      <c r="M83" s="138"/>
    </row>
    <row r="84" spans="1:13" hidden="1" x14ac:dyDescent="0.25">
      <c r="A84" s="152"/>
      <c r="B84" s="139"/>
      <c r="C84" s="139"/>
      <c r="D84" s="138"/>
      <c r="E84" s="138"/>
      <c r="F84" s="138"/>
      <c r="G84" s="138"/>
      <c r="H84" s="138"/>
      <c r="I84" s="138"/>
      <c r="J84" s="138"/>
      <c r="K84" s="138"/>
      <c r="L84" s="138"/>
      <c r="M84" s="138"/>
    </row>
    <row r="85" spans="1:13" hidden="1" x14ac:dyDescent="0.25">
      <c r="A85" s="152"/>
      <c r="B85" s="139"/>
      <c r="C85" s="139"/>
      <c r="D85" s="138"/>
      <c r="E85" s="138"/>
      <c r="F85" s="138"/>
      <c r="G85" s="138"/>
      <c r="H85" s="138"/>
      <c r="I85" s="138"/>
      <c r="J85" s="138"/>
      <c r="K85" s="138"/>
      <c r="L85" s="138"/>
      <c r="M85" s="138"/>
    </row>
    <row r="86" spans="1:13" hidden="1" x14ac:dyDescent="0.25">
      <c r="A86" s="152"/>
      <c r="B86" s="139"/>
      <c r="C86" s="139"/>
      <c r="D86" s="138"/>
      <c r="E86" s="138"/>
      <c r="F86" s="138"/>
      <c r="G86" s="138"/>
      <c r="H86" s="138"/>
      <c r="I86" s="138"/>
      <c r="J86" s="138"/>
      <c r="K86" s="138"/>
      <c r="L86" s="138"/>
      <c r="M86" s="138"/>
    </row>
    <row r="87" spans="1:13" hidden="1" x14ac:dyDescent="0.25">
      <c r="A87" s="144" t="s">
        <v>263</v>
      </c>
      <c r="B87" s="142"/>
      <c r="C87" s="142"/>
      <c r="D87" s="80"/>
      <c r="E87" s="80"/>
      <c r="F87" s="80"/>
      <c r="G87" s="80"/>
      <c r="H87" s="80"/>
      <c r="I87" s="80"/>
      <c r="J87" s="80"/>
      <c r="K87" s="80"/>
      <c r="M87" s="138"/>
    </row>
    <row r="88" spans="1:13" ht="14.25" hidden="1" customHeight="1" x14ac:dyDescent="0.25">
      <c r="A88" s="144" t="s">
        <v>262</v>
      </c>
      <c r="B88" s="142"/>
      <c r="C88" s="142"/>
      <c r="D88" s="80"/>
      <c r="E88" s="80"/>
      <c r="F88" s="80"/>
      <c r="G88" s="80"/>
      <c r="H88" s="80"/>
      <c r="I88" s="80"/>
      <c r="J88" s="80"/>
      <c r="K88" s="80"/>
      <c r="M88" s="138"/>
    </row>
    <row r="89" spans="1:13" ht="3" hidden="1" customHeight="1" x14ac:dyDescent="0.25">
      <c r="A89" s="151"/>
      <c r="B89" s="139"/>
      <c r="C89" s="139"/>
      <c r="D89" s="80"/>
      <c r="E89" s="80"/>
      <c r="F89" s="80"/>
      <c r="G89" s="80"/>
      <c r="H89" s="80"/>
      <c r="I89" s="80"/>
      <c r="J89" s="80"/>
      <c r="K89" s="80"/>
      <c r="M89" s="138"/>
    </row>
    <row r="90" spans="1:13" ht="3" hidden="1" customHeight="1" thickBot="1" x14ac:dyDescent="0.3">
      <c r="A90" s="151"/>
      <c r="B90" s="139"/>
      <c r="C90" s="139"/>
      <c r="D90" s="80"/>
      <c r="E90" s="80"/>
      <c r="F90" s="80"/>
      <c r="G90" s="80"/>
      <c r="H90" s="80"/>
      <c r="I90" s="80"/>
      <c r="J90" s="80"/>
      <c r="K90" s="80"/>
      <c r="M90" s="138"/>
    </row>
    <row r="91" spans="1:13" ht="33" hidden="1" customHeight="1" thickTop="1" x14ac:dyDescent="0.25">
      <c r="A91" s="148" t="s">
        <v>229</v>
      </c>
      <c r="B91" s="148" t="s">
        <v>230</v>
      </c>
      <c r="C91" s="86" t="s">
        <v>231</v>
      </c>
      <c r="D91" s="87"/>
      <c r="E91" s="87"/>
      <c r="F91" s="87"/>
      <c r="G91" s="87"/>
      <c r="H91" s="87"/>
      <c r="I91" s="87"/>
      <c r="J91" s="87"/>
      <c r="K91" s="87"/>
      <c r="L91" s="104" t="s">
        <v>252</v>
      </c>
      <c r="M91" s="138"/>
    </row>
    <row r="92" spans="1:13" hidden="1" x14ac:dyDescent="0.25">
      <c r="A92" s="153">
        <f>IF(Sheet1!D$193,VLOOKUP(1,Sheet1!A148:B197,2),NA())</f>
        <v>1</v>
      </c>
      <c r="B92" s="147">
        <f>IF(Sheet1!D$193,VLOOKUP(Sheet1!D$86,Sheet1!A80:B147,2),NA())</f>
        <v>2024</v>
      </c>
      <c r="C92" s="146" t="str">
        <f t="shared" ref="C92:C98" si="4">IF(AND(OR(A92=" ",A92="#NA"),OR(D92&lt;&gt;0,E92&lt;&gt;0,F92&lt;&gt;0,G92&lt;&gt;0,H92&lt;&gt;0,I92&lt;&gt;0,J92&lt;&gt;0,K92&lt;&gt;0)),"Clear=&gt;"," ")</f>
        <v xml:space="preserve"> </v>
      </c>
      <c r="D92" s="105"/>
      <c r="E92" s="105"/>
      <c r="F92" s="105"/>
      <c r="G92" s="105"/>
      <c r="H92" s="105"/>
      <c r="I92" s="105"/>
      <c r="J92" s="105"/>
      <c r="K92" s="105"/>
      <c r="L92" s="95">
        <f>IF(Sheet1!D$193,SUM(D92:K92),NA())</f>
        <v>0</v>
      </c>
      <c r="M92" s="138"/>
    </row>
    <row r="93" spans="1:13" hidden="1" x14ac:dyDescent="0.25">
      <c r="A93" s="147" t="str">
        <f>IF(Sheet1!D$193,IF((A92&gt;=(Sheet1!D$148+$A$92)-1)," ",A92+1),NA())</f>
        <v xml:space="preserve"> </v>
      </c>
      <c r="B93" s="147" t="str">
        <f>IF(Sheet1!D$193,IF((B92&gt;=(Sheet1!D$148+$B$92)-1)," ",B92+1),NA())</f>
        <v xml:space="preserve"> </v>
      </c>
      <c r="C93" s="146" t="str">
        <f t="shared" si="4"/>
        <v xml:space="preserve"> </v>
      </c>
      <c r="D93" s="105"/>
      <c r="E93" s="105"/>
      <c r="F93" s="105"/>
      <c r="G93" s="105"/>
      <c r="H93" s="105"/>
      <c r="I93" s="105"/>
      <c r="J93" s="105"/>
      <c r="K93" s="105"/>
      <c r="L93" s="95">
        <f>IF(Sheet1!D$193,SUM(D93:K93),NA())</f>
        <v>0</v>
      </c>
      <c r="M93" s="138"/>
    </row>
    <row r="94" spans="1:13" hidden="1" x14ac:dyDescent="0.25">
      <c r="A94" s="147" t="str">
        <f>IF(Sheet1!D$193,IF((A93&gt;=(Sheet1!D$148+$A$92)-1)," ",A93+1),NA())</f>
        <v xml:space="preserve"> </v>
      </c>
      <c r="B94" s="147" t="str">
        <f>IF(Sheet1!D$193,IF((B93&gt;=(Sheet1!D$148+$B$92)-1)," ",B93+1),NA())</f>
        <v xml:space="preserve"> </v>
      </c>
      <c r="C94" s="146" t="str">
        <f t="shared" si="4"/>
        <v xml:space="preserve"> </v>
      </c>
      <c r="D94" s="105"/>
      <c r="E94" s="105"/>
      <c r="F94" s="105"/>
      <c r="G94" s="105"/>
      <c r="H94" s="105"/>
      <c r="I94" s="105"/>
      <c r="J94" s="105"/>
      <c r="K94" s="105"/>
      <c r="L94" s="95">
        <f>IF(Sheet1!D$193,SUM(D94:K94),NA())</f>
        <v>0</v>
      </c>
      <c r="M94" s="138"/>
    </row>
    <row r="95" spans="1:13" hidden="1" x14ac:dyDescent="0.25">
      <c r="A95" s="147" t="str">
        <f>IF(Sheet1!D$193,IF((A94&gt;=(Sheet1!D$148+$A$92)-1)," ",A94+1),NA())</f>
        <v xml:space="preserve"> </v>
      </c>
      <c r="B95" s="147" t="str">
        <f>IF(Sheet1!D$193,IF((B94&gt;=(Sheet1!D$148+$B$92)-1)," ",B94+1),NA())</f>
        <v xml:space="preserve"> </v>
      </c>
      <c r="C95" s="146" t="str">
        <f t="shared" si="4"/>
        <v xml:space="preserve"> </v>
      </c>
      <c r="D95" s="105"/>
      <c r="E95" s="105"/>
      <c r="F95" s="105"/>
      <c r="G95" s="105"/>
      <c r="H95" s="105"/>
      <c r="I95" s="105"/>
      <c r="J95" s="105"/>
      <c r="K95" s="105"/>
      <c r="L95" s="95">
        <f>IF(Sheet1!D$193,SUM(D95:K95),NA())</f>
        <v>0</v>
      </c>
      <c r="M95" s="138"/>
    </row>
    <row r="96" spans="1:13" hidden="1" x14ac:dyDescent="0.25">
      <c r="A96" s="147" t="str">
        <f>IF(Sheet1!D$193,IF((A95&gt;=(Sheet1!D$148+$A$92)-1)," ",A95+1),NA())</f>
        <v xml:space="preserve"> </v>
      </c>
      <c r="B96" s="147" t="str">
        <f>IF(Sheet1!D$193,IF((B95&gt;=(Sheet1!D$148+$B$92)-1)," ",B95+1),NA())</f>
        <v xml:space="preserve"> </v>
      </c>
      <c r="C96" s="146" t="str">
        <f t="shared" si="4"/>
        <v xml:space="preserve"> </v>
      </c>
      <c r="D96" s="105"/>
      <c r="E96" s="105"/>
      <c r="F96" s="105"/>
      <c r="G96" s="105"/>
      <c r="H96" s="105"/>
      <c r="I96" s="105"/>
      <c r="J96" s="105"/>
      <c r="K96" s="105"/>
      <c r="L96" s="95">
        <f>IF(Sheet1!D$193,SUM(D96:K96),NA())</f>
        <v>0</v>
      </c>
      <c r="M96" s="138"/>
    </row>
    <row r="97" spans="1:13" hidden="1" x14ac:dyDescent="0.25">
      <c r="A97" s="147" t="str">
        <f>IF(Sheet1!D$193,IF((A96&gt;=(Sheet1!D$148+$A$92)-1)," ",A96+1),NA())</f>
        <v xml:space="preserve"> </v>
      </c>
      <c r="B97" s="147" t="str">
        <f>IF(Sheet1!D$193,IF((B96&gt;=(Sheet1!D$148+$B$92)-1)," ",B96+1),NA())</f>
        <v xml:space="preserve"> </v>
      </c>
      <c r="C97" s="146" t="str">
        <f t="shared" si="4"/>
        <v xml:space="preserve"> </v>
      </c>
      <c r="D97" s="105"/>
      <c r="E97" s="105"/>
      <c r="F97" s="105"/>
      <c r="G97" s="105"/>
      <c r="H97" s="105"/>
      <c r="I97" s="105"/>
      <c r="J97" s="105"/>
      <c r="K97" s="105"/>
      <c r="L97" s="95">
        <f>IF(Sheet1!D$193,SUM(D97:K97),NA())</f>
        <v>0</v>
      </c>
      <c r="M97" s="138"/>
    </row>
    <row r="98" spans="1:13" hidden="1" x14ac:dyDescent="0.25">
      <c r="A98" s="147" t="str">
        <f>IF(Sheet1!D$193,IF((A97&gt;=(Sheet1!D$148+$A$92)-1)," ",A97+1),NA())</f>
        <v xml:space="preserve"> </v>
      </c>
      <c r="B98" s="147" t="str">
        <f>IF(Sheet1!D$193,IF((B97&gt;=(Sheet1!D$148+$B$92)-1)," ",B97+1),NA())</f>
        <v xml:space="preserve"> </v>
      </c>
      <c r="C98" s="146" t="str">
        <f t="shared" si="4"/>
        <v xml:space="preserve"> </v>
      </c>
      <c r="D98" s="105"/>
      <c r="E98" s="105"/>
      <c r="F98" s="105"/>
      <c r="G98" s="105"/>
      <c r="H98" s="105"/>
      <c r="I98" s="105"/>
      <c r="J98" s="105"/>
      <c r="K98" s="105"/>
      <c r="L98" s="95">
        <f>IF(Sheet1!D$193,SUM(D98:K98),NA())</f>
        <v>0</v>
      </c>
      <c r="M98" s="138"/>
    </row>
    <row r="99" spans="1:13" ht="13.8" hidden="1" thickTop="1" x14ac:dyDescent="0.25">
      <c r="A99" s="146" t="s">
        <v>261</v>
      </c>
      <c r="B99" s="150"/>
      <c r="C99" s="150"/>
      <c r="D99" s="97">
        <f>IF(Sheet1!D$193,SUM(D92:D98),NA())</f>
        <v>0</v>
      </c>
      <c r="E99" s="97">
        <f>IF(Sheet1!D$193,SUM(E92:E98),NA())</f>
        <v>0</v>
      </c>
      <c r="F99" s="97">
        <f>IF(Sheet1!D$193,SUM(F92:F98),NA())</f>
        <v>0</v>
      </c>
      <c r="G99" s="97">
        <f>IF(Sheet1!D$193,SUM(G92:G98),NA())</f>
        <v>0</v>
      </c>
      <c r="H99" s="97">
        <f>IF(Sheet1!D$193,SUM(H92:H98),NA())</f>
        <v>0</v>
      </c>
      <c r="I99" s="97">
        <f>IF(Sheet1!D$193,SUM(I92:I98),NA())</f>
        <v>0</v>
      </c>
      <c r="J99" s="97">
        <f>IF(Sheet1!D$193,SUM(J92:J98),NA())</f>
        <v>0</v>
      </c>
      <c r="K99" s="97">
        <f>IF(Sheet1!D$193,SUM(K92:K98),NA())</f>
        <v>0</v>
      </c>
      <c r="L99" s="95">
        <f>IF(Sheet1!D$193,SUM(L92:L98),NA())</f>
        <v>0</v>
      </c>
      <c r="M99" s="138"/>
    </row>
    <row r="100" spans="1:13" hidden="1" x14ac:dyDescent="0.25">
      <c r="A100" s="152"/>
      <c r="B100" s="139"/>
      <c r="C100" s="139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</row>
    <row r="101" spans="1:13" hidden="1" x14ac:dyDescent="0.25">
      <c r="A101" s="152"/>
      <c r="B101" s="139"/>
      <c r="C101" s="139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</row>
    <row r="102" spans="1:13" x14ac:dyDescent="0.25">
      <c r="A102" s="152"/>
      <c r="B102" s="139"/>
      <c r="C102" s="139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</row>
    <row r="103" spans="1:13" x14ac:dyDescent="0.25">
      <c r="A103" s="144" t="s">
        <v>225</v>
      </c>
      <c r="B103" s="142"/>
      <c r="C103" s="142"/>
      <c r="D103" s="80"/>
      <c r="E103" s="80"/>
      <c r="F103" s="80"/>
      <c r="G103" s="80"/>
      <c r="H103" s="80"/>
      <c r="I103" s="80"/>
      <c r="J103" s="80"/>
      <c r="K103" s="80"/>
      <c r="M103" s="138"/>
    </row>
    <row r="104" spans="1:13" x14ac:dyDescent="0.25">
      <c r="A104" s="143" t="s">
        <v>260</v>
      </c>
      <c r="B104" s="142"/>
      <c r="C104" s="142"/>
      <c r="D104" s="80"/>
      <c r="E104" s="80"/>
      <c r="F104" s="80"/>
      <c r="G104" s="80"/>
      <c r="H104" s="80"/>
      <c r="I104" s="80"/>
      <c r="J104" s="80"/>
      <c r="K104" s="80"/>
      <c r="M104" s="138"/>
    </row>
    <row r="105" spans="1:13" ht="16.5" customHeight="1" x14ac:dyDescent="0.25">
      <c r="A105" s="82" t="s">
        <v>227</v>
      </c>
      <c r="B105" s="83"/>
      <c r="C105" s="83"/>
      <c r="D105" s="80"/>
      <c r="E105" s="80"/>
      <c r="F105" s="80"/>
      <c r="G105" s="80"/>
      <c r="H105" s="80"/>
      <c r="I105" s="80"/>
      <c r="J105" s="80"/>
      <c r="K105" s="80"/>
      <c r="M105" s="138"/>
    </row>
    <row r="106" spans="1:13" ht="16.5" customHeight="1" x14ac:dyDescent="0.25">
      <c r="A106" s="82" t="s">
        <v>259</v>
      </c>
      <c r="B106" s="83"/>
      <c r="C106" s="83"/>
      <c r="D106" s="80"/>
      <c r="E106" s="80"/>
      <c r="F106" s="80"/>
      <c r="G106" s="80"/>
      <c r="H106" s="80"/>
      <c r="I106" s="80"/>
      <c r="J106" s="80"/>
      <c r="K106" s="80"/>
      <c r="M106" s="138"/>
    </row>
    <row r="107" spans="1:13" ht="3" customHeight="1" x14ac:dyDescent="0.25">
      <c r="A107" s="151"/>
      <c r="B107" s="139"/>
      <c r="C107" s="139"/>
      <c r="D107" s="80"/>
      <c r="E107" s="80"/>
      <c r="F107" s="80"/>
      <c r="G107" s="80"/>
      <c r="H107" s="80"/>
      <c r="I107" s="80"/>
      <c r="J107" s="80"/>
      <c r="K107" s="80"/>
      <c r="M107" s="138"/>
    </row>
    <row r="108" spans="1:13" ht="3" customHeight="1" thickBot="1" x14ac:dyDescent="0.3">
      <c r="A108" s="151"/>
      <c r="B108" s="139"/>
      <c r="C108" s="139"/>
      <c r="D108" s="80"/>
      <c r="E108" s="80"/>
      <c r="F108" s="80"/>
      <c r="G108" s="80"/>
      <c r="H108" s="80"/>
      <c r="I108" s="80"/>
      <c r="J108" s="80"/>
      <c r="K108" s="80"/>
      <c r="M108" s="138"/>
    </row>
    <row r="109" spans="1:13" ht="33" customHeight="1" thickTop="1" x14ac:dyDescent="0.25">
      <c r="A109" s="148" t="s">
        <v>229</v>
      </c>
      <c r="B109" s="148" t="s">
        <v>230</v>
      </c>
      <c r="C109" s="86" t="s">
        <v>231</v>
      </c>
      <c r="D109" s="87"/>
      <c r="E109" s="87"/>
      <c r="F109" s="87"/>
      <c r="G109" s="87"/>
      <c r="H109" s="87"/>
      <c r="I109" s="87"/>
      <c r="J109" s="87"/>
      <c r="K109" s="87"/>
      <c r="L109" s="88" t="s">
        <v>258</v>
      </c>
      <c r="M109" s="89" t="s">
        <v>257</v>
      </c>
    </row>
    <row r="110" spans="1:13" x14ac:dyDescent="0.25">
      <c r="A110" s="147">
        <f>IF(Sheet1!D$193,VLOOKUP(1,Sheet1!A148:B197,2),NA())</f>
        <v>1</v>
      </c>
      <c r="B110" s="147">
        <f>IF(Sheet1!D$193,VLOOKUP(Sheet1!D$86,Sheet1!A80:B147,2),NA())</f>
        <v>2024</v>
      </c>
      <c r="C110" s="146" t="str">
        <f t="shared" ref="C110:C141" si="5">IF(AND(OR(A110=" ",A110="#NA"),OR(D110&lt;&gt;0,E110&lt;&gt;0,F110&lt;&gt;0,G110&lt;&gt;0,H110&lt;&gt;0,I110&lt;&gt;0,J110&lt;&gt;0,K110&lt;&gt;0)),"Clear=&gt;"," ")</f>
        <v xml:space="preserve"> </v>
      </c>
      <c r="D110" s="92"/>
      <c r="E110" s="92"/>
      <c r="F110" s="92"/>
      <c r="G110" s="92"/>
      <c r="H110" s="92"/>
      <c r="I110" s="92"/>
      <c r="J110" s="92"/>
      <c r="K110" s="92"/>
      <c r="L110" s="95">
        <f>IF(Sheet1!D$193,SUM(D110:K110),NA())</f>
        <v>0</v>
      </c>
      <c r="M110" s="94" t="e">
        <f>IF(Sheet1!D$193,SUM(D191:K191),NA())</f>
        <v>#VALUE!</v>
      </c>
    </row>
    <row r="111" spans="1:13" x14ac:dyDescent="0.25">
      <c r="A111" s="147" t="str">
        <f>IF(Sheet1!D$193,IF((A110&gt;=(Sheet1!D$148+$A$110)-1)," ",A110+1),NA())</f>
        <v xml:space="preserve"> </v>
      </c>
      <c r="B111" s="147" t="str">
        <f>IF(Sheet1!D$193,IF((B110&gt;=(Sheet1!D$148+$B$110)-1)," ",B110+1),NA())</f>
        <v xml:space="preserve"> </v>
      </c>
      <c r="C111" s="146" t="str">
        <f t="shared" si="5"/>
        <v xml:space="preserve"> </v>
      </c>
      <c r="D111" s="92"/>
      <c r="E111" s="92"/>
      <c r="F111" s="92"/>
      <c r="G111" s="92"/>
      <c r="H111" s="92"/>
      <c r="I111" s="92"/>
      <c r="J111" s="92"/>
      <c r="K111" s="92"/>
      <c r="L111" s="95">
        <f>IF(Sheet1!D$193,SUM(D111:K111),NA())</f>
        <v>0</v>
      </c>
      <c r="M111" s="94" t="e">
        <f>IF(Sheet1!D$193,SUM(D192:K192),NA())</f>
        <v>#VALUE!</v>
      </c>
    </row>
    <row r="112" spans="1:13" x14ac:dyDescent="0.25">
      <c r="A112" s="147" t="str">
        <f>IF(Sheet1!D$193,IF((A111&gt;=(Sheet1!D$148+$A$110)-1)," ",A111+1),NA())</f>
        <v xml:space="preserve"> </v>
      </c>
      <c r="B112" s="147" t="str">
        <f>IF(Sheet1!D$193,IF((B111&gt;=(Sheet1!D$148+$B$110)-1)," ",B111+1),NA())</f>
        <v xml:space="preserve"> </v>
      </c>
      <c r="C112" s="146" t="str">
        <f t="shared" si="5"/>
        <v xml:space="preserve"> </v>
      </c>
      <c r="D112" s="92"/>
      <c r="E112" s="92"/>
      <c r="F112" s="92"/>
      <c r="G112" s="92"/>
      <c r="H112" s="92"/>
      <c r="I112" s="92"/>
      <c r="J112" s="92"/>
      <c r="K112" s="92"/>
      <c r="L112" s="95">
        <f>IF(Sheet1!D$193,SUM(D112:K112),NA())</f>
        <v>0</v>
      </c>
      <c r="M112" s="94" t="e">
        <f>IF(Sheet1!D$193,SUM(D193:K193),NA())</f>
        <v>#VALUE!</v>
      </c>
    </row>
    <row r="113" spans="1:13" x14ac:dyDescent="0.25">
      <c r="A113" s="147" t="str">
        <f>IF(Sheet1!D$193,IF((A112&gt;=(Sheet1!D$148+$A$110)-1)," ",A112+1),NA())</f>
        <v xml:space="preserve"> </v>
      </c>
      <c r="B113" s="147" t="str">
        <f>IF(Sheet1!D$193,IF((B112&gt;=(Sheet1!D$148+$B$110)-1)," ",B112+1),NA())</f>
        <v xml:space="preserve"> </v>
      </c>
      <c r="C113" s="146" t="str">
        <f t="shared" si="5"/>
        <v xml:space="preserve"> </v>
      </c>
      <c r="D113" s="92"/>
      <c r="E113" s="92"/>
      <c r="F113" s="92"/>
      <c r="G113" s="92"/>
      <c r="H113" s="92"/>
      <c r="I113" s="92"/>
      <c r="J113" s="92"/>
      <c r="K113" s="92"/>
      <c r="L113" s="95">
        <f>IF(Sheet1!D$193,SUM(D113:K113),NA())</f>
        <v>0</v>
      </c>
      <c r="M113" s="94" t="e">
        <f>IF(Sheet1!D$193,SUM(D194:K194),NA())</f>
        <v>#VALUE!</v>
      </c>
    </row>
    <row r="114" spans="1:13" x14ac:dyDescent="0.25">
      <c r="A114" s="147" t="str">
        <f>IF(Sheet1!D$193,IF((A113&gt;=(Sheet1!D$148+$A$110)-1)," ",A113+1),NA())</f>
        <v xml:space="preserve"> </v>
      </c>
      <c r="B114" s="147" t="str">
        <f>IF(Sheet1!D$193,IF((B113&gt;=(Sheet1!D$148+$B$110)-1)," ",B113+1),NA())</f>
        <v xml:space="preserve"> </v>
      </c>
      <c r="C114" s="146" t="str">
        <f t="shared" si="5"/>
        <v xml:space="preserve"> </v>
      </c>
      <c r="D114" s="92"/>
      <c r="E114" s="92"/>
      <c r="F114" s="92"/>
      <c r="G114" s="92"/>
      <c r="H114" s="92"/>
      <c r="I114" s="92"/>
      <c r="J114" s="92"/>
      <c r="K114" s="92"/>
      <c r="L114" s="95">
        <f>IF(Sheet1!D$193,SUM(D114:K114),NA())</f>
        <v>0</v>
      </c>
      <c r="M114" s="94" t="e">
        <f>IF(Sheet1!D$193,SUM(D195:K195),NA())</f>
        <v>#VALUE!</v>
      </c>
    </row>
    <row r="115" spans="1:13" x14ac:dyDescent="0.25">
      <c r="A115" s="147" t="str">
        <f>IF(Sheet1!D$193,IF((A114&gt;=(Sheet1!D$148+$A$110)-1)," ",A114+1),NA())</f>
        <v xml:space="preserve"> </v>
      </c>
      <c r="B115" s="147" t="str">
        <f>IF(Sheet1!D$193,IF((B114&gt;=(Sheet1!D$148+$B$110)-1)," ",B114+1),NA())</f>
        <v xml:space="preserve"> </v>
      </c>
      <c r="C115" s="146" t="str">
        <f t="shared" si="5"/>
        <v xml:space="preserve"> </v>
      </c>
      <c r="D115" s="92"/>
      <c r="E115" s="92"/>
      <c r="F115" s="92"/>
      <c r="G115" s="92"/>
      <c r="H115" s="92"/>
      <c r="I115" s="92"/>
      <c r="J115" s="92"/>
      <c r="K115" s="92"/>
      <c r="L115" s="95">
        <f>IF(Sheet1!D$193,SUM(D115:K115),NA())</f>
        <v>0</v>
      </c>
      <c r="M115" s="94" t="e">
        <f>IF(Sheet1!D$193,SUM(D196:K196),NA())</f>
        <v>#VALUE!</v>
      </c>
    </row>
    <row r="116" spans="1:13" x14ac:dyDescent="0.25">
      <c r="A116" s="147" t="str">
        <f>IF(Sheet1!D$193,IF((A115&gt;=(Sheet1!D$148+$A$110)-1)," ",A115+1),NA())</f>
        <v xml:space="preserve"> </v>
      </c>
      <c r="B116" s="147" t="str">
        <f>IF(Sheet1!D$193,IF((B115&gt;=(Sheet1!D$148+$B$110)-1)," ",B115+1),NA())</f>
        <v xml:space="preserve"> </v>
      </c>
      <c r="C116" s="146" t="str">
        <f t="shared" si="5"/>
        <v xml:space="preserve"> </v>
      </c>
      <c r="D116" s="92"/>
      <c r="E116" s="92"/>
      <c r="F116" s="92"/>
      <c r="G116" s="92"/>
      <c r="H116" s="92"/>
      <c r="I116" s="92"/>
      <c r="J116" s="92"/>
      <c r="K116" s="92"/>
      <c r="L116" s="95">
        <f>IF(Sheet1!D$193,SUM(D116:K116),NA())</f>
        <v>0</v>
      </c>
      <c r="M116" s="94" t="e">
        <f>IF(Sheet1!D$193,SUM(D197:K197),NA())</f>
        <v>#VALUE!</v>
      </c>
    </row>
    <row r="117" spans="1:13" x14ac:dyDescent="0.25">
      <c r="A117" s="147" t="str">
        <f>IF(Sheet1!D$193,IF((A116&gt;=(Sheet1!D$148+$A$110)-1)," ",A116+1),NA())</f>
        <v xml:space="preserve"> </v>
      </c>
      <c r="B117" s="147" t="str">
        <f>IF(Sheet1!D$193,IF((B116&gt;=(Sheet1!D$148+$B$110)-1)," ",B116+1),NA())</f>
        <v xml:space="preserve"> </v>
      </c>
      <c r="C117" s="146" t="str">
        <f t="shared" si="5"/>
        <v xml:space="preserve"> </v>
      </c>
      <c r="D117" s="92"/>
      <c r="E117" s="92"/>
      <c r="F117" s="92"/>
      <c r="G117" s="92"/>
      <c r="H117" s="92"/>
      <c r="I117" s="92"/>
      <c r="J117" s="92"/>
      <c r="K117" s="92"/>
      <c r="L117" s="95">
        <f>IF(Sheet1!D$193,SUM(D117:K117),NA())</f>
        <v>0</v>
      </c>
      <c r="M117" s="94" t="e">
        <f>IF(Sheet1!D$193,SUM(D198:K198),NA())</f>
        <v>#VALUE!</v>
      </c>
    </row>
    <row r="118" spans="1:13" x14ac:dyDescent="0.25">
      <c r="A118" s="147" t="str">
        <f>IF(Sheet1!D$193,IF((A117&gt;=(Sheet1!D$148+$A$110)-1)," ",A117+1),NA())</f>
        <v xml:space="preserve"> </v>
      </c>
      <c r="B118" s="147" t="str">
        <f>IF(Sheet1!D$193,IF((B117&gt;=(Sheet1!D$148+$B$110)-1)," ",B117+1),NA())</f>
        <v xml:space="preserve"> </v>
      </c>
      <c r="C118" s="146" t="str">
        <f t="shared" si="5"/>
        <v xml:space="preserve"> </v>
      </c>
      <c r="D118" s="92"/>
      <c r="E118" s="92"/>
      <c r="F118" s="92"/>
      <c r="G118" s="92"/>
      <c r="H118" s="92"/>
      <c r="I118" s="92"/>
      <c r="J118" s="92"/>
      <c r="K118" s="92"/>
      <c r="L118" s="95">
        <f>IF(Sheet1!D$193,SUM(D118:K118),NA())</f>
        <v>0</v>
      </c>
      <c r="M118" s="94" t="e">
        <f>IF(Sheet1!D$193,SUM(D199:K199),NA())</f>
        <v>#VALUE!</v>
      </c>
    </row>
    <row r="119" spans="1:13" x14ac:dyDescent="0.25">
      <c r="A119" s="147" t="str">
        <f>IF(Sheet1!D$193,IF((A118&gt;=(Sheet1!D$148+$A$110)-1)," ",A118+1),NA())</f>
        <v xml:space="preserve"> </v>
      </c>
      <c r="B119" s="147" t="str">
        <f>IF(Sheet1!D$193,IF((B118&gt;=(Sheet1!D$148+$B$110)-1)," ",B118+1),NA())</f>
        <v xml:space="preserve"> </v>
      </c>
      <c r="C119" s="146" t="str">
        <f t="shared" si="5"/>
        <v xml:space="preserve"> </v>
      </c>
      <c r="D119" s="92"/>
      <c r="E119" s="92"/>
      <c r="F119" s="92"/>
      <c r="G119" s="92"/>
      <c r="H119" s="92"/>
      <c r="I119" s="92"/>
      <c r="J119" s="92"/>
      <c r="K119" s="92"/>
      <c r="L119" s="95">
        <f>IF(Sheet1!D$193,SUM(D119:K119),NA())</f>
        <v>0</v>
      </c>
      <c r="M119" s="94" t="e">
        <f>IF(Sheet1!D$193,SUM(D200:K200),NA())</f>
        <v>#VALUE!</v>
      </c>
    </row>
    <row r="120" spans="1:13" x14ac:dyDescent="0.25">
      <c r="A120" s="147" t="str">
        <f>IF(Sheet1!D$193,IF((A119&gt;=(Sheet1!D$148+$A$110)-1)," ",A119+1),NA())</f>
        <v xml:space="preserve"> </v>
      </c>
      <c r="B120" s="147" t="str">
        <f>IF(Sheet1!D$193,IF((B119&gt;=(Sheet1!D$148+$B$110)-1)," ",B119+1),NA())</f>
        <v xml:space="preserve"> </v>
      </c>
      <c r="C120" s="146" t="str">
        <f t="shared" si="5"/>
        <v xml:space="preserve"> </v>
      </c>
      <c r="D120" s="92"/>
      <c r="E120" s="92"/>
      <c r="F120" s="92"/>
      <c r="G120" s="92"/>
      <c r="H120" s="92"/>
      <c r="I120" s="92"/>
      <c r="J120" s="92"/>
      <c r="K120" s="92"/>
      <c r="L120" s="95">
        <f>IF(Sheet1!D$193,SUM(D120:K120),NA())</f>
        <v>0</v>
      </c>
      <c r="M120" s="94" t="e">
        <f>IF(Sheet1!D$193,SUM(D201:K201),NA())</f>
        <v>#VALUE!</v>
      </c>
    </row>
    <row r="121" spans="1:13" x14ac:dyDescent="0.25">
      <c r="A121" s="147" t="str">
        <f>IF(Sheet1!D$193,IF((A120&gt;=(Sheet1!D$148+$A$110)-1)," ",A120+1),NA())</f>
        <v xml:space="preserve"> </v>
      </c>
      <c r="B121" s="147" t="str">
        <f>IF(Sheet1!D$193,IF((B120&gt;=(Sheet1!D$148+$B$110)-1)," ",B120+1),NA())</f>
        <v xml:space="preserve"> </v>
      </c>
      <c r="C121" s="146" t="str">
        <f t="shared" si="5"/>
        <v xml:space="preserve"> </v>
      </c>
      <c r="D121" s="92"/>
      <c r="E121" s="92"/>
      <c r="F121" s="92"/>
      <c r="G121" s="92"/>
      <c r="H121" s="92"/>
      <c r="I121" s="92"/>
      <c r="J121" s="92"/>
      <c r="K121" s="92"/>
      <c r="L121" s="95">
        <f>IF(Sheet1!D$193,SUM(D121:K121),NA())</f>
        <v>0</v>
      </c>
      <c r="M121" s="94" t="e">
        <f>IF(Sheet1!D$193,SUM(D202:K202),NA())</f>
        <v>#VALUE!</v>
      </c>
    </row>
    <row r="122" spans="1:13" x14ac:dyDescent="0.25">
      <c r="A122" s="147" t="str">
        <f>IF(Sheet1!D$193,IF((A121&gt;=(Sheet1!D$148+$A$110)-1)," ",A121+1),NA())</f>
        <v xml:space="preserve"> </v>
      </c>
      <c r="B122" s="147" t="str">
        <f>IF(Sheet1!D$193,IF((B121&gt;=(Sheet1!D$148+$B$110)-1)," ",B121+1),NA())</f>
        <v xml:space="preserve"> </v>
      </c>
      <c r="C122" s="146" t="str">
        <f t="shared" si="5"/>
        <v xml:space="preserve"> </v>
      </c>
      <c r="D122" s="92"/>
      <c r="E122" s="92"/>
      <c r="F122" s="92"/>
      <c r="G122" s="92"/>
      <c r="H122" s="92"/>
      <c r="I122" s="92"/>
      <c r="J122" s="92"/>
      <c r="K122" s="92"/>
      <c r="L122" s="95">
        <f>IF(Sheet1!D$193,SUM(D122:K122),NA())</f>
        <v>0</v>
      </c>
      <c r="M122" s="94" t="e">
        <f>IF(Sheet1!D$193,SUM(D203:K203),NA())</f>
        <v>#VALUE!</v>
      </c>
    </row>
    <row r="123" spans="1:13" x14ac:dyDescent="0.25">
      <c r="A123" s="147" t="str">
        <f>IF(Sheet1!D$193,IF((A122&gt;=(Sheet1!D$148+$A$110)-1)," ",A122+1),NA())</f>
        <v xml:space="preserve"> </v>
      </c>
      <c r="B123" s="147" t="str">
        <f>IF(Sheet1!D$193,IF((B122&gt;=(Sheet1!D$148+$B$110)-1)," ",B122+1),NA())</f>
        <v xml:space="preserve"> </v>
      </c>
      <c r="C123" s="146" t="str">
        <f t="shared" si="5"/>
        <v xml:space="preserve"> </v>
      </c>
      <c r="D123" s="92"/>
      <c r="E123" s="92"/>
      <c r="F123" s="92"/>
      <c r="G123" s="92"/>
      <c r="H123" s="92"/>
      <c r="I123" s="92"/>
      <c r="J123" s="92"/>
      <c r="K123" s="92"/>
      <c r="L123" s="95">
        <f>IF(Sheet1!D$193,SUM(D123:K123),NA())</f>
        <v>0</v>
      </c>
      <c r="M123" s="94" t="e">
        <f>IF(Sheet1!D$193,SUM(D204:K204),NA())</f>
        <v>#VALUE!</v>
      </c>
    </row>
    <row r="124" spans="1:13" x14ac:dyDescent="0.25">
      <c r="A124" s="147" t="str">
        <f>IF(Sheet1!D$193,IF((A123&gt;=(Sheet1!D$148+$A$110)-1)," ",A123+1),NA())</f>
        <v xml:space="preserve"> </v>
      </c>
      <c r="B124" s="147" t="str">
        <f>IF(Sheet1!D$193,IF((B123&gt;=(Sheet1!D$148+$B$110)-1)," ",B123+1),NA())</f>
        <v xml:space="preserve"> </v>
      </c>
      <c r="C124" s="146" t="str">
        <f t="shared" si="5"/>
        <v xml:space="preserve"> </v>
      </c>
      <c r="D124" s="92"/>
      <c r="E124" s="92"/>
      <c r="F124" s="92"/>
      <c r="G124" s="92"/>
      <c r="H124" s="92"/>
      <c r="I124" s="92"/>
      <c r="J124" s="92"/>
      <c r="K124" s="92"/>
      <c r="L124" s="95">
        <f>IF(Sheet1!D$193,SUM(D124:K124),NA())</f>
        <v>0</v>
      </c>
      <c r="M124" s="94" t="e">
        <f>IF(Sheet1!D$193,SUM(D205:K205),NA())</f>
        <v>#VALUE!</v>
      </c>
    </row>
    <row r="125" spans="1:13" x14ac:dyDescent="0.25">
      <c r="A125" s="147" t="str">
        <f>IF(Sheet1!D$193,IF((A124&gt;=(Sheet1!D$148+$A$110)-1)," ",A124+1),NA())</f>
        <v xml:space="preserve"> </v>
      </c>
      <c r="B125" s="147" t="str">
        <f>IF(Sheet1!D$193,IF((B124&gt;=(Sheet1!D$148+$B$110)-1)," ",B124+1),NA())</f>
        <v xml:space="preserve"> </v>
      </c>
      <c r="C125" s="146" t="str">
        <f t="shared" si="5"/>
        <v xml:space="preserve"> </v>
      </c>
      <c r="D125" s="92"/>
      <c r="E125" s="92"/>
      <c r="F125" s="92"/>
      <c r="G125" s="92"/>
      <c r="H125" s="92"/>
      <c r="I125" s="92"/>
      <c r="J125" s="92"/>
      <c r="K125" s="92"/>
      <c r="L125" s="95">
        <f>IF(Sheet1!D$193,SUM(D125:K125),NA())</f>
        <v>0</v>
      </c>
      <c r="M125" s="94" t="e">
        <f>IF(Sheet1!D$193,SUM(D206:K206),NA())</f>
        <v>#VALUE!</v>
      </c>
    </row>
    <row r="126" spans="1:13" x14ac:dyDescent="0.25">
      <c r="A126" s="147" t="str">
        <f>IF(Sheet1!D$193,IF((A125&gt;=(Sheet1!D$148+$A$110)-1)," ",A125+1),NA())</f>
        <v xml:space="preserve"> </v>
      </c>
      <c r="B126" s="147" t="str">
        <f>IF(Sheet1!D$193,IF((B125&gt;=(Sheet1!D$148+$B$110)-1)," ",B125+1),NA())</f>
        <v xml:space="preserve"> </v>
      </c>
      <c r="C126" s="146" t="str">
        <f t="shared" si="5"/>
        <v xml:space="preserve"> </v>
      </c>
      <c r="D126" s="92"/>
      <c r="E126" s="92"/>
      <c r="F126" s="92"/>
      <c r="G126" s="92"/>
      <c r="H126" s="92"/>
      <c r="I126" s="92"/>
      <c r="J126" s="92"/>
      <c r="K126" s="92"/>
      <c r="L126" s="95">
        <f>IF(Sheet1!D$193,SUM(D126:K126),NA())</f>
        <v>0</v>
      </c>
      <c r="M126" s="94" t="e">
        <f>IF(Sheet1!D$193,SUM(D207:K207),NA())</f>
        <v>#VALUE!</v>
      </c>
    </row>
    <row r="127" spans="1:13" x14ac:dyDescent="0.25">
      <c r="A127" s="147" t="str">
        <f>IF(Sheet1!D$193,IF((A126&gt;=(Sheet1!D$148+$A$110)-1)," ",A126+1),NA())</f>
        <v xml:space="preserve"> </v>
      </c>
      <c r="B127" s="147" t="str">
        <f>IF(Sheet1!D$193,IF((B126&gt;=(Sheet1!D$148+$B$110)-1)," ",B126+1),NA())</f>
        <v xml:space="preserve"> </v>
      </c>
      <c r="C127" s="146" t="str">
        <f t="shared" si="5"/>
        <v xml:space="preserve"> </v>
      </c>
      <c r="D127" s="92"/>
      <c r="E127" s="92"/>
      <c r="F127" s="92"/>
      <c r="G127" s="92"/>
      <c r="H127" s="92"/>
      <c r="I127" s="92"/>
      <c r="J127" s="92"/>
      <c r="K127" s="92"/>
      <c r="L127" s="95">
        <f>IF(Sheet1!D$193,SUM(D127:K127),NA())</f>
        <v>0</v>
      </c>
      <c r="M127" s="94" t="e">
        <f>IF(Sheet1!D$193,SUM(D208:K208),NA())</f>
        <v>#VALUE!</v>
      </c>
    </row>
    <row r="128" spans="1:13" x14ac:dyDescent="0.25">
      <c r="A128" s="147" t="str">
        <f>IF(Sheet1!D$193,IF((A127&gt;=(Sheet1!D$148+$A$110)-1)," ",A127+1),NA())</f>
        <v xml:space="preserve"> </v>
      </c>
      <c r="B128" s="147" t="str">
        <f>IF(Sheet1!D$193,IF((B127&gt;=(Sheet1!D$148+$B$110)-1)," ",B127+1),NA())</f>
        <v xml:space="preserve"> </v>
      </c>
      <c r="C128" s="146" t="str">
        <f t="shared" si="5"/>
        <v xml:space="preserve"> </v>
      </c>
      <c r="D128" s="92"/>
      <c r="E128" s="92"/>
      <c r="F128" s="92"/>
      <c r="G128" s="92"/>
      <c r="H128" s="92"/>
      <c r="I128" s="92"/>
      <c r="J128" s="92"/>
      <c r="K128" s="92"/>
      <c r="L128" s="95">
        <f>IF(Sheet1!D$193,SUM(D128:K128),NA())</f>
        <v>0</v>
      </c>
      <c r="M128" s="94" t="e">
        <f>IF(Sheet1!D$193,SUM(D209:K209),NA())</f>
        <v>#VALUE!</v>
      </c>
    </row>
    <row r="129" spans="1:13" x14ac:dyDescent="0.25">
      <c r="A129" s="147" t="str">
        <f>IF(Sheet1!D$193,IF((A128&gt;=(Sheet1!D$148+$A$110)-1)," ",A128+1),NA())</f>
        <v xml:space="preserve"> </v>
      </c>
      <c r="B129" s="147" t="str">
        <f>IF(Sheet1!D$193,IF((B128&gt;=(Sheet1!D$148+$B$110)-1)," ",B128+1),NA())</f>
        <v xml:space="preserve"> </v>
      </c>
      <c r="C129" s="146" t="str">
        <f t="shared" si="5"/>
        <v xml:space="preserve"> </v>
      </c>
      <c r="D129" s="92"/>
      <c r="E129" s="92"/>
      <c r="F129" s="92"/>
      <c r="G129" s="92"/>
      <c r="H129" s="92"/>
      <c r="I129" s="92"/>
      <c r="J129" s="92"/>
      <c r="K129" s="92"/>
      <c r="L129" s="95">
        <f>IF(Sheet1!D$193,SUM(D129:K129),NA())</f>
        <v>0</v>
      </c>
      <c r="M129" s="94" t="e">
        <f>IF(Sheet1!D$193,SUM(D210:K210),NA())</f>
        <v>#VALUE!</v>
      </c>
    </row>
    <row r="130" spans="1:13" x14ac:dyDescent="0.25">
      <c r="A130" s="147" t="str">
        <f>IF(Sheet1!D$193,IF((A129&gt;=(Sheet1!D$148+$A$110)-1)," ",A129+1),NA())</f>
        <v xml:space="preserve"> </v>
      </c>
      <c r="B130" s="147" t="str">
        <f>IF(Sheet1!D$193,IF((B129&gt;=(Sheet1!D$148+$B$110)-1)," ",B129+1),NA())</f>
        <v xml:space="preserve"> </v>
      </c>
      <c r="C130" s="146" t="str">
        <f t="shared" si="5"/>
        <v xml:space="preserve"> </v>
      </c>
      <c r="D130" s="92"/>
      <c r="E130" s="92"/>
      <c r="F130" s="92"/>
      <c r="G130" s="92"/>
      <c r="H130" s="92"/>
      <c r="I130" s="92"/>
      <c r="J130" s="92"/>
      <c r="K130" s="92"/>
      <c r="L130" s="95">
        <f>IF(Sheet1!D$193,SUM(D130:K130),NA())</f>
        <v>0</v>
      </c>
      <c r="M130" s="94" t="e">
        <f>IF(Sheet1!D$193,SUM(D211:K211),NA())</f>
        <v>#VALUE!</v>
      </c>
    </row>
    <row r="131" spans="1:13" x14ac:dyDescent="0.25">
      <c r="A131" s="147" t="str">
        <f>IF(Sheet1!D$193,IF((A130&gt;=(Sheet1!D$148+$A$110)-1)," ",A130+1),NA())</f>
        <v xml:space="preserve"> </v>
      </c>
      <c r="B131" s="147" t="str">
        <f>IF(Sheet1!D$193,IF((B130&gt;=(Sheet1!D$148+$B$110)-1)," ",B130+1),NA())</f>
        <v xml:space="preserve"> </v>
      </c>
      <c r="C131" s="146" t="str">
        <f t="shared" si="5"/>
        <v xml:space="preserve"> </v>
      </c>
      <c r="D131" s="92"/>
      <c r="E131" s="92"/>
      <c r="F131" s="92"/>
      <c r="G131" s="92"/>
      <c r="H131" s="92"/>
      <c r="I131" s="92"/>
      <c r="J131" s="92"/>
      <c r="K131" s="92"/>
      <c r="L131" s="95">
        <f>IF(Sheet1!D$193,SUM(D131:K131),NA())</f>
        <v>0</v>
      </c>
      <c r="M131" s="94" t="e">
        <f>IF(Sheet1!D$193,SUM(D212:K212),NA())</f>
        <v>#VALUE!</v>
      </c>
    </row>
    <row r="132" spans="1:13" x14ac:dyDescent="0.25">
      <c r="A132" s="147" t="str">
        <f>IF(Sheet1!D$193,IF((A131&gt;=(Sheet1!D$148+$A$110)-1)," ",A131+1),NA())</f>
        <v xml:space="preserve"> </v>
      </c>
      <c r="B132" s="147" t="str">
        <f>IF(Sheet1!D$193,IF((B131&gt;=(Sheet1!D$148+$B$110)-1)," ",B131+1),NA())</f>
        <v xml:space="preserve"> </v>
      </c>
      <c r="C132" s="146" t="str">
        <f t="shared" si="5"/>
        <v xml:space="preserve"> </v>
      </c>
      <c r="D132" s="92"/>
      <c r="E132" s="92"/>
      <c r="F132" s="92"/>
      <c r="G132" s="92"/>
      <c r="H132" s="92"/>
      <c r="I132" s="92"/>
      <c r="J132" s="92"/>
      <c r="K132" s="92"/>
      <c r="L132" s="95">
        <f>IF(Sheet1!D$193,SUM(D132:K132),NA())</f>
        <v>0</v>
      </c>
      <c r="M132" s="94" t="e">
        <f>IF(Sheet1!D$193,SUM(D213:K213),NA())</f>
        <v>#VALUE!</v>
      </c>
    </row>
    <row r="133" spans="1:13" x14ac:dyDescent="0.25">
      <c r="A133" s="147" t="str">
        <f>IF(Sheet1!D$193,IF((A132&gt;=(Sheet1!D$148+$A$110)-1)," ",A132+1),NA())</f>
        <v xml:space="preserve"> </v>
      </c>
      <c r="B133" s="147" t="str">
        <f>IF(Sheet1!D$193,IF((B132&gt;=(Sheet1!D$148+$B$110)-1)," ",B132+1),NA())</f>
        <v xml:space="preserve"> </v>
      </c>
      <c r="C133" s="146" t="str">
        <f t="shared" si="5"/>
        <v xml:space="preserve"> </v>
      </c>
      <c r="D133" s="92"/>
      <c r="E133" s="92"/>
      <c r="F133" s="92"/>
      <c r="G133" s="92"/>
      <c r="H133" s="92"/>
      <c r="I133" s="92"/>
      <c r="J133" s="92"/>
      <c r="K133" s="92"/>
      <c r="L133" s="95">
        <f>IF(Sheet1!D$193,SUM(D133:K133),NA())</f>
        <v>0</v>
      </c>
      <c r="M133" s="94" t="e">
        <f>IF(Sheet1!D$193,SUM(D214:K214),NA())</f>
        <v>#VALUE!</v>
      </c>
    </row>
    <row r="134" spans="1:13" x14ac:dyDescent="0.25">
      <c r="A134" s="147" t="str">
        <f>IF(Sheet1!D$193,IF((A133&gt;=(Sheet1!D$148+$A$110)-1)," ",A133+1),NA())</f>
        <v xml:space="preserve"> </v>
      </c>
      <c r="B134" s="147" t="str">
        <f>IF(Sheet1!D$193,IF((B133&gt;=(Sheet1!D$148+$B$110)-1)," ",B133+1),NA())</f>
        <v xml:space="preserve"> </v>
      </c>
      <c r="C134" s="146" t="str">
        <f t="shared" si="5"/>
        <v xml:space="preserve"> </v>
      </c>
      <c r="D134" s="92"/>
      <c r="E134" s="92"/>
      <c r="F134" s="92"/>
      <c r="G134" s="92"/>
      <c r="H134" s="92"/>
      <c r="I134" s="92"/>
      <c r="J134" s="92"/>
      <c r="K134" s="92"/>
      <c r="L134" s="95">
        <f>IF(Sheet1!D$193,SUM(D134:K134),NA())</f>
        <v>0</v>
      </c>
      <c r="M134" s="94" t="e">
        <f>IF(Sheet1!D$193,SUM(D215:K215),NA())</f>
        <v>#VALUE!</v>
      </c>
    </row>
    <row r="135" spans="1:13" x14ac:dyDescent="0.25">
      <c r="A135" s="147" t="str">
        <f>IF(Sheet1!D$193,IF((A134&gt;=(Sheet1!D$148+$A$110)-1)," ",A134+1),NA())</f>
        <v xml:space="preserve"> </v>
      </c>
      <c r="B135" s="147" t="str">
        <f>IF(Sheet1!D$193,IF((B134&gt;=(Sheet1!D$148+$B$110)-1)," ",B134+1),NA())</f>
        <v xml:space="preserve"> </v>
      </c>
      <c r="C135" s="146" t="str">
        <f t="shared" si="5"/>
        <v xml:space="preserve"> </v>
      </c>
      <c r="D135" s="92"/>
      <c r="E135" s="92"/>
      <c r="F135" s="92"/>
      <c r="G135" s="92"/>
      <c r="H135" s="92"/>
      <c r="I135" s="92"/>
      <c r="J135" s="92"/>
      <c r="K135" s="92"/>
      <c r="L135" s="95">
        <f>IF(Sheet1!D$193,SUM(D135:K135),NA())</f>
        <v>0</v>
      </c>
      <c r="M135" s="94" t="e">
        <f>IF(Sheet1!D$193,SUM(D216:K216),NA())</f>
        <v>#VALUE!</v>
      </c>
    </row>
    <row r="136" spans="1:13" x14ac:dyDescent="0.25">
      <c r="A136" s="147" t="str">
        <f>IF(Sheet1!D$193,IF((A135&gt;=(Sheet1!D$148+$A$110)-1)," ",A135+1),NA())</f>
        <v xml:space="preserve"> </v>
      </c>
      <c r="B136" s="147" t="str">
        <f>IF(Sheet1!D$193,IF((B135&gt;=(Sheet1!D$148+$B$110)-1)," ",B135+1),NA())</f>
        <v xml:space="preserve"> </v>
      </c>
      <c r="C136" s="146" t="str">
        <f t="shared" si="5"/>
        <v xml:space="preserve"> </v>
      </c>
      <c r="D136" s="92"/>
      <c r="E136" s="92"/>
      <c r="F136" s="92"/>
      <c r="G136" s="92"/>
      <c r="H136" s="92"/>
      <c r="I136" s="92"/>
      <c r="J136" s="92"/>
      <c r="K136" s="92"/>
      <c r="L136" s="95">
        <f>IF(Sheet1!D$193,SUM(D136:K136),NA())</f>
        <v>0</v>
      </c>
      <c r="M136" s="94" t="e">
        <f>IF(Sheet1!D$193,SUM(D217:K217),NA())</f>
        <v>#VALUE!</v>
      </c>
    </row>
    <row r="137" spans="1:13" x14ac:dyDescent="0.25">
      <c r="A137" s="147" t="str">
        <f>IF(Sheet1!D$193,IF((A136&gt;=(Sheet1!D$148+$A$110)-1)," ",A136+1),NA())</f>
        <v xml:space="preserve"> </v>
      </c>
      <c r="B137" s="147" t="str">
        <f>IF(Sheet1!D$193,IF((B136&gt;=(Sheet1!D$148+$B$110)-1)," ",B136+1),NA())</f>
        <v xml:space="preserve"> </v>
      </c>
      <c r="C137" s="146" t="str">
        <f t="shared" si="5"/>
        <v xml:space="preserve"> </v>
      </c>
      <c r="D137" s="92"/>
      <c r="E137" s="92"/>
      <c r="F137" s="92"/>
      <c r="G137" s="92"/>
      <c r="H137" s="92"/>
      <c r="I137" s="92"/>
      <c r="J137" s="92"/>
      <c r="K137" s="92"/>
      <c r="L137" s="95">
        <f>IF(Sheet1!D$193,SUM(D137:K137),NA())</f>
        <v>0</v>
      </c>
      <c r="M137" s="94" t="e">
        <f>IF(Sheet1!D$193,SUM(D218:K218),NA())</f>
        <v>#VALUE!</v>
      </c>
    </row>
    <row r="138" spans="1:13" x14ac:dyDescent="0.25">
      <c r="A138" s="147" t="str">
        <f>IF(Sheet1!D$193,IF((A137&gt;=(Sheet1!D$148+$A$110)-1)," ",A137+1),NA())</f>
        <v xml:space="preserve"> </v>
      </c>
      <c r="B138" s="147" t="str">
        <f>IF(Sheet1!D$193,IF((B137&gt;=(Sheet1!D$148+$B$110)-1)," ",B137+1),NA())</f>
        <v xml:space="preserve"> </v>
      </c>
      <c r="C138" s="146" t="str">
        <f t="shared" si="5"/>
        <v xml:space="preserve"> </v>
      </c>
      <c r="D138" s="92"/>
      <c r="E138" s="92"/>
      <c r="F138" s="92"/>
      <c r="G138" s="92"/>
      <c r="H138" s="92"/>
      <c r="I138" s="92"/>
      <c r="J138" s="92"/>
      <c r="K138" s="92"/>
      <c r="L138" s="95">
        <f>IF(Sheet1!D$193,SUM(D138:K138),NA())</f>
        <v>0</v>
      </c>
      <c r="M138" s="94" t="e">
        <f>IF(Sheet1!D$193,SUM(D219:K219),NA())</f>
        <v>#VALUE!</v>
      </c>
    </row>
    <row r="139" spans="1:13" x14ac:dyDescent="0.25">
      <c r="A139" s="147" t="str">
        <f>IF(Sheet1!D$193,IF((A138&gt;=(Sheet1!D$148+$A$110)-1)," ",A138+1),NA())</f>
        <v xml:space="preserve"> </v>
      </c>
      <c r="B139" s="147" t="str">
        <f>IF(Sheet1!D$193,IF((B138&gt;=(Sheet1!D$148+$B$110)-1)," ",B138+1),NA())</f>
        <v xml:space="preserve"> </v>
      </c>
      <c r="C139" s="146" t="str">
        <f t="shared" si="5"/>
        <v xml:space="preserve"> </v>
      </c>
      <c r="D139" s="92"/>
      <c r="E139" s="92"/>
      <c r="F139" s="92"/>
      <c r="G139" s="92"/>
      <c r="H139" s="92"/>
      <c r="I139" s="92"/>
      <c r="J139" s="92"/>
      <c r="K139" s="92"/>
      <c r="L139" s="95">
        <f>IF(Sheet1!D$193,SUM(D139:K139),NA())</f>
        <v>0</v>
      </c>
      <c r="M139" s="94" t="e">
        <f>IF(Sheet1!D$193,SUM(D220:K220),NA())</f>
        <v>#VALUE!</v>
      </c>
    </row>
    <row r="140" spans="1:13" x14ac:dyDescent="0.25">
      <c r="A140" s="147" t="str">
        <f>IF(Sheet1!D$193,IF((A139&gt;=(Sheet1!D$148+$A$110)-1)," ",A139+1),NA())</f>
        <v xml:space="preserve"> </v>
      </c>
      <c r="B140" s="147" t="str">
        <f>IF(Sheet1!D$193,IF((B139&gt;=(Sheet1!D$148+$B$110)-1)," ",B139+1),NA())</f>
        <v xml:space="preserve"> </v>
      </c>
      <c r="C140" s="146" t="str">
        <f t="shared" si="5"/>
        <v xml:space="preserve"> </v>
      </c>
      <c r="D140" s="92"/>
      <c r="E140" s="92"/>
      <c r="F140" s="92"/>
      <c r="G140" s="92"/>
      <c r="H140" s="92"/>
      <c r="I140" s="92"/>
      <c r="J140" s="92"/>
      <c r="K140" s="92"/>
      <c r="L140" s="95">
        <f>IF(Sheet1!D$193,SUM(D140:K140),NA())</f>
        <v>0</v>
      </c>
      <c r="M140" s="94" t="e">
        <f>IF(Sheet1!D$193,SUM(D221:K221),NA())</f>
        <v>#VALUE!</v>
      </c>
    </row>
    <row r="141" spans="1:13" x14ac:dyDescent="0.25">
      <c r="A141" s="147" t="str">
        <f>IF(Sheet1!D$193,IF((A140&gt;=(Sheet1!D$148+$A$110)-1)," ",A140+1),NA())</f>
        <v xml:space="preserve"> </v>
      </c>
      <c r="B141" s="147" t="str">
        <f>IF(Sheet1!D$193,IF((B140&gt;=(Sheet1!D$148+$B$110)-1)," ",B140+1),NA())</f>
        <v xml:space="preserve"> </v>
      </c>
      <c r="C141" s="146" t="str">
        <f t="shared" si="5"/>
        <v xml:space="preserve"> </v>
      </c>
      <c r="D141" s="92"/>
      <c r="E141" s="92"/>
      <c r="F141" s="92"/>
      <c r="G141" s="92"/>
      <c r="H141" s="92"/>
      <c r="I141" s="92"/>
      <c r="J141" s="92"/>
      <c r="K141" s="92"/>
      <c r="L141" s="95">
        <f>IF(Sheet1!D$193,SUM(D141:K141),NA())</f>
        <v>0</v>
      </c>
      <c r="M141" s="94" t="e">
        <f>IF(Sheet1!D$193,SUM(D222:K222),NA())</f>
        <v>#VALUE!</v>
      </c>
    </row>
    <row r="142" spans="1:13" x14ac:dyDescent="0.25">
      <c r="A142" s="147" t="str">
        <f>IF(Sheet1!D$193,IF((A141&gt;=(Sheet1!D$148+$A$110)-1)," ",A141+1),NA())</f>
        <v xml:space="preserve"> </v>
      </c>
      <c r="B142" s="147" t="str">
        <f>IF(Sheet1!D$193,IF((B141&gt;=(Sheet1!D$148+$B$110)-1)," ",B141+1),NA())</f>
        <v xml:space="preserve"> </v>
      </c>
      <c r="C142" s="146" t="str">
        <f t="shared" ref="C142:C159" si="6">IF(AND(OR(A142=" ",A142="#NA"),OR(D142&lt;&gt;0,E142&lt;&gt;0,F142&lt;&gt;0,G142&lt;&gt;0,H142&lt;&gt;0,I142&lt;&gt;0,J142&lt;&gt;0,K142&lt;&gt;0)),"Clear=&gt;"," ")</f>
        <v xml:space="preserve"> </v>
      </c>
      <c r="D142" s="92"/>
      <c r="E142" s="92"/>
      <c r="F142" s="92"/>
      <c r="G142" s="92"/>
      <c r="H142" s="92"/>
      <c r="I142" s="92"/>
      <c r="J142" s="92"/>
      <c r="K142" s="92"/>
      <c r="L142" s="95">
        <f>IF(Sheet1!D$193,SUM(D142:K142),NA())</f>
        <v>0</v>
      </c>
      <c r="M142" s="94" t="e">
        <f>IF(Sheet1!D$193,SUM(D223:K223),NA())</f>
        <v>#VALUE!</v>
      </c>
    </row>
    <row r="143" spans="1:13" x14ac:dyDescent="0.25">
      <c r="A143" s="147" t="str">
        <f>IF(Sheet1!D$193,IF((A142&gt;=(Sheet1!D$148+$A$110)-1)," ",A142+1),NA())</f>
        <v xml:space="preserve"> </v>
      </c>
      <c r="B143" s="147" t="str">
        <f>IF(Sheet1!D$193,IF((B142&gt;=(Sheet1!D$148+$B$110)-1)," ",B142+1),NA())</f>
        <v xml:space="preserve"> </v>
      </c>
      <c r="C143" s="146" t="str">
        <f t="shared" si="6"/>
        <v xml:space="preserve"> </v>
      </c>
      <c r="D143" s="92"/>
      <c r="E143" s="92"/>
      <c r="F143" s="92"/>
      <c r="G143" s="92"/>
      <c r="H143" s="92"/>
      <c r="I143" s="92"/>
      <c r="J143" s="92"/>
      <c r="K143" s="92"/>
      <c r="L143" s="95">
        <f>IF(Sheet1!D$193,SUM(D143:K143),NA())</f>
        <v>0</v>
      </c>
      <c r="M143" s="94" t="e">
        <f>IF(Sheet1!D$193,SUM(D224:K224),NA())</f>
        <v>#VALUE!</v>
      </c>
    </row>
    <row r="144" spans="1:13" x14ac:dyDescent="0.25">
      <c r="A144" s="147" t="str">
        <f>IF(Sheet1!D$193,IF((A143&gt;=(Sheet1!D$148+$A$110)-1)," ",A143+1),NA())</f>
        <v xml:space="preserve"> </v>
      </c>
      <c r="B144" s="147" t="str">
        <f>IF(Sheet1!D$193,IF((B143&gt;=(Sheet1!D$148+$B$110)-1)," ",B143+1),NA())</f>
        <v xml:space="preserve"> </v>
      </c>
      <c r="C144" s="146" t="str">
        <f t="shared" si="6"/>
        <v xml:space="preserve"> </v>
      </c>
      <c r="D144" s="92"/>
      <c r="E144" s="92"/>
      <c r="F144" s="92"/>
      <c r="G144" s="92"/>
      <c r="H144" s="92"/>
      <c r="I144" s="92"/>
      <c r="J144" s="92"/>
      <c r="K144" s="92"/>
      <c r="L144" s="95">
        <f>IF(Sheet1!D$193,SUM(D144:K144),NA())</f>
        <v>0</v>
      </c>
      <c r="M144" s="94" t="e">
        <f>IF(Sheet1!D$193,SUM(D225:K225),NA())</f>
        <v>#VALUE!</v>
      </c>
    </row>
    <row r="145" spans="1:13" x14ac:dyDescent="0.25">
      <c r="A145" s="147" t="str">
        <f>IF(Sheet1!D$193,IF((A144&gt;=(Sheet1!D$148+$A$110)-1)," ",A144+1),NA())</f>
        <v xml:space="preserve"> </v>
      </c>
      <c r="B145" s="147" t="str">
        <f>IF(Sheet1!D$193,IF((B144&gt;=(Sheet1!D$148+$B$110)-1)," ",B144+1),NA())</f>
        <v xml:space="preserve"> </v>
      </c>
      <c r="C145" s="146" t="str">
        <f t="shared" si="6"/>
        <v xml:space="preserve"> </v>
      </c>
      <c r="D145" s="92"/>
      <c r="E145" s="92"/>
      <c r="F145" s="92"/>
      <c r="G145" s="92"/>
      <c r="H145" s="92"/>
      <c r="I145" s="92"/>
      <c r="J145" s="92"/>
      <c r="K145" s="92"/>
      <c r="L145" s="95">
        <f>IF(Sheet1!D$193,SUM(D145:K145),NA())</f>
        <v>0</v>
      </c>
      <c r="M145" s="94" t="e">
        <f>IF(Sheet1!D$193,SUM(D226:K226),NA())</f>
        <v>#VALUE!</v>
      </c>
    </row>
    <row r="146" spans="1:13" x14ac:dyDescent="0.25">
      <c r="A146" s="147" t="str">
        <f>IF(Sheet1!D$193,IF((A145&gt;=(Sheet1!D$148+$A$110)-1)," ",A145+1),NA())</f>
        <v xml:space="preserve"> </v>
      </c>
      <c r="B146" s="147" t="str">
        <f>IF(Sheet1!D$193,IF((B145&gt;=(Sheet1!D$148+$B$110)-1)," ",B145+1),NA())</f>
        <v xml:space="preserve"> </v>
      </c>
      <c r="C146" s="146" t="str">
        <f t="shared" si="6"/>
        <v xml:space="preserve"> </v>
      </c>
      <c r="D146" s="92"/>
      <c r="E146" s="92"/>
      <c r="F146" s="92"/>
      <c r="G146" s="92"/>
      <c r="H146" s="92"/>
      <c r="I146" s="92"/>
      <c r="J146" s="92"/>
      <c r="K146" s="92"/>
      <c r="L146" s="95">
        <f>IF(Sheet1!D$193,SUM(D146:K146),NA())</f>
        <v>0</v>
      </c>
      <c r="M146" s="94" t="e">
        <f>IF(Sheet1!D$193,SUM(D227:K227),NA())</f>
        <v>#VALUE!</v>
      </c>
    </row>
    <row r="147" spans="1:13" x14ac:dyDescent="0.25">
      <c r="A147" s="147" t="str">
        <f>IF(Sheet1!D$193,IF((A146&gt;=(Sheet1!D$148+$A$110)-1)," ",A146+1),NA())</f>
        <v xml:space="preserve"> </v>
      </c>
      <c r="B147" s="147" t="str">
        <f>IF(Sheet1!D$193,IF((B146&gt;=(Sheet1!D$148+$B$110)-1)," ",B146+1),NA())</f>
        <v xml:space="preserve"> </v>
      </c>
      <c r="C147" s="146" t="str">
        <f t="shared" si="6"/>
        <v xml:space="preserve"> </v>
      </c>
      <c r="D147" s="92"/>
      <c r="E147" s="92"/>
      <c r="F147" s="92"/>
      <c r="G147" s="92"/>
      <c r="H147" s="92"/>
      <c r="I147" s="92"/>
      <c r="J147" s="92"/>
      <c r="K147" s="92"/>
      <c r="L147" s="95">
        <f>IF(Sheet1!D$193,SUM(D147:K147),NA())</f>
        <v>0</v>
      </c>
      <c r="M147" s="94" t="e">
        <f>IF(Sheet1!D$193,SUM(D228:K228),NA())</f>
        <v>#VALUE!</v>
      </c>
    </row>
    <row r="148" spans="1:13" x14ac:dyDescent="0.25">
      <c r="A148" s="147" t="str">
        <f>IF(Sheet1!D$193,IF((A147&gt;=(Sheet1!D$148+$A$110)-1)," ",A147+1),NA())</f>
        <v xml:space="preserve"> </v>
      </c>
      <c r="B148" s="147" t="str">
        <f>IF(Sheet1!D$193,IF((B147&gt;=(Sheet1!D$148+$B$110)-1)," ",B147+1),NA())</f>
        <v xml:space="preserve"> </v>
      </c>
      <c r="C148" s="146" t="str">
        <f t="shared" si="6"/>
        <v xml:space="preserve"> </v>
      </c>
      <c r="D148" s="92"/>
      <c r="E148" s="92"/>
      <c r="F148" s="92"/>
      <c r="G148" s="92"/>
      <c r="H148" s="92"/>
      <c r="I148" s="92"/>
      <c r="J148" s="92"/>
      <c r="K148" s="92"/>
      <c r="L148" s="95">
        <f>IF(Sheet1!D$193,SUM(D148:K148),NA())</f>
        <v>0</v>
      </c>
      <c r="M148" s="94" t="e">
        <f>IF(Sheet1!D$193,SUM(D229:K229),NA())</f>
        <v>#VALUE!</v>
      </c>
    </row>
    <row r="149" spans="1:13" x14ac:dyDescent="0.25">
      <c r="A149" s="147" t="str">
        <f>IF(Sheet1!D$193,IF((A148&gt;=(Sheet1!D$148+$A$110)-1)," ",A148+1),NA())</f>
        <v xml:space="preserve"> </v>
      </c>
      <c r="B149" s="147" t="str">
        <f>IF(Sheet1!D$193,IF((B148&gt;=(Sheet1!D$148+$B$110)-1)," ",B148+1),NA())</f>
        <v xml:space="preserve"> </v>
      </c>
      <c r="C149" s="146" t="str">
        <f t="shared" si="6"/>
        <v xml:space="preserve"> </v>
      </c>
      <c r="D149" s="92"/>
      <c r="E149" s="92"/>
      <c r="F149" s="92"/>
      <c r="G149" s="92"/>
      <c r="H149" s="92"/>
      <c r="I149" s="92"/>
      <c r="J149" s="92"/>
      <c r="K149" s="92"/>
      <c r="L149" s="95">
        <f>IF(Sheet1!D$193,SUM(D149:K149),NA())</f>
        <v>0</v>
      </c>
      <c r="M149" s="94" t="e">
        <f>IF(Sheet1!D$193,SUM(D230:K230),NA())</f>
        <v>#VALUE!</v>
      </c>
    </row>
    <row r="150" spans="1:13" x14ac:dyDescent="0.25">
      <c r="A150" s="147" t="str">
        <f>IF(Sheet1!D$193,IF((A149&gt;=(Sheet1!D$148+$A$110)-1)," ",A149+1),NA())</f>
        <v xml:space="preserve"> </v>
      </c>
      <c r="B150" s="147" t="str">
        <f>IF(Sheet1!D$193,IF((B149&gt;=(Sheet1!D$148+$B$110)-1)," ",B149+1),NA())</f>
        <v xml:space="preserve"> </v>
      </c>
      <c r="C150" s="146" t="str">
        <f t="shared" si="6"/>
        <v xml:space="preserve"> </v>
      </c>
      <c r="D150" s="92"/>
      <c r="E150" s="92"/>
      <c r="F150" s="92"/>
      <c r="G150" s="92"/>
      <c r="H150" s="92"/>
      <c r="I150" s="92"/>
      <c r="J150" s="92"/>
      <c r="K150" s="92"/>
      <c r="L150" s="95">
        <f>IF(Sheet1!D$193,SUM(D150:K150),NA())</f>
        <v>0</v>
      </c>
      <c r="M150" s="94" t="e">
        <f>IF(Sheet1!D$193,SUM(D231:K231),NA())</f>
        <v>#VALUE!</v>
      </c>
    </row>
    <row r="151" spans="1:13" x14ac:dyDescent="0.25">
      <c r="A151" s="147" t="str">
        <f>IF(Sheet1!D$193,IF((A150&gt;=(Sheet1!D$148+$A$110)-1)," ",A150+1),NA())</f>
        <v xml:space="preserve"> </v>
      </c>
      <c r="B151" s="147" t="str">
        <f>IF(Sheet1!D$193,IF((B150&gt;=(Sheet1!D$148+$B$110)-1)," ",B150+1),NA())</f>
        <v xml:space="preserve"> </v>
      </c>
      <c r="C151" s="146" t="str">
        <f t="shared" si="6"/>
        <v xml:space="preserve"> </v>
      </c>
      <c r="D151" s="92"/>
      <c r="E151" s="92"/>
      <c r="F151" s="92"/>
      <c r="G151" s="92"/>
      <c r="H151" s="92"/>
      <c r="I151" s="92"/>
      <c r="J151" s="92"/>
      <c r="K151" s="92"/>
      <c r="L151" s="95">
        <f>IF(Sheet1!D$193,SUM(D151:K151),NA())</f>
        <v>0</v>
      </c>
      <c r="M151" s="94" t="e">
        <f>IF(Sheet1!D$193,SUM(D232:K232),NA())</f>
        <v>#VALUE!</v>
      </c>
    </row>
    <row r="152" spans="1:13" x14ac:dyDescent="0.25">
      <c r="A152" s="147" t="str">
        <f>IF(Sheet1!D$193,IF((A151&gt;=(Sheet1!D$148+$A$110)-1)," ",A151+1),NA())</f>
        <v xml:space="preserve"> </v>
      </c>
      <c r="B152" s="147" t="str">
        <f>IF(Sheet1!D$193,IF((B151&gt;=(Sheet1!D$148+$B$110)-1)," ",B151+1),NA())</f>
        <v xml:space="preserve"> </v>
      </c>
      <c r="C152" s="146" t="str">
        <f t="shared" si="6"/>
        <v xml:space="preserve"> </v>
      </c>
      <c r="D152" s="92"/>
      <c r="E152" s="92"/>
      <c r="F152" s="92"/>
      <c r="G152" s="92"/>
      <c r="H152" s="92"/>
      <c r="I152" s="92"/>
      <c r="J152" s="92"/>
      <c r="K152" s="92"/>
      <c r="L152" s="95">
        <f>IF(Sheet1!D$193,SUM(D152:K152),NA())</f>
        <v>0</v>
      </c>
      <c r="M152" s="94" t="e">
        <f>IF(Sheet1!D$193,SUM(D233:K233),NA())</f>
        <v>#VALUE!</v>
      </c>
    </row>
    <row r="153" spans="1:13" x14ac:dyDescent="0.25">
      <c r="A153" s="147" t="str">
        <f>IF(Sheet1!D$193,IF((A152&gt;=(Sheet1!D$148+$A$110)-1)," ",A152+1),NA())</f>
        <v xml:space="preserve"> </v>
      </c>
      <c r="B153" s="147" t="str">
        <f>IF(Sheet1!D$193,IF((B152&gt;=(Sheet1!D$148+$B$110)-1)," ",B152+1),NA())</f>
        <v xml:space="preserve"> </v>
      </c>
      <c r="C153" s="146" t="str">
        <f t="shared" si="6"/>
        <v xml:space="preserve"> </v>
      </c>
      <c r="D153" s="92"/>
      <c r="E153" s="92"/>
      <c r="F153" s="92"/>
      <c r="G153" s="92"/>
      <c r="H153" s="92"/>
      <c r="I153" s="92"/>
      <c r="J153" s="92"/>
      <c r="K153" s="92"/>
      <c r="L153" s="95">
        <f>IF(Sheet1!D$193,SUM(D153:K153),NA())</f>
        <v>0</v>
      </c>
      <c r="M153" s="94" t="e">
        <f>IF(Sheet1!D$193,SUM(D234:K234),NA())</f>
        <v>#VALUE!</v>
      </c>
    </row>
    <row r="154" spans="1:13" x14ac:dyDescent="0.25">
      <c r="A154" s="147" t="str">
        <f>IF(Sheet1!D$193,IF((A153&gt;=(Sheet1!D$148+$A$110)-1)," ",A153+1),NA())</f>
        <v xml:space="preserve"> </v>
      </c>
      <c r="B154" s="147" t="str">
        <f>IF(Sheet1!D$193,IF((B153&gt;=(Sheet1!D$148+$B$110)-1)," ",B153+1),NA())</f>
        <v xml:space="preserve"> </v>
      </c>
      <c r="C154" s="146" t="str">
        <f t="shared" si="6"/>
        <v xml:space="preserve"> </v>
      </c>
      <c r="D154" s="92"/>
      <c r="E154" s="92"/>
      <c r="F154" s="92"/>
      <c r="G154" s="92"/>
      <c r="H154" s="92"/>
      <c r="I154" s="92"/>
      <c r="J154" s="92"/>
      <c r="K154" s="92"/>
      <c r="L154" s="95">
        <f>IF(Sheet1!D$193,SUM(D154:K154),NA())</f>
        <v>0</v>
      </c>
      <c r="M154" s="94" t="e">
        <f>IF(Sheet1!D$193,SUM(D235:K235),NA())</f>
        <v>#VALUE!</v>
      </c>
    </row>
    <row r="155" spans="1:13" x14ac:dyDescent="0.25">
      <c r="A155" s="147" t="str">
        <f>IF(Sheet1!D$193,IF((A154&gt;=(Sheet1!D$148+$A$110)-1)," ",A154+1),NA())</f>
        <v xml:space="preserve"> </v>
      </c>
      <c r="B155" s="147" t="str">
        <f>IF(Sheet1!D$193,IF((B154&gt;=(Sheet1!D$148+$B$110)-1)," ",B154+1),NA())</f>
        <v xml:space="preserve"> </v>
      </c>
      <c r="C155" s="146" t="str">
        <f t="shared" si="6"/>
        <v xml:space="preserve"> </v>
      </c>
      <c r="D155" s="92"/>
      <c r="E155" s="92"/>
      <c r="F155" s="92"/>
      <c r="G155" s="92"/>
      <c r="H155" s="92"/>
      <c r="I155" s="92"/>
      <c r="J155" s="92"/>
      <c r="K155" s="92"/>
      <c r="L155" s="95">
        <f>IF(Sheet1!D$193,SUM(D155:K155),NA())</f>
        <v>0</v>
      </c>
      <c r="M155" s="94" t="e">
        <f>IF(Sheet1!D$193,SUM(D236:K236),NA())</f>
        <v>#VALUE!</v>
      </c>
    </row>
    <row r="156" spans="1:13" ht="13.8" thickBot="1" x14ac:dyDescent="0.3">
      <c r="A156" s="147" t="str">
        <f>IF(Sheet1!D$193,IF((A155&gt;=(Sheet1!D$148+$A$110)-1)," ",A155+1),NA())</f>
        <v xml:space="preserve"> </v>
      </c>
      <c r="B156" s="147" t="str">
        <f>IF(Sheet1!D$193,IF((B155&gt;=(Sheet1!D$148+$B$110)-1)," ",B155+1),NA())</f>
        <v xml:space="preserve"> </v>
      </c>
      <c r="C156" s="146" t="str">
        <f t="shared" si="6"/>
        <v xml:space="preserve"> </v>
      </c>
      <c r="D156" s="92"/>
      <c r="E156" s="92"/>
      <c r="F156" s="92"/>
      <c r="G156" s="92"/>
      <c r="H156" s="92"/>
      <c r="I156" s="92"/>
      <c r="J156" s="92"/>
      <c r="K156" s="92"/>
      <c r="L156" s="95">
        <f>IF(Sheet1!D$193,SUM(D156:K156),NA())</f>
        <v>0</v>
      </c>
      <c r="M156" s="94" t="e">
        <f>IF(Sheet1!D$193,SUM(D237:K237),NA())</f>
        <v>#VALUE!</v>
      </c>
    </row>
    <row r="157" spans="1:13" ht="13.8" hidden="1" thickBot="1" x14ac:dyDescent="0.3">
      <c r="A157" s="147" t="str">
        <f>IF(Sheet1!D$193,IF((A156&gt;=(Sheet1!D$148+$A$110)-1)," ",A156+1),NA())</f>
        <v xml:space="preserve"> </v>
      </c>
      <c r="B157" s="147" t="str">
        <f>IF(Sheet1!D$193,IF((B156&gt;=(Sheet1!D$148+$B$110)-1)," ",B156+1),NA())</f>
        <v xml:space="preserve"> </v>
      </c>
      <c r="C157" s="146" t="str">
        <f t="shared" si="6"/>
        <v xml:space="preserve"> </v>
      </c>
      <c r="D157" s="92"/>
      <c r="E157" s="92"/>
      <c r="F157" s="92"/>
      <c r="G157" s="92"/>
      <c r="H157" s="92"/>
      <c r="I157" s="92"/>
      <c r="J157" s="92"/>
      <c r="K157" s="92"/>
      <c r="L157" s="95">
        <f>IF(Sheet1!D$193,SUM(D157:K157),NA())</f>
        <v>0</v>
      </c>
      <c r="M157" s="94" t="e">
        <f>IF(Sheet1!D$193,SUM(D238:K238),NA())</f>
        <v>#VALUE!</v>
      </c>
    </row>
    <row r="158" spans="1:13" ht="13.8" hidden="1" thickBot="1" x14ac:dyDescent="0.3">
      <c r="A158" s="147" t="str">
        <f>IF(Sheet1!D$193,IF((A157&gt;=(Sheet1!D$148+$A$110)-1)," ",A157+1),NA())</f>
        <v xml:space="preserve"> </v>
      </c>
      <c r="B158" s="147" t="str">
        <f>IF(Sheet1!D$193,IF((B157&gt;=(Sheet1!D$148+$B$110)-1)," ",B157+1),NA())</f>
        <v xml:space="preserve"> </v>
      </c>
      <c r="C158" s="146" t="str">
        <f t="shared" si="6"/>
        <v xml:space="preserve"> </v>
      </c>
      <c r="D158" s="92"/>
      <c r="E158" s="92"/>
      <c r="F158" s="92"/>
      <c r="G158" s="92"/>
      <c r="H158" s="92"/>
      <c r="I158" s="92"/>
      <c r="J158" s="92"/>
      <c r="K158" s="92"/>
      <c r="L158" s="95">
        <f>IF(Sheet1!D$193,SUM(D158:K158),NA())</f>
        <v>0</v>
      </c>
      <c r="M158" s="94" t="e">
        <f>IF(Sheet1!D$193,SUM(D239:K239),NA())</f>
        <v>#VALUE!</v>
      </c>
    </row>
    <row r="159" spans="1:13" ht="13.8" hidden="1" thickBot="1" x14ac:dyDescent="0.3">
      <c r="A159" s="147" t="str">
        <f>IF(Sheet1!D$193,IF((A158&gt;=(Sheet1!D$148+$A$110)-1)," ",A158+1),NA())</f>
        <v xml:space="preserve"> </v>
      </c>
      <c r="B159" s="147" t="str">
        <f>IF(Sheet1!D$193,IF((B158&gt;=(Sheet1!D$148+$B$110)-1)," ",B158+1),NA())</f>
        <v xml:space="preserve"> </v>
      </c>
      <c r="C159" s="146" t="str">
        <f t="shared" si="6"/>
        <v xml:space="preserve"> </v>
      </c>
      <c r="D159" s="92"/>
      <c r="E159" s="92"/>
      <c r="F159" s="92"/>
      <c r="G159" s="92"/>
      <c r="H159" s="92"/>
      <c r="I159" s="92"/>
      <c r="J159" s="92"/>
      <c r="K159" s="92"/>
      <c r="L159" s="95">
        <f>IF(Sheet1!D$193,SUM(D159:K159),NA())</f>
        <v>0</v>
      </c>
      <c r="M159" s="94" t="e">
        <f>IF(Sheet1!D$193,SUM(D240:K240),NA())</f>
        <v>#VALUE!</v>
      </c>
    </row>
    <row r="160" spans="1:13" ht="13.8" thickTop="1" x14ac:dyDescent="0.25">
      <c r="A160" s="146" t="s">
        <v>256</v>
      </c>
      <c r="B160" s="150"/>
      <c r="C160" s="150"/>
      <c r="D160" s="97">
        <f>IF(Sheet1!D$193,SUM(D110:D159),NA())</f>
        <v>0</v>
      </c>
      <c r="E160" s="97">
        <f>IF(Sheet1!D$193,SUM(E110:E159),NA())</f>
        <v>0</v>
      </c>
      <c r="F160" s="97">
        <f>IF(Sheet1!D$193,SUM(F110:F159),NA())</f>
        <v>0</v>
      </c>
      <c r="G160" s="97">
        <f>IF(Sheet1!D$193,SUM(G110:G159),NA())</f>
        <v>0</v>
      </c>
      <c r="H160" s="97">
        <f>IF(Sheet1!D$193,SUM(H110:H159),NA())</f>
        <v>0</v>
      </c>
      <c r="I160" s="97">
        <f>IF(Sheet1!D$193,SUM(I110:I159),NA())</f>
        <v>0</v>
      </c>
      <c r="J160" s="97">
        <f>IF(Sheet1!D$193,SUM(J110:J159),NA())</f>
        <v>0</v>
      </c>
      <c r="K160" s="97">
        <f>IF(Sheet1!D$193,SUM(K110:K159),NA())</f>
        <v>0</v>
      </c>
      <c r="L160" s="95">
        <f>IF(Sheet1!D$193,SUM(L110:L159),NA())</f>
        <v>0</v>
      </c>
      <c r="M160" s="95" t="e">
        <f>IF(Sheet1!D$193,SUM(M110:M159),NA())</f>
        <v>#VALUE!</v>
      </c>
    </row>
    <row r="161" spans="1:13" x14ac:dyDescent="0.25">
      <c r="A161" s="146" t="s">
        <v>235</v>
      </c>
      <c r="B161" s="150"/>
      <c r="C161" s="150"/>
      <c r="D161" s="98" t="str">
        <f t="shared" ref="D161:K161" si="7">IF($L$160=0,"",D160/$L$160)</f>
        <v/>
      </c>
      <c r="E161" s="99" t="str">
        <f t="shared" si="7"/>
        <v/>
      </c>
      <c r="F161" s="99" t="str">
        <f t="shared" si="7"/>
        <v/>
      </c>
      <c r="G161" s="99" t="str">
        <f t="shared" si="7"/>
        <v/>
      </c>
      <c r="H161" s="99" t="str">
        <f t="shared" si="7"/>
        <v/>
      </c>
      <c r="I161" s="99" t="str">
        <f t="shared" si="7"/>
        <v/>
      </c>
      <c r="J161" s="99" t="str">
        <f t="shared" si="7"/>
        <v/>
      </c>
      <c r="K161" s="99" t="str">
        <f t="shared" si="7"/>
        <v/>
      </c>
      <c r="L161" s="149"/>
      <c r="M161" s="127"/>
    </row>
    <row r="162" spans="1:13" x14ac:dyDescent="0.25">
      <c r="A162" s="146" t="s">
        <v>255</v>
      </c>
      <c r="B162" s="150"/>
      <c r="C162" s="150"/>
      <c r="D162" s="98" t="e">
        <f t="shared" ref="D162:K162" si="8">IF($M$160=0,"",D241/$M$160)</f>
        <v>#VALUE!</v>
      </c>
      <c r="E162" s="98" t="e">
        <f t="shared" si="8"/>
        <v>#VALUE!</v>
      </c>
      <c r="F162" s="98" t="e">
        <f t="shared" si="8"/>
        <v>#VALUE!</v>
      </c>
      <c r="G162" s="98" t="e">
        <f t="shared" si="8"/>
        <v>#VALUE!</v>
      </c>
      <c r="H162" s="98" t="e">
        <f t="shared" si="8"/>
        <v>#VALUE!</v>
      </c>
      <c r="I162" s="98" t="e">
        <f t="shared" si="8"/>
        <v>#VALUE!</v>
      </c>
      <c r="J162" s="98" t="e">
        <f t="shared" si="8"/>
        <v>#VALUE!</v>
      </c>
      <c r="K162" s="98" t="e">
        <f t="shared" si="8"/>
        <v>#VALUE!</v>
      </c>
      <c r="L162" s="149"/>
      <c r="M162" s="127"/>
    </row>
    <row r="163" spans="1:13" x14ac:dyDescent="0.25">
      <c r="A163" s="139"/>
      <c r="B163" s="139"/>
      <c r="C163" s="139"/>
      <c r="D163" s="101"/>
      <c r="E163" s="101"/>
      <c r="F163" s="101"/>
      <c r="G163" s="101"/>
      <c r="H163" s="101"/>
      <c r="I163" s="101"/>
      <c r="J163" s="101"/>
      <c r="K163" s="101"/>
      <c r="L163" s="101"/>
      <c r="M163" s="138"/>
    </row>
    <row r="164" spans="1:13" x14ac:dyDescent="0.25">
      <c r="A164" s="144" t="s">
        <v>254</v>
      </c>
      <c r="B164" s="142"/>
      <c r="C164" s="142"/>
      <c r="D164" s="101"/>
      <c r="E164" s="101"/>
      <c r="F164" s="101"/>
      <c r="G164" s="101"/>
      <c r="H164" s="101"/>
      <c r="I164" s="101"/>
      <c r="J164" s="101"/>
      <c r="K164" s="101"/>
      <c r="L164" s="101"/>
      <c r="M164" s="138"/>
    </row>
    <row r="165" spans="1:13" ht="14.25" customHeight="1" x14ac:dyDescent="0.25">
      <c r="A165" s="143" t="s">
        <v>253</v>
      </c>
      <c r="B165" s="142"/>
      <c r="C165" s="142"/>
      <c r="D165" s="101"/>
      <c r="E165" s="101"/>
      <c r="F165" s="101"/>
      <c r="G165" s="101"/>
      <c r="H165" s="101"/>
      <c r="I165" s="101"/>
      <c r="J165" s="101"/>
      <c r="K165" s="101"/>
      <c r="L165" s="101"/>
      <c r="M165" s="138"/>
    </row>
    <row r="166" spans="1:13" ht="2.25" customHeight="1" x14ac:dyDescent="0.25">
      <c r="A166" s="146"/>
      <c r="B166" s="139"/>
      <c r="C166" s="139"/>
      <c r="D166" s="101"/>
      <c r="E166" s="101"/>
      <c r="F166" s="101"/>
      <c r="G166" s="101"/>
      <c r="H166" s="101"/>
      <c r="I166" s="101"/>
      <c r="J166" s="101"/>
      <c r="K166" s="101"/>
      <c r="L166" s="101"/>
      <c r="M166" s="138"/>
    </row>
    <row r="167" spans="1:13" ht="33" customHeight="1" x14ac:dyDescent="0.25">
      <c r="A167" s="148" t="s">
        <v>229</v>
      </c>
      <c r="B167" s="148" t="s">
        <v>230</v>
      </c>
      <c r="C167" s="139"/>
      <c r="D167" s="103" t="s">
        <v>239</v>
      </c>
      <c r="E167" s="103" t="s">
        <v>239</v>
      </c>
      <c r="F167" s="103" t="s">
        <v>239</v>
      </c>
      <c r="G167" s="103" t="s">
        <v>239</v>
      </c>
      <c r="H167" s="103" t="s">
        <v>239</v>
      </c>
      <c r="I167" s="103" t="s">
        <v>239</v>
      </c>
      <c r="J167" s="103" t="s">
        <v>239</v>
      </c>
      <c r="K167" s="103" t="s">
        <v>239</v>
      </c>
      <c r="L167" s="104" t="s">
        <v>252</v>
      </c>
      <c r="M167" s="138"/>
    </row>
    <row r="168" spans="1:13" ht="13.8" thickBot="1" x14ac:dyDescent="0.3">
      <c r="A168" s="147">
        <f>IF(Sheet1!D$193,IF(Sheet1!D148=50,51,VLOOKUP(Sheet1!D148+1,Sheet1!A148:B197,2)),NA())</f>
        <v>2</v>
      </c>
      <c r="B168" s="147">
        <f>IF(Sheet1!D$193,B110+Sheet1!D148,NA())</f>
        <v>2025</v>
      </c>
      <c r="C168" s="146" t="str">
        <f>IF(AND(OR(A168=" ",A168="#NA"),OR(D168&lt;&gt;0,E168&lt;&gt;0,F168&lt;&gt;0,G168&lt;&gt;0,H168&lt;&gt;0,I168&lt;&gt;0,J168&lt;&gt;0,K168&lt;&gt;0)),"Clear=&gt;"," ")</f>
        <v xml:space="preserve"> </v>
      </c>
      <c r="D168" s="105"/>
      <c r="E168" s="105"/>
      <c r="F168" s="105"/>
      <c r="G168" s="105"/>
      <c r="H168" s="105"/>
      <c r="I168" s="105"/>
      <c r="J168" s="105"/>
      <c r="K168" s="105"/>
      <c r="L168" s="95">
        <f>IF(Sheet1!D$193,SUM(D168:K168),NA())</f>
        <v>0</v>
      </c>
      <c r="M168" s="138"/>
    </row>
    <row r="169" spans="1:13" ht="13.8" thickTop="1" x14ac:dyDescent="0.25">
      <c r="A169" s="139"/>
      <c r="B169" s="145"/>
      <c r="C169" s="139"/>
      <c r="D169" s="107"/>
      <c r="E169" s="107"/>
      <c r="F169" s="107"/>
      <c r="G169" s="107"/>
      <c r="H169" s="107"/>
      <c r="I169" s="107"/>
      <c r="J169" s="107"/>
      <c r="K169" s="107"/>
      <c r="L169" s="101"/>
      <c r="M169" s="138"/>
    </row>
    <row r="170" spans="1:13" x14ac:dyDescent="0.25">
      <c r="A170" s="139"/>
      <c r="B170" s="145"/>
      <c r="C170" s="139"/>
      <c r="D170" s="101"/>
      <c r="E170" s="101"/>
      <c r="F170" s="101"/>
      <c r="G170" s="101"/>
      <c r="H170" s="101"/>
      <c r="I170" s="101"/>
      <c r="J170" s="101"/>
      <c r="K170" s="101"/>
      <c r="L170" s="101"/>
      <c r="M170" s="138"/>
    </row>
    <row r="171" spans="1:13" x14ac:dyDescent="0.25">
      <c r="A171" s="144" t="s">
        <v>251</v>
      </c>
      <c r="B171" s="142"/>
      <c r="C171" s="142"/>
      <c r="D171" s="101"/>
      <c r="E171" s="101"/>
      <c r="F171" s="101"/>
      <c r="G171" s="101"/>
      <c r="H171" s="101"/>
      <c r="I171" s="101"/>
      <c r="J171" s="101"/>
      <c r="K171" s="101"/>
      <c r="L171" s="101"/>
      <c r="M171" s="138"/>
    </row>
    <row r="172" spans="1:13" x14ac:dyDescent="0.25">
      <c r="A172" s="143" t="s">
        <v>250</v>
      </c>
      <c r="B172" s="142"/>
      <c r="C172" s="142"/>
      <c r="D172" s="101"/>
      <c r="E172" s="101"/>
      <c r="F172" s="101"/>
      <c r="G172" s="101"/>
      <c r="H172" s="101"/>
      <c r="I172" s="101"/>
      <c r="J172" s="101"/>
      <c r="K172" s="101"/>
      <c r="L172" s="101"/>
      <c r="M172" s="138"/>
    </row>
    <row r="173" spans="1:13" ht="4.5" customHeight="1" x14ac:dyDescent="0.25">
      <c r="A173" s="141"/>
      <c r="B173" s="139"/>
      <c r="C173" s="139"/>
      <c r="D173" s="101"/>
      <c r="E173" s="101"/>
      <c r="F173" s="101"/>
      <c r="G173" s="101"/>
      <c r="H173" s="101"/>
      <c r="I173" s="101"/>
      <c r="J173" s="101"/>
      <c r="K173" s="101"/>
      <c r="L173" s="101"/>
      <c r="M173" s="138"/>
    </row>
    <row r="174" spans="1:13" x14ac:dyDescent="0.25">
      <c r="A174" s="141" t="s">
        <v>249</v>
      </c>
      <c r="B174" s="139"/>
      <c r="C174" s="139"/>
      <c r="D174" s="139" t="s">
        <v>248</v>
      </c>
      <c r="M174" s="138"/>
    </row>
    <row r="175" spans="1:13" ht="15.75" customHeight="1" x14ac:dyDescent="0.25">
      <c r="A175" s="141"/>
      <c r="B175" s="139"/>
      <c r="C175" s="139"/>
      <c r="D175" s="139" t="s">
        <v>247</v>
      </c>
      <c r="E175" s="139"/>
      <c r="F175" s="139"/>
      <c r="G175" s="139"/>
      <c r="H175" s="139"/>
      <c r="I175" s="139"/>
      <c r="J175" s="139"/>
      <c r="M175" s="138"/>
    </row>
    <row r="176" spans="1:13" ht="13.5" customHeight="1" x14ac:dyDescent="0.25">
      <c r="A176" s="141"/>
      <c r="B176" s="139"/>
      <c r="C176" s="139"/>
      <c r="D176" s="139" t="s">
        <v>246</v>
      </c>
      <c r="M176" s="138"/>
    </row>
    <row r="177" spans="1:13" ht="12.75" customHeight="1" x14ac:dyDescent="0.25">
      <c r="A177" s="141"/>
      <c r="B177" s="139"/>
      <c r="C177" s="139"/>
      <c r="D177" s="139" t="s">
        <v>245</v>
      </c>
      <c r="M177" s="138"/>
    </row>
    <row r="178" spans="1:13" x14ac:dyDescent="0.25">
      <c r="A178" s="141"/>
      <c r="B178" s="139"/>
      <c r="C178" s="139"/>
      <c r="D178" s="139" t="s">
        <v>244</v>
      </c>
      <c r="M178" s="138"/>
    </row>
    <row r="179" spans="1:13" x14ac:dyDescent="0.25">
      <c r="A179" s="141"/>
      <c r="B179" s="139"/>
      <c r="C179" s="139"/>
      <c r="M179" s="138"/>
    </row>
    <row r="180" spans="1:13" x14ac:dyDescent="0.25">
      <c r="A180" s="141"/>
      <c r="B180" s="139"/>
      <c r="C180" s="139"/>
      <c r="M180" s="138"/>
    </row>
    <row r="181" spans="1:13" x14ac:dyDescent="0.25">
      <c r="A181" s="141"/>
      <c r="B181" s="139"/>
      <c r="C181" s="139"/>
      <c r="M181" s="138"/>
    </row>
    <row r="182" spans="1:13" ht="12.75" customHeight="1" x14ac:dyDescent="0.25">
      <c r="A182" s="141"/>
      <c r="B182" s="139"/>
      <c r="C182" s="139"/>
      <c r="M182" s="138"/>
    </row>
    <row r="183" spans="1:13" ht="18" customHeight="1" x14ac:dyDescent="0.25">
      <c r="A183" s="141"/>
      <c r="B183" s="139"/>
      <c r="C183" s="139"/>
      <c r="D183" s="139"/>
      <c r="E183" s="139"/>
      <c r="F183" s="139"/>
      <c r="G183" s="139"/>
      <c r="H183" s="139"/>
      <c r="I183" s="139"/>
      <c r="J183" s="139"/>
      <c r="M183" s="138"/>
    </row>
    <row r="184" spans="1:13" x14ac:dyDescent="0.25">
      <c r="A184" s="140"/>
      <c r="D184" s="139"/>
      <c r="E184" s="139"/>
      <c r="F184" s="139"/>
      <c r="G184" s="139"/>
      <c r="H184" s="139"/>
      <c r="I184" s="139"/>
      <c r="J184" s="139"/>
      <c r="M184" s="138"/>
    </row>
    <row r="185" spans="1:13" x14ac:dyDescent="0.25">
      <c r="A185" s="140"/>
      <c r="D185" s="139"/>
      <c r="E185" s="139"/>
      <c r="F185" s="139"/>
      <c r="G185" s="139"/>
      <c r="H185" s="139"/>
      <c r="I185" s="139"/>
      <c r="J185" s="139"/>
      <c r="M185" s="138"/>
    </row>
    <row r="186" spans="1:13" x14ac:dyDescent="0.25">
      <c r="A186" s="140"/>
      <c r="D186" s="139"/>
      <c r="E186" s="139"/>
      <c r="F186" s="139"/>
      <c r="G186" s="139"/>
      <c r="H186" s="139"/>
      <c r="I186" s="139"/>
      <c r="J186" s="139"/>
      <c r="M186" s="138"/>
    </row>
    <row r="187" spans="1:13" x14ac:dyDescent="0.25">
      <c r="D187" s="139"/>
      <c r="M187" s="138"/>
    </row>
    <row r="188" spans="1:13" hidden="1" x14ac:dyDescent="0.25"/>
    <row r="189" spans="1:13" hidden="1" x14ac:dyDescent="0.25">
      <c r="A189" s="126" t="s">
        <v>241</v>
      </c>
      <c r="B189" s="125"/>
      <c r="C189" s="125"/>
      <c r="D189" s="125"/>
      <c r="E189" s="125"/>
      <c r="F189" s="125"/>
      <c r="G189" s="125"/>
      <c r="H189" s="125"/>
      <c r="I189" s="125"/>
      <c r="J189" s="125"/>
      <c r="K189" s="124"/>
    </row>
    <row r="190" spans="1:13" ht="13.8" hidden="1" thickBot="1" x14ac:dyDescent="0.3"/>
    <row r="191" spans="1:13" hidden="1" x14ac:dyDescent="0.25">
      <c r="B191" s="128">
        <f>IF(Sheet1!D$193,B110,NA())</f>
        <v>2024</v>
      </c>
      <c r="C191" s="128"/>
      <c r="D191" s="137" t="e">
        <f>IF(Sheet1!$D$193,CHOOSE(Sheet1!D$265,"",IF($C110="Clear=&gt;","",D110)),NA())</f>
        <v>#VALUE!</v>
      </c>
      <c r="E191" s="136" t="e">
        <f>IF(Sheet1!$D$193,CHOOSE(Sheet1!E$265,"",IF($C110="Clear=&gt;","",E110)),NA())</f>
        <v>#VALUE!</v>
      </c>
      <c r="F191" s="136" t="e">
        <f>IF(Sheet1!$D$193,CHOOSE(Sheet1!F$265,"",IF($C110="Clear=&gt;","",F110)),NA())</f>
        <v>#VALUE!</v>
      </c>
      <c r="G191" s="136" t="e">
        <f>IF(Sheet1!$D$193,CHOOSE(Sheet1!G$265,"",IF($C110="Clear=&gt;","",G110)),NA())</f>
        <v>#VALUE!</v>
      </c>
      <c r="H191" s="136" t="e">
        <f>IF(Sheet1!$D$193,CHOOSE(Sheet1!H$265,"",IF($C110="Clear=&gt;","",H110)),NA())</f>
        <v>#VALUE!</v>
      </c>
      <c r="I191" s="136" t="e">
        <f>IF(Sheet1!$D$193,CHOOSE(Sheet1!I$265,"",IF($C110="Clear=&gt;","",I110)),NA())</f>
        <v>#VALUE!</v>
      </c>
      <c r="J191" s="136" t="e">
        <f>IF(Sheet1!$D$193,CHOOSE(Sheet1!J$265,"",IF($C110="Clear=&gt;","",J110)),NA())</f>
        <v>#VALUE!</v>
      </c>
      <c r="K191" s="135" t="e">
        <f>IF(Sheet1!$D$193,CHOOSE(Sheet1!K$265,"",IF($C110="Clear=&gt;","",K110)),NA())</f>
        <v>#VALUE!</v>
      </c>
    </row>
    <row r="192" spans="1:13" hidden="1" x14ac:dyDescent="0.25">
      <c r="B192" s="128" t="str">
        <f>IF(Sheet1!D$193,B111,NA())</f>
        <v xml:space="preserve"> </v>
      </c>
      <c r="C192" s="128"/>
      <c r="D192" s="131" t="e">
        <f>IF(Sheet1!$D$193,CHOOSE(Sheet1!D$265,"",IF($C111="Clear=&gt;","",D111)),NA())</f>
        <v>#VALUE!</v>
      </c>
      <c r="E192" s="130" t="e">
        <f>IF(Sheet1!$D$193,CHOOSE(Sheet1!E$265,"",IF($C111="Clear=&gt;","",E111)),NA())</f>
        <v>#VALUE!</v>
      </c>
      <c r="F192" s="130" t="e">
        <f>IF(Sheet1!$D$193,CHOOSE(Sheet1!F$265,"",IF($C111="Clear=&gt;","",F111)),NA())</f>
        <v>#VALUE!</v>
      </c>
      <c r="G192" s="130" t="e">
        <f>IF(Sheet1!$D$193,CHOOSE(Sheet1!G$265,"",IF($C111="Clear=&gt;","",G111)),NA())</f>
        <v>#VALUE!</v>
      </c>
      <c r="H192" s="130" t="e">
        <f>IF(Sheet1!$D$193,CHOOSE(Sheet1!H$265,"",IF($C111="Clear=&gt;","",H111)),NA())</f>
        <v>#VALUE!</v>
      </c>
      <c r="I192" s="130" t="e">
        <f>IF(Sheet1!$D$193,CHOOSE(Sheet1!I$265,"",IF($C111="Clear=&gt;","",I111)),NA())</f>
        <v>#VALUE!</v>
      </c>
      <c r="J192" s="130" t="e">
        <f>IF(Sheet1!$D$193,CHOOSE(Sheet1!J$265,"",IF($C111="Clear=&gt;","",J111)),NA())</f>
        <v>#VALUE!</v>
      </c>
      <c r="K192" s="129" t="e">
        <f>IF(Sheet1!$D$193,CHOOSE(Sheet1!K$265,"",IF($C111="Clear=&gt;","",K111)),NA())</f>
        <v>#VALUE!</v>
      </c>
    </row>
    <row r="193" spans="2:11" hidden="1" x14ac:dyDescent="0.25">
      <c r="B193" s="128" t="str">
        <f>IF(Sheet1!D$193,B112,NA())</f>
        <v xml:space="preserve"> </v>
      </c>
      <c r="C193" s="128"/>
      <c r="D193" s="131" t="e">
        <f>IF(Sheet1!$D$193,CHOOSE(Sheet1!D$265,"",IF($C112="Clear=&gt;","",D112)),NA())</f>
        <v>#VALUE!</v>
      </c>
      <c r="E193" s="130" t="e">
        <f>IF(Sheet1!$D$193,CHOOSE(Sheet1!E$265,"",IF($C112="Clear=&gt;","",E112)),NA())</f>
        <v>#VALUE!</v>
      </c>
      <c r="F193" s="130" t="e">
        <f>IF(Sheet1!$D$193,CHOOSE(Sheet1!F$265,"",IF($C112="Clear=&gt;","",F112)),NA())</f>
        <v>#VALUE!</v>
      </c>
      <c r="G193" s="130" t="e">
        <f>IF(Sheet1!$D$193,CHOOSE(Sheet1!G$265,"",IF($C112="Clear=&gt;","",G112)),NA())</f>
        <v>#VALUE!</v>
      </c>
      <c r="H193" s="130" t="e">
        <f>IF(Sheet1!$D$193,CHOOSE(Sheet1!H$265,"",IF($C112="Clear=&gt;","",H112)),NA())</f>
        <v>#VALUE!</v>
      </c>
      <c r="I193" s="130" t="e">
        <f>IF(Sheet1!$D$193,CHOOSE(Sheet1!I$265,"",IF($C112="Clear=&gt;","",I112)),NA())</f>
        <v>#VALUE!</v>
      </c>
      <c r="J193" s="130" t="e">
        <f>IF(Sheet1!$D$193,CHOOSE(Sheet1!J$265,"",IF($C112="Clear=&gt;","",J112)),NA())</f>
        <v>#VALUE!</v>
      </c>
      <c r="K193" s="129" t="e">
        <f>IF(Sheet1!$D$193,CHOOSE(Sheet1!K$265,"",IF($C112="Clear=&gt;","",K112)),NA())</f>
        <v>#VALUE!</v>
      </c>
    </row>
    <row r="194" spans="2:11" hidden="1" x14ac:dyDescent="0.25">
      <c r="B194" s="128" t="str">
        <f>IF(Sheet1!D$193,B113,NA())</f>
        <v xml:space="preserve"> </v>
      </c>
      <c r="C194" s="128"/>
      <c r="D194" s="131" t="e">
        <f>IF(Sheet1!$D$193,CHOOSE(Sheet1!D$265,"",IF($C113="Clear=&gt;","",D113)),NA())</f>
        <v>#VALUE!</v>
      </c>
      <c r="E194" s="130" t="e">
        <f>IF(Sheet1!$D$193,CHOOSE(Sheet1!E$265,"",IF($C113="Clear=&gt;","",E113)),NA())</f>
        <v>#VALUE!</v>
      </c>
      <c r="F194" s="130" t="e">
        <f>IF(Sheet1!$D$193,CHOOSE(Sheet1!F$265,"",IF($C113="Clear=&gt;","",F113)),NA())</f>
        <v>#VALUE!</v>
      </c>
      <c r="G194" s="130" t="e">
        <f>IF(Sheet1!$D$193,CHOOSE(Sheet1!G$265,"",IF($C113="Clear=&gt;","",G113)),NA())</f>
        <v>#VALUE!</v>
      </c>
      <c r="H194" s="130" t="e">
        <f>IF(Sheet1!$D$193,CHOOSE(Sheet1!H$265,"",IF($C113="Clear=&gt;","",H113)),NA())</f>
        <v>#VALUE!</v>
      </c>
      <c r="I194" s="130" t="e">
        <f>IF(Sheet1!$D$193,CHOOSE(Sheet1!I$265,"",IF($C113="Clear=&gt;","",I113)),NA())</f>
        <v>#VALUE!</v>
      </c>
      <c r="J194" s="130" t="e">
        <f>IF(Sheet1!$D$193,CHOOSE(Sheet1!J$265,"",IF($C113="Clear=&gt;","",J113)),NA())</f>
        <v>#VALUE!</v>
      </c>
      <c r="K194" s="129" t="e">
        <f>IF(Sheet1!$D$193,CHOOSE(Sheet1!K$265,"",IF($C113="Clear=&gt;","",K113)),NA())</f>
        <v>#VALUE!</v>
      </c>
    </row>
    <row r="195" spans="2:11" hidden="1" x14ac:dyDescent="0.25">
      <c r="B195" s="128" t="str">
        <f>IF(Sheet1!D$193,B114,NA())</f>
        <v xml:space="preserve"> </v>
      </c>
      <c r="C195" s="128"/>
      <c r="D195" s="131" t="e">
        <f>IF(Sheet1!$D$193,CHOOSE(Sheet1!D$265,"",IF($C114="Clear=&gt;","",D114)),NA())</f>
        <v>#VALUE!</v>
      </c>
      <c r="E195" s="130" t="e">
        <f>IF(Sheet1!$D$193,CHOOSE(Sheet1!E$265,"",IF($C114="Clear=&gt;","",E114)),NA())</f>
        <v>#VALUE!</v>
      </c>
      <c r="F195" s="130" t="e">
        <f>IF(Sheet1!$D$193,CHOOSE(Sheet1!F$265,"",IF($C114="Clear=&gt;","",F114)),NA())</f>
        <v>#VALUE!</v>
      </c>
      <c r="G195" s="130" t="e">
        <f>IF(Sheet1!$D$193,CHOOSE(Sheet1!G$265,"",IF($C114="Clear=&gt;","",G114)),NA())</f>
        <v>#VALUE!</v>
      </c>
      <c r="H195" s="130" t="e">
        <f>IF(Sheet1!$D$193,CHOOSE(Sheet1!H$265,"",IF($C114="Clear=&gt;","",H114)),NA())</f>
        <v>#VALUE!</v>
      </c>
      <c r="I195" s="130" t="e">
        <f>IF(Sheet1!$D$193,CHOOSE(Sheet1!I$265,"",IF($C114="Clear=&gt;","",I114)),NA())</f>
        <v>#VALUE!</v>
      </c>
      <c r="J195" s="130" t="e">
        <f>IF(Sheet1!$D$193,CHOOSE(Sheet1!J$265,"",IF($C114="Clear=&gt;","",J114)),NA())</f>
        <v>#VALUE!</v>
      </c>
      <c r="K195" s="129" t="e">
        <f>IF(Sheet1!$D$193,CHOOSE(Sheet1!K$265,"",IF($C114="Clear=&gt;","",K114)),NA())</f>
        <v>#VALUE!</v>
      </c>
    </row>
    <row r="196" spans="2:11" hidden="1" x14ac:dyDescent="0.25">
      <c r="B196" s="128" t="str">
        <f>IF(Sheet1!D$193,B115,NA())</f>
        <v xml:space="preserve"> </v>
      </c>
      <c r="C196" s="128"/>
      <c r="D196" s="131" t="e">
        <f>IF(Sheet1!$D$193,CHOOSE(Sheet1!D$265,"",IF($C115="Clear=&gt;","",D115)),NA())</f>
        <v>#VALUE!</v>
      </c>
      <c r="E196" s="130" t="e">
        <f>IF(Sheet1!$D$193,CHOOSE(Sheet1!E$265,"",IF($C115="Clear=&gt;","",E115)),NA())</f>
        <v>#VALUE!</v>
      </c>
      <c r="F196" s="130" t="e">
        <f>IF(Sheet1!$D$193,CHOOSE(Sheet1!F$265,"",IF($C115="Clear=&gt;","",F115)),NA())</f>
        <v>#VALUE!</v>
      </c>
      <c r="G196" s="130" t="e">
        <f>IF(Sheet1!$D$193,CHOOSE(Sheet1!G$265,"",IF($C115="Clear=&gt;","",G115)),NA())</f>
        <v>#VALUE!</v>
      </c>
      <c r="H196" s="130" t="e">
        <f>IF(Sheet1!$D$193,CHOOSE(Sheet1!H$265,"",IF($C115="Clear=&gt;","",H115)),NA())</f>
        <v>#VALUE!</v>
      </c>
      <c r="I196" s="130" t="e">
        <f>IF(Sheet1!$D$193,CHOOSE(Sheet1!I$265,"",IF($C115="Clear=&gt;","",I115)),NA())</f>
        <v>#VALUE!</v>
      </c>
      <c r="J196" s="130" t="e">
        <f>IF(Sheet1!$D$193,CHOOSE(Sheet1!J$265,"",IF($C115="Clear=&gt;","",J115)),NA())</f>
        <v>#VALUE!</v>
      </c>
      <c r="K196" s="129" t="e">
        <f>IF(Sheet1!$D$193,CHOOSE(Sheet1!K$265,"",IF($C115="Clear=&gt;","",K115)),NA())</f>
        <v>#VALUE!</v>
      </c>
    </row>
    <row r="197" spans="2:11" hidden="1" x14ac:dyDescent="0.25">
      <c r="B197" s="128" t="str">
        <f>IF(Sheet1!D$193,B116,NA())</f>
        <v xml:space="preserve"> </v>
      </c>
      <c r="C197" s="128"/>
      <c r="D197" s="131" t="e">
        <f>IF(Sheet1!$D$193,CHOOSE(Sheet1!D$265,"",IF($C116="Clear=&gt;","",D116)),NA())</f>
        <v>#VALUE!</v>
      </c>
      <c r="E197" s="130" t="e">
        <f>IF(Sheet1!$D$193,CHOOSE(Sheet1!E$265,"",IF($C116="Clear=&gt;","",E116)),NA())</f>
        <v>#VALUE!</v>
      </c>
      <c r="F197" s="130" t="e">
        <f>IF(Sheet1!$D$193,CHOOSE(Sheet1!F$265,"",IF($C116="Clear=&gt;","",F116)),NA())</f>
        <v>#VALUE!</v>
      </c>
      <c r="G197" s="130" t="e">
        <f>IF(Sheet1!$D$193,CHOOSE(Sheet1!G$265,"",IF($C116="Clear=&gt;","",G116)),NA())</f>
        <v>#VALUE!</v>
      </c>
      <c r="H197" s="130" t="e">
        <f>IF(Sheet1!$D$193,CHOOSE(Sheet1!H$265,"",IF($C116="Clear=&gt;","",H116)),NA())</f>
        <v>#VALUE!</v>
      </c>
      <c r="I197" s="130" t="e">
        <f>IF(Sheet1!$D$193,CHOOSE(Sheet1!I$265,"",IF($C116="Clear=&gt;","",I116)),NA())</f>
        <v>#VALUE!</v>
      </c>
      <c r="J197" s="130" t="e">
        <f>IF(Sheet1!$D$193,CHOOSE(Sheet1!J$265,"",IF($C116="Clear=&gt;","",J116)),NA())</f>
        <v>#VALUE!</v>
      </c>
      <c r="K197" s="129" t="e">
        <f>IF(Sheet1!$D$193,CHOOSE(Sheet1!K$265,"",IF($C116="Clear=&gt;","",K116)),NA())</f>
        <v>#VALUE!</v>
      </c>
    </row>
    <row r="198" spans="2:11" hidden="1" x14ac:dyDescent="0.25">
      <c r="B198" s="128" t="str">
        <f>IF(Sheet1!D$193,B117,NA())</f>
        <v xml:space="preserve"> </v>
      </c>
      <c r="C198" s="128"/>
      <c r="D198" s="131" t="e">
        <f>IF(Sheet1!$D$193,CHOOSE(Sheet1!D$265,"",IF($C117="Clear=&gt;","",D117)),NA())</f>
        <v>#VALUE!</v>
      </c>
      <c r="E198" s="130" t="e">
        <f>IF(Sheet1!$D$193,CHOOSE(Sheet1!E$265,"",IF($C117="Clear=&gt;","",E117)),NA())</f>
        <v>#VALUE!</v>
      </c>
      <c r="F198" s="130" t="e">
        <f>IF(Sheet1!$D$193,CHOOSE(Sheet1!F$265,"",IF($C117="Clear=&gt;","",F117)),NA())</f>
        <v>#VALUE!</v>
      </c>
      <c r="G198" s="130" t="e">
        <f>IF(Sheet1!$D$193,CHOOSE(Sheet1!G$265,"",IF($C117="Clear=&gt;","",G117)),NA())</f>
        <v>#VALUE!</v>
      </c>
      <c r="H198" s="130" t="e">
        <f>IF(Sheet1!$D$193,CHOOSE(Sheet1!H$265,"",IF($C117="Clear=&gt;","",H117)),NA())</f>
        <v>#VALUE!</v>
      </c>
      <c r="I198" s="130" t="e">
        <f>IF(Sheet1!$D$193,CHOOSE(Sheet1!I$265,"",IF($C117="Clear=&gt;","",I117)),NA())</f>
        <v>#VALUE!</v>
      </c>
      <c r="J198" s="130" t="e">
        <f>IF(Sheet1!$D$193,CHOOSE(Sheet1!J$265,"",IF($C117="Clear=&gt;","",J117)),NA())</f>
        <v>#VALUE!</v>
      </c>
      <c r="K198" s="129" t="e">
        <f>IF(Sheet1!$D$193,CHOOSE(Sheet1!K$265,"",IF($C117="Clear=&gt;","",K117)),NA())</f>
        <v>#VALUE!</v>
      </c>
    </row>
    <row r="199" spans="2:11" hidden="1" x14ac:dyDescent="0.25">
      <c r="B199" s="128" t="str">
        <f>IF(Sheet1!D$193,B118,NA())</f>
        <v xml:space="preserve"> </v>
      </c>
      <c r="C199" s="128"/>
      <c r="D199" s="131" t="e">
        <f>IF(Sheet1!$D$193,CHOOSE(Sheet1!D$265,"",IF($C118="Clear=&gt;","",D118)),NA())</f>
        <v>#VALUE!</v>
      </c>
      <c r="E199" s="130" t="e">
        <f>IF(Sheet1!$D$193,CHOOSE(Sheet1!E$265,"",IF($C118="Clear=&gt;","",E118)),NA())</f>
        <v>#VALUE!</v>
      </c>
      <c r="F199" s="130" t="e">
        <f>IF(Sheet1!$D$193,CHOOSE(Sheet1!F$265,"",IF($C118="Clear=&gt;","",F118)),NA())</f>
        <v>#VALUE!</v>
      </c>
      <c r="G199" s="130" t="e">
        <f>IF(Sheet1!$D$193,CHOOSE(Sheet1!G$265,"",IF($C118="Clear=&gt;","",G118)),NA())</f>
        <v>#VALUE!</v>
      </c>
      <c r="H199" s="130" t="e">
        <f>IF(Sheet1!$D$193,CHOOSE(Sheet1!H$265,"",IF($C118="Clear=&gt;","",H118)),NA())</f>
        <v>#VALUE!</v>
      </c>
      <c r="I199" s="130" t="e">
        <f>IF(Sheet1!$D$193,CHOOSE(Sheet1!I$265,"",IF($C118="Clear=&gt;","",I118)),NA())</f>
        <v>#VALUE!</v>
      </c>
      <c r="J199" s="130" t="e">
        <f>IF(Sheet1!$D$193,CHOOSE(Sheet1!J$265,"",IF($C118="Clear=&gt;","",J118)),NA())</f>
        <v>#VALUE!</v>
      </c>
      <c r="K199" s="129" t="e">
        <f>IF(Sheet1!$D$193,CHOOSE(Sheet1!K$265,"",IF($C118="Clear=&gt;","",K118)),NA())</f>
        <v>#VALUE!</v>
      </c>
    </row>
    <row r="200" spans="2:11" hidden="1" x14ac:dyDescent="0.25">
      <c r="B200" s="128" t="str">
        <f>IF(Sheet1!D$193,B119,NA())</f>
        <v xml:space="preserve"> </v>
      </c>
      <c r="C200" s="128"/>
      <c r="D200" s="131" t="e">
        <f>IF(Sheet1!$D$193,CHOOSE(Sheet1!D$265,"",IF($C119="Clear=&gt;","",D119)),NA())</f>
        <v>#VALUE!</v>
      </c>
      <c r="E200" s="130" t="e">
        <f>IF(Sheet1!$D$193,CHOOSE(Sheet1!E$265,"",IF($C119="Clear=&gt;","",E119)),NA())</f>
        <v>#VALUE!</v>
      </c>
      <c r="F200" s="130" t="e">
        <f>IF(Sheet1!$D$193,CHOOSE(Sheet1!F$265,"",IF($C119="Clear=&gt;","",F119)),NA())</f>
        <v>#VALUE!</v>
      </c>
      <c r="G200" s="130" t="e">
        <f>IF(Sheet1!$D$193,CHOOSE(Sheet1!G$265,"",IF($C119="Clear=&gt;","",G119)),NA())</f>
        <v>#VALUE!</v>
      </c>
      <c r="H200" s="130" t="e">
        <f>IF(Sheet1!$D$193,CHOOSE(Sheet1!H$265,"",IF($C119="Clear=&gt;","",H119)),NA())</f>
        <v>#VALUE!</v>
      </c>
      <c r="I200" s="130" t="e">
        <f>IF(Sheet1!$D$193,CHOOSE(Sheet1!I$265,"",IF($C119="Clear=&gt;","",I119)),NA())</f>
        <v>#VALUE!</v>
      </c>
      <c r="J200" s="130" t="e">
        <f>IF(Sheet1!$D$193,CHOOSE(Sheet1!J$265,"",IF($C119="Clear=&gt;","",J119)),NA())</f>
        <v>#VALUE!</v>
      </c>
      <c r="K200" s="129" t="e">
        <f>IF(Sheet1!$D$193,CHOOSE(Sheet1!K$265,"",IF($C119="Clear=&gt;","",K119)),NA())</f>
        <v>#VALUE!</v>
      </c>
    </row>
    <row r="201" spans="2:11" hidden="1" x14ac:dyDescent="0.25">
      <c r="B201" s="128" t="str">
        <f>IF(Sheet1!D$193,B120,NA())</f>
        <v xml:space="preserve"> </v>
      </c>
      <c r="C201" s="128"/>
      <c r="D201" s="131" t="e">
        <f>IF(Sheet1!$D$193,CHOOSE(Sheet1!D$265,"",IF($C120="Clear=&gt;","",D120)),NA())</f>
        <v>#VALUE!</v>
      </c>
      <c r="E201" s="130" t="e">
        <f>IF(Sheet1!$D$193,CHOOSE(Sheet1!E$265,"",IF($C120="Clear=&gt;","",E120)),NA())</f>
        <v>#VALUE!</v>
      </c>
      <c r="F201" s="130" t="e">
        <f>IF(Sheet1!$D$193,CHOOSE(Sheet1!F$265,"",IF($C120="Clear=&gt;","",F120)),NA())</f>
        <v>#VALUE!</v>
      </c>
      <c r="G201" s="130" t="e">
        <f>IF(Sheet1!$D$193,CHOOSE(Sheet1!G$265,"",IF($C120="Clear=&gt;","",G120)),NA())</f>
        <v>#VALUE!</v>
      </c>
      <c r="H201" s="130" t="e">
        <f>IF(Sheet1!$D$193,CHOOSE(Sheet1!H$265,"",IF($C120="Clear=&gt;","",H120)),NA())</f>
        <v>#VALUE!</v>
      </c>
      <c r="I201" s="130" t="e">
        <f>IF(Sheet1!$D$193,CHOOSE(Sheet1!I$265,"",IF($C120="Clear=&gt;","",I120)),NA())</f>
        <v>#VALUE!</v>
      </c>
      <c r="J201" s="130" t="e">
        <f>IF(Sheet1!$D$193,CHOOSE(Sheet1!J$265,"",IF($C120="Clear=&gt;","",J120)),NA())</f>
        <v>#VALUE!</v>
      </c>
      <c r="K201" s="129" t="e">
        <f>IF(Sheet1!$D$193,CHOOSE(Sheet1!K$265,"",IF($C120="Clear=&gt;","",K120)),NA())</f>
        <v>#VALUE!</v>
      </c>
    </row>
    <row r="202" spans="2:11" hidden="1" x14ac:dyDescent="0.25">
      <c r="B202" s="128" t="str">
        <f>IF(Sheet1!D$193,B121,NA())</f>
        <v xml:space="preserve"> </v>
      </c>
      <c r="C202" s="128"/>
      <c r="D202" s="131" t="e">
        <f>IF(Sheet1!$D$193,CHOOSE(Sheet1!D$265,"",IF($C121="Clear=&gt;","",D121)),NA())</f>
        <v>#VALUE!</v>
      </c>
      <c r="E202" s="130" t="e">
        <f>IF(Sheet1!$D$193,CHOOSE(Sheet1!E$265,"",IF($C121="Clear=&gt;","",E121)),NA())</f>
        <v>#VALUE!</v>
      </c>
      <c r="F202" s="130" t="e">
        <f>IF(Sheet1!$D$193,CHOOSE(Sheet1!F$265,"",IF($C121="Clear=&gt;","",F121)),NA())</f>
        <v>#VALUE!</v>
      </c>
      <c r="G202" s="130" t="e">
        <f>IF(Sheet1!$D$193,CHOOSE(Sheet1!G$265,"",IF($C121="Clear=&gt;","",G121)),NA())</f>
        <v>#VALUE!</v>
      </c>
      <c r="H202" s="130" t="e">
        <f>IF(Sheet1!$D$193,CHOOSE(Sheet1!H$265,"",IF($C121="Clear=&gt;","",H121)),NA())</f>
        <v>#VALUE!</v>
      </c>
      <c r="I202" s="130" t="e">
        <f>IF(Sheet1!$D$193,CHOOSE(Sheet1!I$265,"",IF($C121="Clear=&gt;","",I121)),NA())</f>
        <v>#VALUE!</v>
      </c>
      <c r="J202" s="130" t="e">
        <f>IF(Sheet1!$D$193,CHOOSE(Sheet1!J$265,"",IF($C121="Clear=&gt;","",J121)),NA())</f>
        <v>#VALUE!</v>
      </c>
      <c r="K202" s="129" t="e">
        <f>IF(Sheet1!$D$193,CHOOSE(Sheet1!K$265,"",IF($C121="Clear=&gt;","",K121)),NA())</f>
        <v>#VALUE!</v>
      </c>
    </row>
    <row r="203" spans="2:11" hidden="1" x14ac:dyDescent="0.25">
      <c r="B203" s="128" t="str">
        <f>IF(Sheet1!D$193,B122,NA())</f>
        <v xml:space="preserve"> </v>
      </c>
      <c r="C203" s="128"/>
      <c r="D203" s="131" t="e">
        <f>IF(Sheet1!$D$193,CHOOSE(Sheet1!D$265,"",IF($C122="Clear=&gt;","",D122)),NA())</f>
        <v>#VALUE!</v>
      </c>
      <c r="E203" s="130" t="e">
        <f>IF(Sheet1!$D$193,CHOOSE(Sheet1!E$265,"",IF($C122="Clear=&gt;","",E122)),NA())</f>
        <v>#VALUE!</v>
      </c>
      <c r="F203" s="130" t="e">
        <f>IF(Sheet1!$D$193,CHOOSE(Sheet1!F$265,"",IF($C122="Clear=&gt;","",F122)),NA())</f>
        <v>#VALUE!</v>
      </c>
      <c r="G203" s="130" t="e">
        <f>IF(Sheet1!$D$193,CHOOSE(Sheet1!G$265,"",IF($C122="Clear=&gt;","",G122)),NA())</f>
        <v>#VALUE!</v>
      </c>
      <c r="H203" s="130" t="e">
        <f>IF(Sheet1!$D$193,CHOOSE(Sheet1!H$265,"",IF($C122="Clear=&gt;","",H122)),NA())</f>
        <v>#VALUE!</v>
      </c>
      <c r="I203" s="130" t="e">
        <f>IF(Sheet1!$D$193,CHOOSE(Sheet1!I$265,"",IF($C122="Clear=&gt;","",I122)),NA())</f>
        <v>#VALUE!</v>
      </c>
      <c r="J203" s="130" t="e">
        <f>IF(Sheet1!$D$193,CHOOSE(Sheet1!J$265,"",IF($C122="Clear=&gt;","",J122)),NA())</f>
        <v>#VALUE!</v>
      </c>
      <c r="K203" s="129" t="e">
        <f>IF(Sheet1!$D$193,CHOOSE(Sheet1!K$265,"",IF($C122="Clear=&gt;","",K122)),NA())</f>
        <v>#VALUE!</v>
      </c>
    </row>
    <row r="204" spans="2:11" hidden="1" x14ac:dyDescent="0.25">
      <c r="B204" s="128" t="str">
        <f>IF(Sheet1!D$193,B123,NA())</f>
        <v xml:space="preserve"> </v>
      </c>
      <c r="C204" s="128"/>
      <c r="D204" s="131" t="e">
        <f>IF(Sheet1!$D$193,CHOOSE(Sheet1!D$265,"",IF($C123="Clear=&gt;","",D123)),NA())</f>
        <v>#VALUE!</v>
      </c>
      <c r="E204" s="130" t="e">
        <f>IF(Sheet1!$D$193,CHOOSE(Sheet1!E$265,"",IF($C123="Clear=&gt;","",E123)),NA())</f>
        <v>#VALUE!</v>
      </c>
      <c r="F204" s="130" t="e">
        <f>IF(Sheet1!$D$193,CHOOSE(Sheet1!F$265,"",IF($C123="Clear=&gt;","",F123)),NA())</f>
        <v>#VALUE!</v>
      </c>
      <c r="G204" s="130" t="e">
        <f>IF(Sheet1!$D$193,CHOOSE(Sheet1!G$265,"",IF($C123="Clear=&gt;","",G123)),NA())</f>
        <v>#VALUE!</v>
      </c>
      <c r="H204" s="130" t="e">
        <f>IF(Sheet1!$D$193,CHOOSE(Sheet1!H$265,"",IF($C123="Clear=&gt;","",H123)),NA())</f>
        <v>#VALUE!</v>
      </c>
      <c r="I204" s="130" t="e">
        <f>IF(Sheet1!$D$193,CHOOSE(Sheet1!I$265,"",IF($C123="Clear=&gt;","",I123)),NA())</f>
        <v>#VALUE!</v>
      </c>
      <c r="J204" s="130" t="e">
        <f>IF(Sheet1!$D$193,CHOOSE(Sheet1!J$265,"",IF($C123="Clear=&gt;","",J123)),NA())</f>
        <v>#VALUE!</v>
      </c>
      <c r="K204" s="129" t="e">
        <f>IF(Sheet1!$D$193,CHOOSE(Sheet1!K$265,"",IF($C123="Clear=&gt;","",K123)),NA())</f>
        <v>#VALUE!</v>
      </c>
    </row>
    <row r="205" spans="2:11" hidden="1" x14ac:dyDescent="0.25">
      <c r="B205" s="128" t="str">
        <f>IF(Sheet1!D$193,B124,NA())</f>
        <v xml:space="preserve"> </v>
      </c>
      <c r="C205" s="128"/>
      <c r="D205" s="131" t="e">
        <f>IF(Sheet1!$D$193,CHOOSE(Sheet1!D$265,"",IF($C124="Clear=&gt;","",D124)),NA())</f>
        <v>#VALUE!</v>
      </c>
      <c r="E205" s="130" t="e">
        <f>IF(Sheet1!$D$193,CHOOSE(Sheet1!E$265,"",IF($C124="Clear=&gt;","",E124)),NA())</f>
        <v>#VALUE!</v>
      </c>
      <c r="F205" s="130" t="e">
        <f>IF(Sheet1!$D$193,CHOOSE(Sheet1!F$265,"",IF($C124="Clear=&gt;","",F124)),NA())</f>
        <v>#VALUE!</v>
      </c>
      <c r="G205" s="130" t="e">
        <f>IF(Sheet1!$D$193,CHOOSE(Sheet1!G$265,"",IF($C124="Clear=&gt;","",G124)),NA())</f>
        <v>#VALUE!</v>
      </c>
      <c r="H205" s="130" t="e">
        <f>IF(Sheet1!$D$193,CHOOSE(Sheet1!H$265,"",IF($C124="Clear=&gt;","",H124)),NA())</f>
        <v>#VALUE!</v>
      </c>
      <c r="I205" s="130" t="e">
        <f>IF(Sheet1!$D$193,CHOOSE(Sheet1!I$265,"",IF($C124="Clear=&gt;","",I124)),NA())</f>
        <v>#VALUE!</v>
      </c>
      <c r="J205" s="130" t="e">
        <f>IF(Sheet1!$D$193,CHOOSE(Sheet1!J$265,"",IF($C124="Clear=&gt;","",J124)),NA())</f>
        <v>#VALUE!</v>
      </c>
      <c r="K205" s="129" t="e">
        <f>IF(Sheet1!$D$193,CHOOSE(Sheet1!K$265,"",IF($C124="Clear=&gt;","",K124)),NA())</f>
        <v>#VALUE!</v>
      </c>
    </row>
    <row r="206" spans="2:11" hidden="1" x14ac:dyDescent="0.25">
      <c r="B206" s="128" t="str">
        <f>IF(Sheet1!D$193,B125,NA())</f>
        <v xml:space="preserve"> </v>
      </c>
      <c r="C206" s="128"/>
      <c r="D206" s="131" t="e">
        <f>IF(Sheet1!$D$193,CHOOSE(Sheet1!D$265,"",IF($C125="Clear=&gt;","",D125)),NA())</f>
        <v>#VALUE!</v>
      </c>
      <c r="E206" s="130" t="e">
        <f>IF(Sheet1!$D$193,CHOOSE(Sheet1!E$265,"",IF($C125="Clear=&gt;","",E125)),NA())</f>
        <v>#VALUE!</v>
      </c>
      <c r="F206" s="130" t="e">
        <f>IF(Sheet1!$D$193,CHOOSE(Sheet1!F$265,"",IF($C125="Clear=&gt;","",F125)),NA())</f>
        <v>#VALUE!</v>
      </c>
      <c r="G206" s="130" t="e">
        <f>IF(Sheet1!$D$193,CHOOSE(Sheet1!G$265,"",IF($C125="Clear=&gt;","",G125)),NA())</f>
        <v>#VALUE!</v>
      </c>
      <c r="H206" s="130" t="e">
        <f>IF(Sheet1!$D$193,CHOOSE(Sheet1!H$265,"",IF($C125="Clear=&gt;","",H125)),NA())</f>
        <v>#VALUE!</v>
      </c>
      <c r="I206" s="130" t="e">
        <f>IF(Sheet1!$D$193,CHOOSE(Sheet1!I$265,"",IF($C125="Clear=&gt;","",I125)),NA())</f>
        <v>#VALUE!</v>
      </c>
      <c r="J206" s="130" t="e">
        <f>IF(Sheet1!$D$193,CHOOSE(Sheet1!J$265,"",IF($C125="Clear=&gt;","",J125)),NA())</f>
        <v>#VALUE!</v>
      </c>
      <c r="K206" s="129" t="e">
        <f>IF(Sheet1!$D$193,CHOOSE(Sheet1!K$265,"",IF($C125="Clear=&gt;","",K125)),NA())</f>
        <v>#VALUE!</v>
      </c>
    </row>
    <row r="207" spans="2:11" hidden="1" x14ac:dyDescent="0.25">
      <c r="B207" s="128" t="str">
        <f>IF(Sheet1!D$193,B126,NA())</f>
        <v xml:space="preserve"> </v>
      </c>
      <c r="C207" s="128"/>
      <c r="D207" s="131" t="e">
        <f>IF(Sheet1!$D$193,CHOOSE(Sheet1!D$265,"",IF($C126="Clear=&gt;","",D126)),NA())</f>
        <v>#VALUE!</v>
      </c>
      <c r="E207" s="130" t="e">
        <f>IF(Sheet1!$D$193,CHOOSE(Sheet1!E$265,"",IF($C126="Clear=&gt;","",E126)),NA())</f>
        <v>#VALUE!</v>
      </c>
      <c r="F207" s="130" t="e">
        <f>IF(Sheet1!$D$193,CHOOSE(Sheet1!F$265,"",IF($C126="Clear=&gt;","",F126)),NA())</f>
        <v>#VALUE!</v>
      </c>
      <c r="G207" s="130" t="e">
        <f>IF(Sheet1!$D$193,CHOOSE(Sheet1!G$265,"",IF($C126="Clear=&gt;","",G126)),NA())</f>
        <v>#VALUE!</v>
      </c>
      <c r="H207" s="130" t="e">
        <f>IF(Sheet1!$D$193,CHOOSE(Sheet1!H$265,"",IF($C126="Clear=&gt;","",H126)),NA())</f>
        <v>#VALUE!</v>
      </c>
      <c r="I207" s="130" t="e">
        <f>IF(Sheet1!$D$193,CHOOSE(Sheet1!I$265,"",IF($C126="Clear=&gt;","",I126)),NA())</f>
        <v>#VALUE!</v>
      </c>
      <c r="J207" s="130" t="e">
        <f>IF(Sheet1!$D$193,CHOOSE(Sheet1!J$265,"",IF($C126="Clear=&gt;","",J126)),NA())</f>
        <v>#VALUE!</v>
      </c>
      <c r="K207" s="129" t="e">
        <f>IF(Sheet1!$D$193,CHOOSE(Sheet1!K$265,"",IF($C126="Clear=&gt;","",K126)),NA())</f>
        <v>#VALUE!</v>
      </c>
    </row>
    <row r="208" spans="2:11" hidden="1" x14ac:dyDescent="0.25">
      <c r="B208" s="128" t="str">
        <f>IF(Sheet1!D$193,B127,NA())</f>
        <v xml:space="preserve"> </v>
      </c>
      <c r="C208" s="128"/>
      <c r="D208" s="131" t="e">
        <f>IF(Sheet1!$D$193,CHOOSE(Sheet1!D$265,"",IF($C127="Clear=&gt;","",D127)),NA())</f>
        <v>#VALUE!</v>
      </c>
      <c r="E208" s="130" t="e">
        <f>IF(Sheet1!$D$193,CHOOSE(Sheet1!E$265,"",IF($C127="Clear=&gt;","",E127)),NA())</f>
        <v>#VALUE!</v>
      </c>
      <c r="F208" s="130" t="e">
        <f>IF(Sheet1!$D$193,CHOOSE(Sheet1!F$265,"",IF($C127="Clear=&gt;","",F127)),NA())</f>
        <v>#VALUE!</v>
      </c>
      <c r="G208" s="130" t="e">
        <f>IF(Sheet1!$D$193,CHOOSE(Sheet1!G$265,"",IF($C127="Clear=&gt;","",G127)),NA())</f>
        <v>#VALUE!</v>
      </c>
      <c r="H208" s="130" t="e">
        <f>IF(Sheet1!$D$193,CHOOSE(Sheet1!H$265,"",IF($C127="Clear=&gt;","",H127)),NA())</f>
        <v>#VALUE!</v>
      </c>
      <c r="I208" s="130" t="e">
        <f>IF(Sheet1!$D$193,CHOOSE(Sheet1!I$265,"",IF($C127="Clear=&gt;","",I127)),NA())</f>
        <v>#VALUE!</v>
      </c>
      <c r="J208" s="130" t="e">
        <f>IF(Sheet1!$D$193,CHOOSE(Sheet1!J$265,"",IF($C127="Clear=&gt;","",J127)),NA())</f>
        <v>#VALUE!</v>
      </c>
      <c r="K208" s="129" t="e">
        <f>IF(Sheet1!$D$193,CHOOSE(Sheet1!K$265,"",IF($C127="Clear=&gt;","",K127)),NA())</f>
        <v>#VALUE!</v>
      </c>
    </row>
    <row r="209" spans="2:11" hidden="1" x14ac:dyDescent="0.25">
      <c r="B209" s="128" t="str">
        <f>IF(Sheet1!D$193,B128,NA())</f>
        <v xml:space="preserve"> </v>
      </c>
      <c r="C209" s="128"/>
      <c r="D209" s="131" t="e">
        <f>IF(Sheet1!$D$193,CHOOSE(Sheet1!D$265,"",IF($C128="Clear=&gt;","",D128)),NA())</f>
        <v>#VALUE!</v>
      </c>
      <c r="E209" s="130" t="e">
        <f>IF(Sheet1!$D$193,CHOOSE(Sheet1!E$265,"",IF($C128="Clear=&gt;","",E128)),NA())</f>
        <v>#VALUE!</v>
      </c>
      <c r="F209" s="130" t="e">
        <f>IF(Sheet1!$D$193,CHOOSE(Sheet1!F$265,"",IF($C128="Clear=&gt;","",F128)),NA())</f>
        <v>#VALUE!</v>
      </c>
      <c r="G209" s="130" t="e">
        <f>IF(Sheet1!$D$193,CHOOSE(Sheet1!G$265,"",IF($C128="Clear=&gt;","",G128)),NA())</f>
        <v>#VALUE!</v>
      </c>
      <c r="H209" s="130" t="e">
        <f>IF(Sheet1!$D$193,CHOOSE(Sheet1!H$265,"",IF($C128="Clear=&gt;","",H128)),NA())</f>
        <v>#VALUE!</v>
      </c>
      <c r="I209" s="130" t="e">
        <f>IF(Sheet1!$D$193,CHOOSE(Sheet1!I$265,"",IF($C128="Clear=&gt;","",I128)),NA())</f>
        <v>#VALUE!</v>
      </c>
      <c r="J209" s="130" t="e">
        <f>IF(Sheet1!$D$193,CHOOSE(Sheet1!J$265,"",IF($C128="Clear=&gt;","",J128)),NA())</f>
        <v>#VALUE!</v>
      </c>
      <c r="K209" s="129" t="e">
        <f>IF(Sheet1!$D$193,CHOOSE(Sheet1!K$265,"",IF($C128="Clear=&gt;","",K128)),NA())</f>
        <v>#VALUE!</v>
      </c>
    </row>
    <row r="210" spans="2:11" hidden="1" x14ac:dyDescent="0.25">
      <c r="B210" s="128" t="str">
        <f>IF(Sheet1!D$193,B129,NA())</f>
        <v xml:space="preserve"> </v>
      </c>
      <c r="C210" s="128"/>
      <c r="D210" s="131" t="e">
        <f>IF(Sheet1!$D$193,CHOOSE(Sheet1!D$265,"",IF($C129="Clear=&gt;","",D129)),NA())</f>
        <v>#VALUE!</v>
      </c>
      <c r="E210" s="130" t="e">
        <f>IF(Sheet1!$D$193,CHOOSE(Sheet1!E$265,"",IF($C129="Clear=&gt;","",E129)),NA())</f>
        <v>#VALUE!</v>
      </c>
      <c r="F210" s="130" t="e">
        <f>IF(Sheet1!$D$193,CHOOSE(Sheet1!F$265,"",IF($C129="Clear=&gt;","",F129)),NA())</f>
        <v>#VALUE!</v>
      </c>
      <c r="G210" s="130" t="e">
        <f>IF(Sheet1!$D$193,CHOOSE(Sheet1!G$265,"",IF($C129="Clear=&gt;","",G129)),NA())</f>
        <v>#VALUE!</v>
      </c>
      <c r="H210" s="130" t="e">
        <f>IF(Sheet1!$D$193,CHOOSE(Sheet1!H$265,"",IF($C129="Clear=&gt;","",H129)),NA())</f>
        <v>#VALUE!</v>
      </c>
      <c r="I210" s="130" t="e">
        <f>IF(Sheet1!$D$193,CHOOSE(Sheet1!I$265,"",IF($C129="Clear=&gt;","",I129)),NA())</f>
        <v>#VALUE!</v>
      </c>
      <c r="J210" s="130" t="e">
        <f>IF(Sheet1!$D$193,CHOOSE(Sheet1!J$265,"",IF($C129="Clear=&gt;","",J129)),NA())</f>
        <v>#VALUE!</v>
      </c>
      <c r="K210" s="129" t="e">
        <f>IF(Sheet1!$D$193,CHOOSE(Sheet1!K$265,"",IF($C129="Clear=&gt;","",K129)),NA())</f>
        <v>#VALUE!</v>
      </c>
    </row>
    <row r="211" spans="2:11" hidden="1" x14ac:dyDescent="0.25">
      <c r="B211" s="128" t="str">
        <f>IF(Sheet1!D$193,B130,NA())</f>
        <v xml:space="preserve"> </v>
      </c>
      <c r="C211" s="128"/>
      <c r="D211" s="131" t="e">
        <f>IF(Sheet1!$D$193,CHOOSE(Sheet1!D$265,"",IF($C130="Clear=&gt;","",D130)),NA())</f>
        <v>#VALUE!</v>
      </c>
      <c r="E211" s="130" t="e">
        <f>IF(Sheet1!$D$193,CHOOSE(Sheet1!E$265,"",IF($C130="Clear=&gt;","",E130)),NA())</f>
        <v>#VALUE!</v>
      </c>
      <c r="F211" s="130" t="e">
        <f>IF(Sheet1!$D$193,CHOOSE(Sheet1!F$265,"",IF($C130="Clear=&gt;","",F130)),NA())</f>
        <v>#VALUE!</v>
      </c>
      <c r="G211" s="130" t="e">
        <f>IF(Sheet1!$D$193,CHOOSE(Sheet1!G$265,"",IF($C130="Clear=&gt;","",G130)),NA())</f>
        <v>#VALUE!</v>
      </c>
      <c r="H211" s="130" t="e">
        <f>IF(Sheet1!$D$193,CHOOSE(Sheet1!H$265,"",IF($C130="Clear=&gt;","",H130)),NA())</f>
        <v>#VALUE!</v>
      </c>
      <c r="I211" s="130" t="e">
        <f>IF(Sheet1!$D$193,CHOOSE(Sheet1!I$265,"",IF($C130="Clear=&gt;","",I130)),NA())</f>
        <v>#VALUE!</v>
      </c>
      <c r="J211" s="130" t="e">
        <f>IF(Sheet1!$D$193,CHOOSE(Sheet1!J$265,"",IF($C130="Clear=&gt;","",J130)),NA())</f>
        <v>#VALUE!</v>
      </c>
      <c r="K211" s="129" t="e">
        <f>IF(Sheet1!$D$193,CHOOSE(Sheet1!K$265,"",IF($C130="Clear=&gt;","",K130)),NA())</f>
        <v>#VALUE!</v>
      </c>
    </row>
    <row r="212" spans="2:11" hidden="1" x14ac:dyDescent="0.25">
      <c r="B212" s="128" t="str">
        <f>IF(Sheet1!D$193,B131,NA())</f>
        <v xml:space="preserve"> </v>
      </c>
      <c r="C212" s="128"/>
      <c r="D212" s="131" t="e">
        <f>IF(Sheet1!$D$193,CHOOSE(Sheet1!D$265,"",IF($C131="Clear=&gt;","",D131)),NA())</f>
        <v>#VALUE!</v>
      </c>
      <c r="E212" s="130" t="e">
        <f>IF(Sheet1!$D$193,CHOOSE(Sheet1!E$265,"",IF($C131="Clear=&gt;","",E131)),NA())</f>
        <v>#VALUE!</v>
      </c>
      <c r="F212" s="130" t="e">
        <f>IF(Sheet1!$D$193,CHOOSE(Sheet1!F$265,"",IF($C131="Clear=&gt;","",F131)),NA())</f>
        <v>#VALUE!</v>
      </c>
      <c r="G212" s="130" t="e">
        <f>IF(Sheet1!$D$193,CHOOSE(Sheet1!G$265,"",IF($C131="Clear=&gt;","",G131)),NA())</f>
        <v>#VALUE!</v>
      </c>
      <c r="H212" s="130" t="e">
        <f>IF(Sheet1!$D$193,CHOOSE(Sheet1!H$265,"",IF($C131="Clear=&gt;","",H131)),NA())</f>
        <v>#VALUE!</v>
      </c>
      <c r="I212" s="130" t="e">
        <f>IF(Sheet1!$D$193,CHOOSE(Sheet1!I$265,"",IF($C131="Clear=&gt;","",I131)),NA())</f>
        <v>#VALUE!</v>
      </c>
      <c r="J212" s="130" t="e">
        <f>IF(Sheet1!$D$193,CHOOSE(Sheet1!J$265,"",IF($C131="Clear=&gt;","",J131)),NA())</f>
        <v>#VALUE!</v>
      </c>
      <c r="K212" s="129" t="e">
        <f>IF(Sheet1!$D$193,CHOOSE(Sheet1!K$265,"",IF($C131="Clear=&gt;","",K131)),NA())</f>
        <v>#VALUE!</v>
      </c>
    </row>
    <row r="213" spans="2:11" hidden="1" x14ac:dyDescent="0.25">
      <c r="B213" s="128" t="str">
        <f>IF(Sheet1!D$193,B132,NA())</f>
        <v xml:space="preserve"> </v>
      </c>
      <c r="C213" s="128"/>
      <c r="D213" s="131" t="e">
        <f>IF(Sheet1!$D$193,CHOOSE(Sheet1!D$265,"",IF($C132="Clear=&gt;","",D132)),NA())</f>
        <v>#VALUE!</v>
      </c>
      <c r="E213" s="130" t="e">
        <f>IF(Sheet1!$D$193,CHOOSE(Sheet1!E$265,"",IF($C132="Clear=&gt;","",E132)),NA())</f>
        <v>#VALUE!</v>
      </c>
      <c r="F213" s="130" t="e">
        <f>IF(Sheet1!$D$193,CHOOSE(Sheet1!F$265,"",IF($C132="Clear=&gt;","",F132)),NA())</f>
        <v>#VALUE!</v>
      </c>
      <c r="G213" s="130" t="e">
        <f>IF(Sheet1!$D$193,CHOOSE(Sheet1!G$265,"",IF($C132="Clear=&gt;","",G132)),NA())</f>
        <v>#VALUE!</v>
      </c>
      <c r="H213" s="130" t="e">
        <f>IF(Sheet1!$D$193,CHOOSE(Sheet1!H$265,"",IF($C132="Clear=&gt;","",H132)),NA())</f>
        <v>#VALUE!</v>
      </c>
      <c r="I213" s="130" t="e">
        <f>IF(Sheet1!$D$193,CHOOSE(Sheet1!I$265,"",IF($C132="Clear=&gt;","",I132)),NA())</f>
        <v>#VALUE!</v>
      </c>
      <c r="J213" s="130" t="e">
        <f>IF(Sheet1!$D$193,CHOOSE(Sheet1!J$265,"",IF($C132="Clear=&gt;","",J132)),NA())</f>
        <v>#VALUE!</v>
      </c>
      <c r="K213" s="129" t="e">
        <f>IF(Sheet1!$D$193,CHOOSE(Sheet1!K$265,"",IF($C132="Clear=&gt;","",K132)),NA())</f>
        <v>#VALUE!</v>
      </c>
    </row>
    <row r="214" spans="2:11" hidden="1" x14ac:dyDescent="0.25">
      <c r="B214" s="128" t="str">
        <f>IF(Sheet1!D$193,B133,NA())</f>
        <v xml:space="preserve"> </v>
      </c>
      <c r="C214" s="128"/>
      <c r="D214" s="131" t="e">
        <f>IF(Sheet1!$D$193,CHOOSE(Sheet1!D$265,"",IF($C133="Clear=&gt;","",D133)),NA())</f>
        <v>#VALUE!</v>
      </c>
      <c r="E214" s="130" t="e">
        <f>IF(Sheet1!$D$193,CHOOSE(Sheet1!E$265,"",IF($C133="Clear=&gt;","",E133)),NA())</f>
        <v>#VALUE!</v>
      </c>
      <c r="F214" s="130" t="e">
        <f>IF(Sheet1!$D$193,CHOOSE(Sheet1!F$265,"",IF($C133="Clear=&gt;","",F133)),NA())</f>
        <v>#VALUE!</v>
      </c>
      <c r="G214" s="130" t="e">
        <f>IF(Sheet1!$D$193,CHOOSE(Sheet1!G$265,"",IF($C133="Clear=&gt;","",G133)),NA())</f>
        <v>#VALUE!</v>
      </c>
      <c r="H214" s="130" t="e">
        <f>IF(Sheet1!$D$193,CHOOSE(Sheet1!H$265,"",IF($C133="Clear=&gt;","",H133)),NA())</f>
        <v>#VALUE!</v>
      </c>
      <c r="I214" s="130" t="e">
        <f>IF(Sheet1!$D$193,CHOOSE(Sheet1!I$265,"",IF($C133="Clear=&gt;","",I133)),NA())</f>
        <v>#VALUE!</v>
      </c>
      <c r="J214" s="130" t="e">
        <f>IF(Sheet1!$D$193,CHOOSE(Sheet1!J$265,"",IF($C133="Clear=&gt;","",J133)),NA())</f>
        <v>#VALUE!</v>
      </c>
      <c r="K214" s="129" t="e">
        <f>IF(Sheet1!$D$193,CHOOSE(Sheet1!K$265,"",IF($C133="Clear=&gt;","",K133)),NA())</f>
        <v>#VALUE!</v>
      </c>
    </row>
    <row r="215" spans="2:11" hidden="1" x14ac:dyDescent="0.25">
      <c r="B215" s="128" t="str">
        <f>IF(Sheet1!D$193,B134,NA())</f>
        <v xml:space="preserve"> </v>
      </c>
      <c r="C215" s="128"/>
      <c r="D215" s="131" t="e">
        <f>IF(Sheet1!$D$193,CHOOSE(Sheet1!D$265,"",IF($C134="Clear=&gt;","",D134)),NA())</f>
        <v>#VALUE!</v>
      </c>
      <c r="E215" s="130" t="e">
        <f>IF(Sheet1!$D$193,CHOOSE(Sheet1!E$265,"",IF($C134="Clear=&gt;","",E134)),NA())</f>
        <v>#VALUE!</v>
      </c>
      <c r="F215" s="130" t="e">
        <f>IF(Sheet1!$D$193,CHOOSE(Sheet1!F$265,"",IF($C134="Clear=&gt;","",F134)),NA())</f>
        <v>#VALUE!</v>
      </c>
      <c r="G215" s="130" t="e">
        <f>IF(Sheet1!$D$193,CHOOSE(Sheet1!G$265,"",IF($C134="Clear=&gt;","",G134)),NA())</f>
        <v>#VALUE!</v>
      </c>
      <c r="H215" s="130" t="e">
        <f>IF(Sheet1!$D$193,CHOOSE(Sheet1!H$265,"",IF($C134="Clear=&gt;","",H134)),NA())</f>
        <v>#VALUE!</v>
      </c>
      <c r="I215" s="130" t="e">
        <f>IF(Sheet1!$D$193,CHOOSE(Sheet1!I$265,"",IF($C134="Clear=&gt;","",I134)),NA())</f>
        <v>#VALUE!</v>
      </c>
      <c r="J215" s="130" t="e">
        <f>IF(Sheet1!$D$193,CHOOSE(Sheet1!J$265,"",IF($C134="Clear=&gt;","",J134)),NA())</f>
        <v>#VALUE!</v>
      </c>
      <c r="K215" s="129" t="e">
        <f>IF(Sheet1!$D$193,CHOOSE(Sheet1!K$265,"",IF($C134="Clear=&gt;","",K134)),NA())</f>
        <v>#VALUE!</v>
      </c>
    </row>
    <row r="216" spans="2:11" hidden="1" x14ac:dyDescent="0.25">
      <c r="B216" s="128" t="str">
        <f>IF(Sheet1!D$193,B135,NA())</f>
        <v xml:space="preserve"> </v>
      </c>
      <c r="C216" s="128"/>
      <c r="D216" s="131" t="e">
        <f>IF(Sheet1!$D$193,CHOOSE(Sheet1!D$265,"",IF($C135="Clear=&gt;","",D135)),NA())</f>
        <v>#VALUE!</v>
      </c>
      <c r="E216" s="130" t="e">
        <f>IF(Sheet1!$D$193,CHOOSE(Sheet1!E$265,"",IF($C135="Clear=&gt;","",E135)),NA())</f>
        <v>#VALUE!</v>
      </c>
      <c r="F216" s="130" t="e">
        <f>IF(Sheet1!$D$193,CHOOSE(Sheet1!F$265,"",IF($C135="Clear=&gt;","",F135)),NA())</f>
        <v>#VALUE!</v>
      </c>
      <c r="G216" s="130" t="e">
        <f>IF(Sheet1!$D$193,CHOOSE(Sheet1!G$265,"",IF($C135="Clear=&gt;","",G135)),NA())</f>
        <v>#VALUE!</v>
      </c>
      <c r="H216" s="130" t="e">
        <f>IF(Sheet1!$D$193,CHOOSE(Sheet1!H$265,"",IF($C135="Clear=&gt;","",H135)),NA())</f>
        <v>#VALUE!</v>
      </c>
      <c r="I216" s="130" t="e">
        <f>IF(Sheet1!$D$193,CHOOSE(Sheet1!I$265,"",IF($C135="Clear=&gt;","",I135)),NA())</f>
        <v>#VALUE!</v>
      </c>
      <c r="J216" s="130" t="e">
        <f>IF(Sheet1!$D$193,CHOOSE(Sheet1!J$265,"",IF($C135="Clear=&gt;","",J135)),NA())</f>
        <v>#VALUE!</v>
      </c>
      <c r="K216" s="129" t="e">
        <f>IF(Sheet1!$D$193,CHOOSE(Sheet1!K$265,"",IF($C135="Clear=&gt;","",K135)),NA())</f>
        <v>#VALUE!</v>
      </c>
    </row>
    <row r="217" spans="2:11" hidden="1" x14ac:dyDescent="0.25">
      <c r="B217" s="128" t="str">
        <f>IF(Sheet1!D$193,B136,NA())</f>
        <v xml:space="preserve"> </v>
      </c>
      <c r="C217" s="128"/>
      <c r="D217" s="131" t="e">
        <f>IF(Sheet1!$D$193,CHOOSE(Sheet1!D$265,"",IF($C136="Clear=&gt;","",D136)),NA())</f>
        <v>#VALUE!</v>
      </c>
      <c r="E217" s="130" t="e">
        <f>IF(Sheet1!$D$193,CHOOSE(Sheet1!E$265,"",IF($C136="Clear=&gt;","",E136)),NA())</f>
        <v>#VALUE!</v>
      </c>
      <c r="F217" s="130" t="e">
        <f>IF(Sheet1!$D$193,CHOOSE(Sheet1!F$265,"",IF($C136="Clear=&gt;","",F136)),NA())</f>
        <v>#VALUE!</v>
      </c>
      <c r="G217" s="130" t="e">
        <f>IF(Sheet1!$D$193,CHOOSE(Sheet1!G$265,"",IF($C136="Clear=&gt;","",G136)),NA())</f>
        <v>#VALUE!</v>
      </c>
      <c r="H217" s="130" t="e">
        <f>IF(Sheet1!$D$193,CHOOSE(Sheet1!H$265,"",IF($C136="Clear=&gt;","",H136)),NA())</f>
        <v>#VALUE!</v>
      </c>
      <c r="I217" s="130" t="e">
        <f>IF(Sheet1!$D$193,CHOOSE(Sheet1!I$265,"",IF($C136="Clear=&gt;","",I136)),NA())</f>
        <v>#VALUE!</v>
      </c>
      <c r="J217" s="130" t="e">
        <f>IF(Sheet1!$D$193,CHOOSE(Sheet1!J$265,"",IF($C136="Clear=&gt;","",J136)),NA())</f>
        <v>#VALUE!</v>
      </c>
      <c r="K217" s="129" t="e">
        <f>IF(Sheet1!$D$193,CHOOSE(Sheet1!K$265,"",IF($C136="Clear=&gt;","",K136)),NA())</f>
        <v>#VALUE!</v>
      </c>
    </row>
    <row r="218" spans="2:11" hidden="1" x14ac:dyDescent="0.25">
      <c r="B218" s="128" t="str">
        <f>IF(Sheet1!D$193,B137,NA())</f>
        <v xml:space="preserve"> </v>
      </c>
      <c r="C218" s="128"/>
      <c r="D218" s="131" t="e">
        <f>IF(Sheet1!$D$193,CHOOSE(Sheet1!D$265,"",IF($C137="Clear=&gt;","",D137)),NA())</f>
        <v>#VALUE!</v>
      </c>
      <c r="E218" s="130" t="e">
        <f>IF(Sheet1!$D$193,CHOOSE(Sheet1!E$265,"",IF($C137="Clear=&gt;","",E137)),NA())</f>
        <v>#VALUE!</v>
      </c>
      <c r="F218" s="130" t="e">
        <f>IF(Sheet1!$D$193,CHOOSE(Sheet1!F$265,"",IF($C137="Clear=&gt;","",F137)),NA())</f>
        <v>#VALUE!</v>
      </c>
      <c r="G218" s="130" t="e">
        <f>IF(Sheet1!$D$193,CHOOSE(Sheet1!G$265,"",IF($C137="Clear=&gt;","",G137)),NA())</f>
        <v>#VALUE!</v>
      </c>
      <c r="H218" s="130" t="e">
        <f>IF(Sheet1!$D$193,CHOOSE(Sheet1!H$265,"",IF($C137="Clear=&gt;","",H137)),NA())</f>
        <v>#VALUE!</v>
      </c>
      <c r="I218" s="130" t="e">
        <f>IF(Sheet1!$D$193,CHOOSE(Sheet1!I$265,"",IF($C137="Clear=&gt;","",I137)),NA())</f>
        <v>#VALUE!</v>
      </c>
      <c r="J218" s="130" t="e">
        <f>IF(Sheet1!$D$193,CHOOSE(Sheet1!J$265,"",IF($C137="Clear=&gt;","",J137)),NA())</f>
        <v>#VALUE!</v>
      </c>
      <c r="K218" s="129" t="e">
        <f>IF(Sheet1!$D$193,CHOOSE(Sheet1!K$265,"",IF($C137="Clear=&gt;","",K137)),NA())</f>
        <v>#VALUE!</v>
      </c>
    </row>
    <row r="219" spans="2:11" hidden="1" x14ac:dyDescent="0.25">
      <c r="B219" s="128" t="str">
        <f>IF(Sheet1!D$193,B138,NA())</f>
        <v xml:space="preserve"> </v>
      </c>
      <c r="C219" s="128"/>
      <c r="D219" s="131" t="e">
        <f>IF(Sheet1!$D$193,CHOOSE(Sheet1!D$265,"",IF($C138="Clear=&gt;","",D138)),NA())</f>
        <v>#VALUE!</v>
      </c>
      <c r="E219" s="130" t="e">
        <f>IF(Sheet1!$D$193,CHOOSE(Sheet1!E$265,"",IF($C138="Clear=&gt;","",E138)),NA())</f>
        <v>#VALUE!</v>
      </c>
      <c r="F219" s="130" t="e">
        <f>IF(Sheet1!$D$193,CHOOSE(Sheet1!F$265,"",IF($C138="Clear=&gt;","",F138)),NA())</f>
        <v>#VALUE!</v>
      </c>
      <c r="G219" s="130" t="e">
        <f>IF(Sheet1!$D$193,CHOOSE(Sheet1!G$265,"",IF($C138="Clear=&gt;","",G138)),NA())</f>
        <v>#VALUE!</v>
      </c>
      <c r="H219" s="130" t="e">
        <f>IF(Sheet1!$D$193,CHOOSE(Sheet1!H$265,"",IF($C138="Clear=&gt;","",H138)),NA())</f>
        <v>#VALUE!</v>
      </c>
      <c r="I219" s="130" t="e">
        <f>IF(Sheet1!$D$193,CHOOSE(Sheet1!I$265,"",IF($C138="Clear=&gt;","",I138)),NA())</f>
        <v>#VALUE!</v>
      </c>
      <c r="J219" s="130" t="e">
        <f>IF(Sheet1!$D$193,CHOOSE(Sheet1!J$265,"",IF($C138="Clear=&gt;","",J138)),NA())</f>
        <v>#VALUE!</v>
      </c>
      <c r="K219" s="129" t="e">
        <f>IF(Sheet1!$D$193,CHOOSE(Sheet1!K$265,"",IF($C138="Clear=&gt;","",K138)),NA())</f>
        <v>#VALUE!</v>
      </c>
    </row>
    <row r="220" spans="2:11" hidden="1" x14ac:dyDescent="0.25">
      <c r="B220" s="128" t="str">
        <f>IF(Sheet1!D$193,B139,NA())</f>
        <v xml:space="preserve"> </v>
      </c>
      <c r="C220" s="128"/>
      <c r="D220" s="131" t="e">
        <f>IF(Sheet1!$D$193,CHOOSE(Sheet1!D$265,"",IF($C139="Clear=&gt;","",D139)),NA())</f>
        <v>#VALUE!</v>
      </c>
      <c r="E220" s="130" t="e">
        <f>IF(Sheet1!$D$193,CHOOSE(Sheet1!E$265,"",IF($C139="Clear=&gt;","",E139)),NA())</f>
        <v>#VALUE!</v>
      </c>
      <c r="F220" s="130" t="e">
        <f>IF(Sheet1!$D$193,CHOOSE(Sheet1!F$265,"",IF($C139="Clear=&gt;","",F139)),NA())</f>
        <v>#VALUE!</v>
      </c>
      <c r="G220" s="130" t="e">
        <f>IF(Sheet1!$D$193,CHOOSE(Sheet1!G$265,"",IF($C139="Clear=&gt;","",G139)),NA())</f>
        <v>#VALUE!</v>
      </c>
      <c r="H220" s="130" t="e">
        <f>IF(Sheet1!$D$193,CHOOSE(Sheet1!H$265,"",IF($C139="Clear=&gt;","",H139)),NA())</f>
        <v>#VALUE!</v>
      </c>
      <c r="I220" s="130" t="e">
        <f>IF(Sheet1!$D$193,CHOOSE(Sheet1!I$265,"",IF($C139="Clear=&gt;","",I139)),NA())</f>
        <v>#VALUE!</v>
      </c>
      <c r="J220" s="130" t="e">
        <f>IF(Sheet1!$D$193,CHOOSE(Sheet1!J$265,"",IF($C139="Clear=&gt;","",J139)),NA())</f>
        <v>#VALUE!</v>
      </c>
      <c r="K220" s="129" t="e">
        <f>IF(Sheet1!$D$193,CHOOSE(Sheet1!K$265,"",IF($C139="Clear=&gt;","",K139)),NA())</f>
        <v>#VALUE!</v>
      </c>
    </row>
    <row r="221" spans="2:11" hidden="1" x14ac:dyDescent="0.25">
      <c r="B221" s="128" t="str">
        <f>IF(Sheet1!D$193,B140,NA())</f>
        <v xml:space="preserve"> </v>
      </c>
      <c r="C221" s="128"/>
      <c r="D221" s="131" t="e">
        <f>IF(Sheet1!$D$193,CHOOSE(Sheet1!D$265,"",IF($C140="Clear=&gt;","",D140)),NA())</f>
        <v>#VALUE!</v>
      </c>
      <c r="E221" s="130" t="e">
        <f>IF(Sheet1!$D$193,CHOOSE(Sheet1!E$265,"",IF($C140="Clear=&gt;","",E140)),NA())</f>
        <v>#VALUE!</v>
      </c>
      <c r="F221" s="130" t="e">
        <f>IF(Sheet1!$D$193,CHOOSE(Sheet1!F$265,"",IF($C140="Clear=&gt;","",F140)),NA())</f>
        <v>#VALUE!</v>
      </c>
      <c r="G221" s="130" t="e">
        <f>IF(Sheet1!$D$193,CHOOSE(Sheet1!G$265,"",IF($C140="Clear=&gt;","",G140)),NA())</f>
        <v>#VALUE!</v>
      </c>
      <c r="H221" s="130" t="e">
        <f>IF(Sheet1!$D$193,CHOOSE(Sheet1!H$265,"",IF($C140="Clear=&gt;","",H140)),NA())</f>
        <v>#VALUE!</v>
      </c>
      <c r="I221" s="130" t="e">
        <f>IF(Sheet1!$D$193,CHOOSE(Sheet1!I$265,"",IF($C140="Clear=&gt;","",I140)),NA())</f>
        <v>#VALUE!</v>
      </c>
      <c r="J221" s="130" t="e">
        <f>IF(Sheet1!$D$193,CHOOSE(Sheet1!J$265,"",IF($C140="Clear=&gt;","",J140)),NA())</f>
        <v>#VALUE!</v>
      </c>
      <c r="K221" s="129" t="e">
        <f>IF(Sheet1!$D$193,CHOOSE(Sheet1!K$265,"",IF($C140="Clear=&gt;","",K140)),NA())</f>
        <v>#VALUE!</v>
      </c>
    </row>
    <row r="222" spans="2:11" ht="13.8" hidden="1" thickBot="1" x14ac:dyDescent="0.3">
      <c r="B222" s="128" t="str">
        <f>IF(Sheet1!D$193,B141,NA())</f>
        <v xml:space="preserve"> </v>
      </c>
      <c r="C222" s="128"/>
      <c r="D222" s="134" t="e">
        <f>IF(Sheet1!$D$193,CHOOSE(Sheet1!D$265,"",IF($C141="Clear=&gt;","",D141)),NA())</f>
        <v>#VALUE!</v>
      </c>
      <c r="E222" s="133" t="e">
        <f>IF(Sheet1!$D$193,CHOOSE(Sheet1!E$265,"",IF($C141="Clear=&gt;","",E141)),NA())</f>
        <v>#VALUE!</v>
      </c>
      <c r="F222" s="133" t="e">
        <f>IF(Sheet1!$D$193,CHOOSE(Sheet1!F$265,"",IF($C141="Clear=&gt;","",F141)),NA())</f>
        <v>#VALUE!</v>
      </c>
      <c r="G222" s="133" t="e">
        <f>IF(Sheet1!$D$193,CHOOSE(Sheet1!G$265,"",IF($C141="Clear=&gt;","",G141)),NA())</f>
        <v>#VALUE!</v>
      </c>
      <c r="H222" s="133" t="e">
        <f>IF(Sheet1!$D$193,CHOOSE(Sheet1!H$265,"",IF($C141="Clear=&gt;","",H141)),NA())</f>
        <v>#VALUE!</v>
      </c>
      <c r="I222" s="133" t="e">
        <f>IF(Sheet1!$D$193,CHOOSE(Sheet1!I$265,"",IF($C141="Clear=&gt;","",I141)),NA())</f>
        <v>#VALUE!</v>
      </c>
      <c r="J222" s="133" t="e">
        <f>IF(Sheet1!$D$193,CHOOSE(Sheet1!J$265,"",IF($C141="Clear=&gt;","",J141)),NA())</f>
        <v>#VALUE!</v>
      </c>
      <c r="K222" s="132" t="e">
        <f>IF(Sheet1!$D$193,CHOOSE(Sheet1!K$265,"",IF($C141="Clear=&gt;","",K141)),NA())</f>
        <v>#VALUE!</v>
      </c>
    </row>
    <row r="223" spans="2:11" hidden="1" x14ac:dyDescent="0.25">
      <c r="B223" s="128" t="str">
        <f>IF(Sheet1!D$193,B142,NA())</f>
        <v xml:space="preserve"> </v>
      </c>
      <c r="C223" s="128"/>
      <c r="D223" s="131" t="e">
        <f>IF(Sheet1!$D$193,CHOOSE(Sheet1!D$265,"",IF($C142="Clear=&gt;","",D142)),NA())</f>
        <v>#VALUE!</v>
      </c>
      <c r="E223" s="130" t="e">
        <f>IF(Sheet1!$D$193,CHOOSE(Sheet1!E$265,"",IF($C142="Clear=&gt;","",E142)),NA())</f>
        <v>#VALUE!</v>
      </c>
      <c r="F223" s="130" t="e">
        <f>IF(Sheet1!$D$193,CHOOSE(Sheet1!F$265,"",IF($C142="Clear=&gt;","",F142)),NA())</f>
        <v>#VALUE!</v>
      </c>
      <c r="G223" s="130" t="e">
        <f>IF(Sheet1!$D$193,CHOOSE(Sheet1!G$265,"",IF($C142="Clear=&gt;","",G142)),NA())</f>
        <v>#VALUE!</v>
      </c>
      <c r="H223" s="130" t="e">
        <f>IF(Sheet1!$D$193,CHOOSE(Sheet1!H$265,"",IF($C142="Clear=&gt;","",H142)),NA())</f>
        <v>#VALUE!</v>
      </c>
      <c r="I223" s="130" t="e">
        <f>IF(Sheet1!$D$193,CHOOSE(Sheet1!I$265,"",IF($C142="Clear=&gt;","",I142)),NA())</f>
        <v>#VALUE!</v>
      </c>
      <c r="J223" s="130" t="e">
        <f>IF(Sheet1!$D$193,CHOOSE(Sheet1!J$265,"",IF($C142="Clear=&gt;","",J142)),NA())</f>
        <v>#VALUE!</v>
      </c>
      <c r="K223" s="129" t="e">
        <f>IF(Sheet1!$D$193,CHOOSE(Sheet1!K$265,"",IF($C142="Clear=&gt;","",K142)),NA())</f>
        <v>#VALUE!</v>
      </c>
    </row>
    <row r="224" spans="2:11" hidden="1" x14ac:dyDescent="0.25">
      <c r="B224" s="128" t="str">
        <f>IF(Sheet1!D$193,B143,NA())</f>
        <v xml:space="preserve"> </v>
      </c>
      <c r="C224" s="128"/>
      <c r="D224" s="131" t="e">
        <f>IF(Sheet1!$D$193,CHOOSE(Sheet1!D$265,"",IF($C143="Clear=&gt;","",D143)),NA())</f>
        <v>#VALUE!</v>
      </c>
      <c r="E224" s="130" t="e">
        <f>IF(Sheet1!$D$193,CHOOSE(Sheet1!E$265,"",IF($C143="Clear=&gt;","",E143)),NA())</f>
        <v>#VALUE!</v>
      </c>
      <c r="F224" s="130" t="e">
        <f>IF(Sheet1!$D$193,CHOOSE(Sheet1!F$265,"",IF($C143="Clear=&gt;","",F143)),NA())</f>
        <v>#VALUE!</v>
      </c>
      <c r="G224" s="130" t="e">
        <f>IF(Sheet1!$D$193,CHOOSE(Sheet1!G$265,"",IF($C143="Clear=&gt;","",G143)),NA())</f>
        <v>#VALUE!</v>
      </c>
      <c r="H224" s="130" t="e">
        <f>IF(Sheet1!$D$193,CHOOSE(Sheet1!H$265,"",IF($C143="Clear=&gt;","",H143)),NA())</f>
        <v>#VALUE!</v>
      </c>
      <c r="I224" s="130" t="e">
        <f>IF(Sheet1!$D$193,CHOOSE(Sheet1!I$265,"",IF($C143="Clear=&gt;","",I143)),NA())</f>
        <v>#VALUE!</v>
      </c>
      <c r="J224" s="130" t="e">
        <f>IF(Sheet1!$D$193,CHOOSE(Sheet1!J$265,"",IF($C143="Clear=&gt;","",J143)),NA())</f>
        <v>#VALUE!</v>
      </c>
      <c r="K224" s="129" t="e">
        <f>IF(Sheet1!$D$193,CHOOSE(Sheet1!K$265,"",IF($C143="Clear=&gt;","",K143)),NA())</f>
        <v>#VALUE!</v>
      </c>
    </row>
    <row r="225" spans="2:11" hidden="1" x14ac:dyDescent="0.25">
      <c r="B225" s="128" t="str">
        <f>IF(Sheet1!D$193,B144,NA())</f>
        <v xml:space="preserve"> </v>
      </c>
      <c r="C225" s="128"/>
      <c r="D225" s="131" t="e">
        <f>IF(Sheet1!$D$193,CHOOSE(Sheet1!D$265,"",IF($C144="Clear=&gt;","",D144)),NA())</f>
        <v>#VALUE!</v>
      </c>
      <c r="E225" s="130" t="e">
        <f>IF(Sheet1!$D$193,CHOOSE(Sheet1!E$265,"",IF($C144="Clear=&gt;","",E144)),NA())</f>
        <v>#VALUE!</v>
      </c>
      <c r="F225" s="130" t="e">
        <f>IF(Sheet1!$D$193,CHOOSE(Sheet1!F$265,"",IF($C144="Clear=&gt;","",F144)),NA())</f>
        <v>#VALUE!</v>
      </c>
      <c r="G225" s="130" t="e">
        <f>IF(Sheet1!$D$193,CHOOSE(Sheet1!G$265,"",IF($C144="Clear=&gt;","",G144)),NA())</f>
        <v>#VALUE!</v>
      </c>
      <c r="H225" s="130" t="e">
        <f>IF(Sheet1!$D$193,CHOOSE(Sheet1!H$265,"",IF($C144="Clear=&gt;","",H144)),NA())</f>
        <v>#VALUE!</v>
      </c>
      <c r="I225" s="130" t="e">
        <f>IF(Sheet1!$D$193,CHOOSE(Sheet1!I$265,"",IF($C144="Clear=&gt;","",I144)),NA())</f>
        <v>#VALUE!</v>
      </c>
      <c r="J225" s="130" t="e">
        <f>IF(Sheet1!$D$193,CHOOSE(Sheet1!J$265,"",IF($C144="Clear=&gt;","",J144)),NA())</f>
        <v>#VALUE!</v>
      </c>
      <c r="K225" s="129" t="e">
        <f>IF(Sheet1!$D$193,CHOOSE(Sheet1!K$265,"",IF($C144="Clear=&gt;","",K144)),NA())</f>
        <v>#VALUE!</v>
      </c>
    </row>
    <row r="226" spans="2:11" hidden="1" x14ac:dyDescent="0.25">
      <c r="B226" s="128" t="str">
        <f>IF(Sheet1!D$193,B145,NA())</f>
        <v xml:space="preserve"> </v>
      </c>
      <c r="C226" s="128"/>
      <c r="D226" s="131" t="e">
        <f>IF(Sheet1!$D$193,CHOOSE(Sheet1!D$265,"",IF($C145="Clear=&gt;","",D145)),NA())</f>
        <v>#VALUE!</v>
      </c>
      <c r="E226" s="130" t="e">
        <f>IF(Sheet1!$D$193,CHOOSE(Sheet1!E$265,"",IF($C145="Clear=&gt;","",E145)),NA())</f>
        <v>#VALUE!</v>
      </c>
      <c r="F226" s="130" t="e">
        <f>IF(Sheet1!$D$193,CHOOSE(Sheet1!F$265,"",IF($C145="Clear=&gt;","",F145)),NA())</f>
        <v>#VALUE!</v>
      </c>
      <c r="G226" s="130" t="e">
        <f>IF(Sheet1!$D$193,CHOOSE(Sheet1!G$265,"",IF($C145="Clear=&gt;","",G145)),NA())</f>
        <v>#VALUE!</v>
      </c>
      <c r="H226" s="130" t="e">
        <f>IF(Sheet1!$D$193,CHOOSE(Sheet1!H$265,"",IF($C145="Clear=&gt;","",H145)),NA())</f>
        <v>#VALUE!</v>
      </c>
      <c r="I226" s="130" t="e">
        <f>IF(Sheet1!$D$193,CHOOSE(Sheet1!I$265,"",IF($C145="Clear=&gt;","",I145)),NA())</f>
        <v>#VALUE!</v>
      </c>
      <c r="J226" s="130" t="e">
        <f>IF(Sheet1!$D$193,CHOOSE(Sheet1!J$265,"",IF($C145="Clear=&gt;","",J145)),NA())</f>
        <v>#VALUE!</v>
      </c>
      <c r="K226" s="129" t="e">
        <f>IF(Sheet1!$D$193,CHOOSE(Sheet1!K$265,"",IF($C145="Clear=&gt;","",K145)),NA())</f>
        <v>#VALUE!</v>
      </c>
    </row>
    <row r="227" spans="2:11" hidden="1" x14ac:dyDescent="0.25">
      <c r="B227" s="128" t="str">
        <f>IF(Sheet1!D$193,B146,NA())</f>
        <v xml:space="preserve"> </v>
      </c>
      <c r="C227" s="128"/>
      <c r="D227" s="131" t="e">
        <f>IF(Sheet1!$D$193,CHOOSE(Sheet1!D$265,"",IF($C146="Clear=&gt;","",D146)),NA())</f>
        <v>#VALUE!</v>
      </c>
      <c r="E227" s="130" t="e">
        <f>IF(Sheet1!$D$193,CHOOSE(Sheet1!E$265,"",IF($C146="Clear=&gt;","",E146)),NA())</f>
        <v>#VALUE!</v>
      </c>
      <c r="F227" s="130" t="e">
        <f>IF(Sheet1!$D$193,CHOOSE(Sheet1!F$265,"",IF($C146="Clear=&gt;","",F146)),NA())</f>
        <v>#VALUE!</v>
      </c>
      <c r="G227" s="130" t="e">
        <f>IF(Sheet1!$D$193,CHOOSE(Sheet1!G$265,"",IF($C146="Clear=&gt;","",G146)),NA())</f>
        <v>#VALUE!</v>
      </c>
      <c r="H227" s="130" t="e">
        <f>IF(Sheet1!$D$193,CHOOSE(Sheet1!H$265,"",IF($C146="Clear=&gt;","",H146)),NA())</f>
        <v>#VALUE!</v>
      </c>
      <c r="I227" s="130" t="e">
        <f>IF(Sheet1!$D$193,CHOOSE(Sheet1!I$265,"",IF($C146="Clear=&gt;","",I146)),NA())</f>
        <v>#VALUE!</v>
      </c>
      <c r="J227" s="130" t="e">
        <f>IF(Sheet1!$D$193,CHOOSE(Sheet1!J$265,"",IF($C146="Clear=&gt;","",J146)),NA())</f>
        <v>#VALUE!</v>
      </c>
      <c r="K227" s="129" t="e">
        <f>IF(Sheet1!$D$193,CHOOSE(Sheet1!K$265,"",IF($C146="Clear=&gt;","",K146)),NA())</f>
        <v>#VALUE!</v>
      </c>
    </row>
    <row r="228" spans="2:11" hidden="1" x14ac:dyDescent="0.25">
      <c r="B228" s="128" t="str">
        <f>IF(Sheet1!D$193,B147,NA())</f>
        <v xml:space="preserve"> </v>
      </c>
      <c r="C228" s="128"/>
      <c r="D228" s="131" t="e">
        <f>IF(Sheet1!$D$193,CHOOSE(Sheet1!D$265,"",IF($C147="Clear=&gt;","",D147)),NA())</f>
        <v>#VALUE!</v>
      </c>
      <c r="E228" s="130" t="e">
        <f>IF(Sheet1!$D$193,CHOOSE(Sheet1!E$265,"",IF($C147="Clear=&gt;","",E147)),NA())</f>
        <v>#VALUE!</v>
      </c>
      <c r="F228" s="130" t="e">
        <f>IF(Sheet1!$D$193,CHOOSE(Sheet1!F$265,"",IF($C147="Clear=&gt;","",F147)),NA())</f>
        <v>#VALUE!</v>
      </c>
      <c r="G228" s="130" t="e">
        <f>IF(Sheet1!$D$193,CHOOSE(Sheet1!G$265,"",IF($C147="Clear=&gt;","",G147)),NA())</f>
        <v>#VALUE!</v>
      </c>
      <c r="H228" s="130" t="e">
        <f>IF(Sheet1!$D$193,CHOOSE(Sheet1!H$265,"",IF($C147="Clear=&gt;","",H147)),NA())</f>
        <v>#VALUE!</v>
      </c>
      <c r="I228" s="130" t="e">
        <f>IF(Sheet1!$D$193,CHOOSE(Sheet1!I$265,"",IF($C147="Clear=&gt;","",I147)),NA())</f>
        <v>#VALUE!</v>
      </c>
      <c r="J228" s="130" t="e">
        <f>IF(Sheet1!$D$193,CHOOSE(Sheet1!J$265,"",IF($C147="Clear=&gt;","",J147)),NA())</f>
        <v>#VALUE!</v>
      </c>
      <c r="K228" s="129" t="e">
        <f>IF(Sheet1!$D$193,CHOOSE(Sheet1!K$265,"",IF($C147="Clear=&gt;","",K147)),NA())</f>
        <v>#VALUE!</v>
      </c>
    </row>
    <row r="229" spans="2:11" hidden="1" x14ac:dyDescent="0.25">
      <c r="B229" s="128" t="str">
        <f>IF(Sheet1!D$193,B148,NA())</f>
        <v xml:space="preserve"> </v>
      </c>
      <c r="C229" s="128"/>
      <c r="D229" s="131" t="e">
        <f>IF(Sheet1!$D$193,CHOOSE(Sheet1!D$265,"",IF($C148="Clear=&gt;","",D148)),NA())</f>
        <v>#VALUE!</v>
      </c>
      <c r="E229" s="130" t="e">
        <f>IF(Sheet1!$D$193,CHOOSE(Sheet1!E$265,"",IF($C148="Clear=&gt;","",E148)),NA())</f>
        <v>#VALUE!</v>
      </c>
      <c r="F229" s="130" t="e">
        <f>IF(Sheet1!$D$193,CHOOSE(Sheet1!F$265,"",IF($C148="Clear=&gt;","",F148)),NA())</f>
        <v>#VALUE!</v>
      </c>
      <c r="G229" s="130" t="e">
        <f>IF(Sheet1!$D$193,CHOOSE(Sheet1!G$265,"",IF($C148="Clear=&gt;","",G148)),NA())</f>
        <v>#VALUE!</v>
      </c>
      <c r="H229" s="130" t="e">
        <f>IF(Sheet1!$D$193,CHOOSE(Sheet1!H$265,"",IF($C148="Clear=&gt;","",H148)),NA())</f>
        <v>#VALUE!</v>
      </c>
      <c r="I229" s="130" t="e">
        <f>IF(Sheet1!$D$193,CHOOSE(Sheet1!I$265,"",IF($C148="Clear=&gt;","",I148)),NA())</f>
        <v>#VALUE!</v>
      </c>
      <c r="J229" s="130" t="e">
        <f>IF(Sheet1!$D$193,CHOOSE(Sheet1!J$265,"",IF($C148="Clear=&gt;","",J148)),NA())</f>
        <v>#VALUE!</v>
      </c>
      <c r="K229" s="129" t="e">
        <f>IF(Sheet1!$D$193,CHOOSE(Sheet1!K$265,"",IF($C148="Clear=&gt;","",K148)),NA())</f>
        <v>#VALUE!</v>
      </c>
    </row>
    <row r="230" spans="2:11" hidden="1" x14ac:dyDescent="0.25">
      <c r="B230" s="128" t="str">
        <f>IF(Sheet1!D$193,B149,NA())</f>
        <v xml:space="preserve"> </v>
      </c>
      <c r="C230" s="128"/>
      <c r="D230" s="131" t="e">
        <f>IF(Sheet1!$D$193,CHOOSE(Sheet1!D$265,"",IF($C149="Clear=&gt;","",D149)),NA())</f>
        <v>#VALUE!</v>
      </c>
      <c r="E230" s="130" t="e">
        <f>IF(Sheet1!$D$193,CHOOSE(Sheet1!E$265,"",IF($C149="Clear=&gt;","",E149)),NA())</f>
        <v>#VALUE!</v>
      </c>
      <c r="F230" s="130" t="e">
        <f>IF(Sheet1!$D$193,CHOOSE(Sheet1!F$265,"",IF($C149="Clear=&gt;","",F149)),NA())</f>
        <v>#VALUE!</v>
      </c>
      <c r="G230" s="130" t="e">
        <f>IF(Sheet1!$D$193,CHOOSE(Sheet1!G$265,"",IF($C149="Clear=&gt;","",G149)),NA())</f>
        <v>#VALUE!</v>
      </c>
      <c r="H230" s="130" t="e">
        <f>IF(Sheet1!$D$193,CHOOSE(Sheet1!H$265,"",IF($C149="Clear=&gt;","",H149)),NA())</f>
        <v>#VALUE!</v>
      </c>
      <c r="I230" s="130" t="e">
        <f>IF(Sheet1!$D$193,CHOOSE(Sheet1!I$265,"",IF($C149="Clear=&gt;","",I149)),NA())</f>
        <v>#VALUE!</v>
      </c>
      <c r="J230" s="130" t="e">
        <f>IF(Sheet1!$D$193,CHOOSE(Sheet1!J$265,"",IF($C149="Clear=&gt;","",J149)),NA())</f>
        <v>#VALUE!</v>
      </c>
      <c r="K230" s="129" t="e">
        <f>IF(Sheet1!$D$193,CHOOSE(Sheet1!K$265,"",IF($C149="Clear=&gt;","",K149)),NA())</f>
        <v>#VALUE!</v>
      </c>
    </row>
    <row r="231" spans="2:11" hidden="1" x14ac:dyDescent="0.25">
      <c r="B231" s="128" t="str">
        <f>IF(Sheet1!D$193,B150,NA())</f>
        <v xml:space="preserve"> </v>
      </c>
      <c r="C231" s="128"/>
      <c r="D231" s="131" t="e">
        <f>IF(Sheet1!$D$193,CHOOSE(Sheet1!D$265,"",IF($C150="Clear=&gt;","",D150)),NA())</f>
        <v>#VALUE!</v>
      </c>
      <c r="E231" s="130" t="e">
        <f>IF(Sheet1!$D$193,CHOOSE(Sheet1!E$265,"",IF($C150="Clear=&gt;","",E150)),NA())</f>
        <v>#VALUE!</v>
      </c>
      <c r="F231" s="130" t="e">
        <f>IF(Sheet1!$D$193,CHOOSE(Sheet1!F$265,"",IF($C150="Clear=&gt;","",F150)),NA())</f>
        <v>#VALUE!</v>
      </c>
      <c r="G231" s="130" t="e">
        <f>IF(Sheet1!$D$193,CHOOSE(Sheet1!G$265,"",IF($C150="Clear=&gt;","",G150)),NA())</f>
        <v>#VALUE!</v>
      </c>
      <c r="H231" s="130" t="e">
        <f>IF(Sheet1!$D$193,CHOOSE(Sheet1!H$265,"",IF($C150="Clear=&gt;","",H150)),NA())</f>
        <v>#VALUE!</v>
      </c>
      <c r="I231" s="130" t="e">
        <f>IF(Sheet1!$D$193,CHOOSE(Sheet1!I$265,"",IF($C150="Clear=&gt;","",I150)),NA())</f>
        <v>#VALUE!</v>
      </c>
      <c r="J231" s="130" t="e">
        <f>IF(Sheet1!$D$193,CHOOSE(Sheet1!J$265,"",IF($C150="Clear=&gt;","",J150)),NA())</f>
        <v>#VALUE!</v>
      </c>
      <c r="K231" s="129" t="e">
        <f>IF(Sheet1!$D$193,CHOOSE(Sheet1!K$265,"",IF($C150="Clear=&gt;","",K150)),NA())</f>
        <v>#VALUE!</v>
      </c>
    </row>
    <row r="232" spans="2:11" hidden="1" x14ac:dyDescent="0.25">
      <c r="B232" s="128" t="str">
        <f>IF(Sheet1!D$193,B151,NA())</f>
        <v xml:space="preserve"> </v>
      </c>
      <c r="C232" s="128"/>
      <c r="D232" s="131" t="e">
        <f>IF(Sheet1!$D$193,CHOOSE(Sheet1!D$265,"",IF($C151="Clear=&gt;","",D151)),NA())</f>
        <v>#VALUE!</v>
      </c>
      <c r="E232" s="130" t="e">
        <f>IF(Sheet1!$D$193,CHOOSE(Sheet1!E$265,"",IF($C151="Clear=&gt;","",E151)),NA())</f>
        <v>#VALUE!</v>
      </c>
      <c r="F232" s="130" t="e">
        <f>IF(Sheet1!$D$193,CHOOSE(Sheet1!F$265,"",IF($C151="Clear=&gt;","",F151)),NA())</f>
        <v>#VALUE!</v>
      </c>
      <c r="G232" s="130" t="e">
        <f>IF(Sheet1!$D$193,CHOOSE(Sheet1!G$265,"",IF($C151="Clear=&gt;","",G151)),NA())</f>
        <v>#VALUE!</v>
      </c>
      <c r="H232" s="130" t="e">
        <f>IF(Sheet1!$D$193,CHOOSE(Sheet1!H$265,"",IF($C151="Clear=&gt;","",H151)),NA())</f>
        <v>#VALUE!</v>
      </c>
      <c r="I232" s="130" t="e">
        <f>IF(Sheet1!$D$193,CHOOSE(Sheet1!I$265,"",IF($C151="Clear=&gt;","",I151)),NA())</f>
        <v>#VALUE!</v>
      </c>
      <c r="J232" s="130" t="e">
        <f>IF(Sheet1!$D$193,CHOOSE(Sheet1!J$265,"",IF($C151="Clear=&gt;","",J151)),NA())</f>
        <v>#VALUE!</v>
      </c>
      <c r="K232" s="129" t="e">
        <f>IF(Sheet1!$D$193,CHOOSE(Sheet1!K$265,"",IF($C151="Clear=&gt;","",K151)),NA())</f>
        <v>#VALUE!</v>
      </c>
    </row>
    <row r="233" spans="2:11" hidden="1" x14ac:dyDescent="0.25">
      <c r="B233" s="128" t="str">
        <f>IF(Sheet1!D$193,B152,NA())</f>
        <v xml:space="preserve"> </v>
      </c>
      <c r="C233" s="128"/>
      <c r="D233" s="131" t="e">
        <f>IF(Sheet1!$D$193,CHOOSE(Sheet1!D$265,"",IF($C152="Clear=&gt;","",D152)),NA())</f>
        <v>#VALUE!</v>
      </c>
      <c r="E233" s="130" t="e">
        <f>IF(Sheet1!$D$193,CHOOSE(Sheet1!E$265,"",IF($C152="Clear=&gt;","",E152)),NA())</f>
        <v>#VALUE!</v>
      </c>
      <c r="F233" s="130" t="e">
        <f>IF(Sheet1!$D$193,CHOOSE(Sheet1!F$265,"",IF($C152="Clear=&gt;","",F152)),NA())</f>
        <v>#VALUE!</v>
      </c>
      <c r="G233" s="130" t="e">
        <f>IF(Sheet1!$D$193,CHOOSE(Sheet1!G$265,"",IF($C152="Clear=&gt;","",G152)),NA())</f>
        <v>#VALUE!</v>
      </c>
      <c r="H233" s="130" t="e">
        <f>IF(Sheet1!$D$193,CHOOSE(Sheet1!H$265,"",IF($C152="Clear=&gt;","",H152)),NA())</f>
        <v>#VALUE!</v>
      </c>
      <c r="I233" s="130" t="e">
        <f>IF(Sheet1!$D$193,CHOOSE(Sheet1!I$265,"",IF($C152="Clear=&gt;","",I152)),NA())</f>
        <v>#VALUE!</v>
      </c>
      <c r="J233" s="130" t="e">
        <f>IF(Sheet1!$D$193,CHOOSE(Sheet1!J$265,"",IF($C152="Clear=&gt;","",J152)),NA())</f>
        <v>#VALUE!</v>
      </c>
      <c r="K233" s="129" t="e">
        <f>IF(Sheet1!$D$193,CHOOSE(Sheet1!K$265,"",IF($C152="Clear=&gt;","",K152)),NA())</f>
        <v>#VALUE!</v>
      </c>
    </row>
    <row r="234" spans="2:11" hidden="1" x14ac:dyDescent="0.25">
      <c r="B234" s="128" t="str">
        <f>IF(Sheet1!D$193,B153,NA())</f>
        <v xml:space="preserve"> </v>
      </c>
      <c r="C234" s="128"/>
      <c r="D234" s="131" t="e">
        <f>IF(Sheet1!$D$193,CHOOSE(Sheet1!D$265,"",IF($C153="Clear=&gt;","",D153)),NA())</f>
        <v>#VALUE!</v>
      </c>
      <c r="E234" s="130" t="e">
        <f>IF(Sheet1!$D$193,CHOOSE(Sheet1!E$265,"",IF($C153="Clear=&gt;","",E153)),NA())</f>
        <v>#VALUE!</v>
      </c>
      <c r="F234" s="130" t="e">
        <f>IF(Sheet1!$D$193,CHOOSE(Sheet1!F$265,"",IF($C153="Clear=&gt;","",F153)),NA())</f>
        <v>#VALUE!</v>
      </c>
      <c r="G234" s="130" t="e">
        <f>IF(Sheet1!$D$193,CHOOSE(Sheet1!G$265,"",IF($C153="Clear=&gt;","",G153)),NA())</f>
        <v>#VALUE!</v>
      </c>
      <c r="H234" s="130" t="e">
        <f>IF(Sheet1!$D$193,CHOOSE(Sheet1!H$265,"",IF($C153="Clear=&gt;","",H153)),NA())</f>
        <v>#VALUE!</v>
      </c>
      <c r="I234" s="130" t="e">
        <f>IF(Sheet1!$D$193,CHOOSE(Sheet1!I$265,"",IF($C153="Clear=&gt;","",I153)),NA())</f>
        <v>#VALUE!</v>
      </c>
      <c r="J234" s="130" t="e">
        <f>IF(Sheet1!$D$193,CHOOSE(Sheet1!J$265,"",IF($C153="Clear=&gt;","",J153)),NA())</f>
        <v>#VALUE!</v>
      </c>
      <c r="K234" s="129" t="e">
        <f>IF(Sheet1!$D$193,CHOOSE(Sheet1!K$265,"",IF($C153="Clear=&gt;","",K153)),NA())</f>
        <v>#VALUE!</v>
      </c>
    </row>
    <row r="235" spans="2:11" hidden="1" x14ac:dyDescent="0.25">
      <c r="B235" s="128" t="str">
        <f>IF(Sheet1!D$193,B154,NA())</f>
        <v xml:space="preserve"> </v>
      </c>
      <c r="C235" s="128"/>
      <c r="D235" s="131" t="e">
        <f>IF(Sheet1!$D$193,CHOOSE(Sheet1!D$265,"",IF($C154="Clear=&gt;","",D154)),NA())</f>
        <v>#VALUE!</v>
      </c>
      <c r="E235" s="130" t="e">
        <f>IF(Sheet1!$D$193,CHOOSE(Sheet1!E$265,"",IF($C154="Clear=&gt;","",E154)),NA())</f>
        <v>#VALUE!</v>
      </c>
      <c r="F235" s="130" t="e">
        <f>IF(Sheet1!$D$193,CHOOSE(Sheet1!F$265,"",IF($C154="Clear=&gt;","",F154)),NA())</f>
        <v>#VALUE!</v>
      </c>
      <c r="G235" s="130" t="e">
        <f>IF(Sheet1!$D$193,CHOOSE(Sheet1!G$265,"",IF($C154="Clear=&gt;","",G154)),NA())</f>
        <v>#VALUE!</v>
      </c>
      <c r="H235" s="130" t="e">
        <f>IF(Sheet1!$D$193,CHOOSE(Sheet1!H$265,"",IF($C154="Clear=&gt;","",H154)),NA())</f>
        <v>#VALUE!</v>
      </c>
      <c r="I235" s="130" t="e">
        <f>IF(Sheet1!$D$193,CHOOSE(Sheet1!I$265,"",IF($C154="Clear=&gt;","",I154)),NA())</f>
        <v>#VALUE!</v>
      </c>
      <c r="J235" s="130" t="e">
        <f>IF(Sheet1!$D$193,CHOOSE(Sheet1!J$265,"",IF($C154="Clear=&gt;","",J154)),NA())</f>
        <v>#VALUE!</v>
      </c>
      <c r="K235" s="129" t="e">
        <f>IF(Sheet1!$D$193,CHOOSE(Sheet1!K$265,"",IF($C154="Clear=&gt;","",K154)),NA())</f>
        <v>#VALUE!</v>
      </c>
    </row>
    <row r="236" spans="2:11" hidden="1" x14ac:dyDescent="0.25">
      <c r="B236" s="128" t="str">
        <f>IF(Sheet1!D$193,B155,NA())</f>
        <v xml:space="preserve"> </v>
      </c>
      <c r="C236" s="128"/>
      <c r="D236" s="131" t="e">
        <f>IF(Sheet1!$D$193,CHOOSE(Sheet1!D$265,"",IF($C155="Clear=&gt;","",D155)),NA())</f>
        <v>#VALUE!</v>
      </c>
      <c r="E236" s="130" t="e">
        <f>IF(Sheet1!$D$193,CHOOSE(Sheet1!E$265,"",IF($C155="Clear=&gt;","",E155)),NA())</f>
        <v>#VALUE!</v>
      </c>
      <c r="F236" s="130" t="e">
        <f>IF(Sheet1!$D$193,CHOOSE(Sheet1!F$265,"",IF($C155="Clear=&gt;","",F155)),NA())</f>
        <v>#VALUE!</v>
      </c>
      <c r="G236" s="130" t="e">
        <f>IF(Sheet1!$D$193,CHOOSE(Sheet1!G$265,"",IF($C155="Clear=&gt;","",G155)),NA())</f>
        <v>#VALUE!</v>
      </c>
      <c r="H236" s="130" t="e">
        <f>IF(Sheet1!$D$193,CHOOSE(Sheet1!H$265,"",IF($C155="Clear=&gt;","",H155)),NA())</f>
        <v>#VALUE!</v>
      </c>
      <c r="I236" s="130" t="e">
        <f>IF(Sheet1!$D$193,CHOOSE(Sheet1!I$265,"",IF($C155="Clear=&gt;","",I155)),NA())</f>
        <v>#VALUE!</v>
      </c>
      <c r="J236" s="130" t="e">
        <f>IF(Sheet1!$D$193,CHOOSE(Sheet1!J$265,"",IF($C155="Clear=&gt;","",J155)),NA())</f>
        <v>#VALUE!</v>
      </c>
      <c r="K236" s="129" t="e">
        <f>IF(Sheet1!$D$193,CHOOSE(Sheet1!K$265,"",IF($C155="Clear=&gt;","",K155)),NA())</f>
        <v>#VALUE!</v>
      </c>
    </row>
    <row r="237" spans="2:11" hidden="1" x14ac:dyDescent="0.25">
      <c r="B237" s="128" t="str">
        <f>IF(Sheet1!D$193,B156,NA())</f>
        <v xml:space="preserve"> </v>
      </c>
      <c r="C237" s="128"/>
      <c r="D237" s="131" t="e">
        <f>IF(Sheet1!$D$193,CHOOSE(Sheet1!D$265,"",IF($C156="Clear=&gt;","",D156)),NA())</f>
        <v>#VALUE!</v>
      </c>
      <c r="E237" s="130" t="e">
        <f>IF(Sheet1!$D$193,CHOOSE(Sheet1!E$265,"",IF($C156="Clear=&gt;","",E156)),NA())</f>
        <v>#VALUE!</v>
      </c>
      <c r="F237" s="130" t="e">
        <f>IF(Sheet1!$D$193,CHOOSE(Sheet1!F$265,"",IF($C156="Clear=&gt;","",F156)),NA())</f>
        <v>#VALUE!</v>
      </c>
      <c r="G237" s="130" t="e">
        <f>IF(Sheet1!$D$193,CHOOSE(Sheet1!G$265,"",IF($C156="Clear=&gt;","",G156)),NA())</f>
        <v>#VALUE!</v>
      </c>
      <c r="H237" s="130" t="e">
        <f>IF(Sheet1!$D$193,CHOOSE(Sheet1!H$265,"",IF($C156="Clear=&gt;","",H156)),NA())</f>
        <v>#VALUE!</v>
      </c>
      <c r="I237" s="130" t="e">
        <f>IF(Sheet1!$D$193,CHOOSE(Sheet1!I$265,"",IF($C156="Clear=&gt;","",I156)),NA())</f>
        <v>#VALUE!</v>
      </c>
      <c r="J237" s="130" t="e">
        <f>IF(Sheet1!$D$193,CHOOSE(Sheet1!J$265,"",IF($C156="Clear=&gt;","",J156)),NA())</f>
        <v>#VALUE!</v>
      </c>
      <c r="K237" s="129" t="e">
        <f>IF(Sheet1!$D$193,CHOOSE(Sheet1!K$265,"",IF($C156="Clear=&gt;","",K156)),NA())</f>
        <v>#VALUE!</v>
      </c>
    </row>
    <row r="238" spans="2:11" hidden="1" x14ac:dyDescent="0.25">
      <c r="B238" s="128" t="str">
        <f>IF(Sheet1!D$193,B157,NA())</f>
        <v xml:space="preserve"> </v>
      </c>
      <c r="C238" s="128"/>
      <c r="D238" s="131" t="e">
        <f>IF(Sheet1!$D$193,CHOOSE(Sheet1!D$265,"",IF($C157="Clear=&gt;","",D157)),NA())</f>
        <v>#VALUE!</v>
      </c>
      <c r="E238" s="130" t="e">
        <f>IF(Sheet1!$D$193,CHOOSE(Sheet1!E$265,"",IF($C157="Clear=&gt;","",E157)),NA())</f>
        <v>#VALUE!</v>
      </c>
      <c r="F238" s="130" t="e">
        <f>IF(Sheet1!$D$193,CHOOSE(Sheet1!F$265,"",IF($C157="Clear=&gt;","",F157)),NA())</f>
        <v>#VALUE!</v>
      </c>
      <c r="G238" s="130" t="e">
        <f>IF(Sheet1!$D$193,CHOOSE(Sheet1!G$265,"",IF($C157="Clear=&gt;","",G157)),NA())</f>
        <v>#VALUE!</v>
      </c>
      <c r="H238" s="130" t="e">
        <f>IF(Sheet1!$D$193,CHOOSE(Sheet1!H$265,"",IF($C157="Clear=&gt;","",H157)),NA())</f>
        <v>#VALUE!</v>
      </c>
      <c r="I238" s="130" t="e">
        <f>IF(Sheet1!$D$193,CHOOSE(Sheet1!I$265,"",IF($C157="Clear=&gt;","",I157)),NA())</f>
        <v>#VALUE!</v>
      </c>
      <c r="J238" s="130" t="e">
        <f>IF(Sheet1!$D$193,CHOOSE(Sheet1!J$265,"",IF($C157="Clear=&gt;","",J157)),NA())</f>
        <v>#VALUE!</v>
      </c>
      <c r="K238" s="129" t="e">
        <f>IF(Sheet1!$D$193,CHOOSE(Sheet1!K$265,"",IF($C157="Clear=&gt;","",K157)),NA())</f>
        <v>#VALUE!</v>
      </c>
    </row>
    <row r="239" spans="2:11" hidden="1" x14ac:dyDescent="0.25">
      <c r="B239" s="128" t="str">
        <f>IF(Sheet1!D$193,B158,NA())</f>
        <v xml:space="preserve"> </v>
      </c>
      <c r="C239" s="128"/>
      <c r="D239" s="131" t="e">
        <f>IF(Sheet1!$D$193,CHOOSE(Sheet1!D$265,"",IF($C158="Clear=&gt;","",D158)),NA())</f>
        <v>#VALUE!</v>
      </c>
      <c r="E239" s="130" t="e">
        <f>IF(Sheet1!$D$193,CHOOSE(Sheet1!E$265,"",IF($C158="Clear=&gt;","",E158)),NA())</f>
        <v>#VALUE!</v>
      </c>
      <c r="F239" s="130" t="e">
        <f>IF(Sheet1!$D$193,CHOOSE(Sheet1!F$265,"",IF($C158="Clear=&gt;","",F158)),NA())</f>
        <v>#VALUE!</v>
      </c>
      <c r="G239" s="130" t="e">
        <f>IF(Sheet1!$D$193,CHOOSE(Sheet1!G$265,"",IF($C158="Clear=&gt;","",G158)),NA())</f>
        <v>#VALUE!</v>
      </c>
      <c r="H239" s="130" t="e">
        <f>IF(Sheet1!$D$193,CHOOSE(Sheet1!H$265,"",IF($C158="Clear=&gt;","",H158)),NA())</f>
        <v>#VALUE!</v>
      </c>
      <c r="I239" s="130" t="e">
        <f>IF(Sheet1!$D$193,CHOOSE(Sheet1!I$265,"",IF($C158="Clear=&gt;","",I158)),NA())</f>
        <v>#VALUE!</v>
      </c>
      <c r="J239" s="130" t="e">
        <f>IF(Sheet1!$D$193,CHOOSE(Sheet1!J$265,"",IF($C158="Clear=&gt;","",J158)),NA())</f>
        <v>#VALUE!</v>
      </c>
      <c r="K239" s="129" t="e">
        <f>IF(Sheet1!$D$193,CHOOSE(Sheet1!K$265,"",IF($C158="Clear=&gt;","",K158)),NA())</f>
        <v>#VALUE!</v>
      </c>
    </row>
    <row r="240" spans="2:11" hidden="1" x14ac:dyDescent="0.25">
      <c r="B240" s="128" t="str">
        <f>IF(Sheet1!D$193,B159,NA())</f>
        <v xml:space="preserve"> </v>
      </c>
      <c r="C240" s="128"/>
      <c r="D240" s="131" t="e">
        <f>IF(Sheet1!$D$193,CHOOSE(Sheet1!D$265,"",IF($C159="Clear=&gt;","",D159)),NA())</f>
        <v>#VALUE!</v>
      </c>
      <c r="E240" s="130" t="e">
        <f>IF(Sheet1!$D$193,CHOOSE(Sheet1!E$265,"",IF($C159="Clear=&gt;","",E159)),NA())</f>
        <v>#VALUE!</v>
      </c>
      <c r="F240" s="130" t="e">
        <f>IF(Sheet1!$D$193,CHOOSE(Sheet1!F$265,"",IF($C159="Clear=&gt;","",F159)),NA())</f>
        <v>#VALUE!</v>
      </c>
      <c r="G240" s="130" t="e">
        <f>IF(Sheet1!$D$193,CHOOSE(Sheet1!G$265,"",IF($C159="Clear=&gt;","",G159)),NA())</f>
        <v>#VALUE!</v>
      </c>
      <c r="H240" s="130" t="e">
        <f>IF(Sheet1!$D$193,CHOOSE(Sheet1!H$265,"",IF($C159="Clear=&gt;","",H159)),NA())</f>
        <v>#VALUE!</v>
      </c>
      <c r="I240" s="130" t="e">
        <f>IF(Sheet1!$D$193,CHOOSE(Sheet1!I$265,"",IF($C159="Clear=&gt;","",I159)),NA())</f>
        <v>#VALUE!</v>
      </c>
      <c r="J240" s="130" t="e">
        <f>IF(Sheet1!$D$193,CHOOSE(Sheet1!J$265,"",IF($C159="Clear=&gt;","",J159)),NA())</f>
        <v>#VALUE!</v>
      </c>
      <c r="K240" s="129" t="e">
        <f>IF(Sheet1!$D$193,CHOOSE(Sheet1!K$265,"",IF($C159="Clear=&gt;","",K159)),NA())</f>
        <v>#VALUE!</v>
      </c>
    </row>
    <row r="241" spans="1:11" hidden="1" x14ac:dyDescent="0.25">
      <c r="B241" s="128"/>
      <c r="C241" s="128" t="s">
        <v>242</v>
      </c>
      <c r="D241" s="127" t="e">
        <f>IF(Sheet1!D$193,SUM(D191:D240),NA())</f>
        <v>#VALUE!</v>
      </c>
      <c r="E241" s="127" t="e">
        <f>IF(Sheet1!D$193,SUM(E191:E240),NA())</f>
        <v>#VALUE!</v>
      </c>
      <c r="F241" s="127" t="e">
        <f>IF(Sheet1!D$193,SUM(F191:F240),NA())</f>
        <v>#VALUE!</v>
      </c>
      <c r="G241" s="127" t="e">
        <f>IF(Sheet1!D$193,SUM(G191:G240),NA())</f>
        <v>#VALUE!</v>
      </c>
      <c r="H241" s="127" t="e">
        <f>IF(Sheet1!D$193,SUM(H191:H240),NA())</f>
        <v>#VALUE!</v>
      </c>
      <c r="I241" s="127" t="e">
        <f>IF(Sheet1!D$193,SUM(I191:I240),NA())</f>
        <v>#VALUE!</v>
      </c>
      <c r="J241" s="127" t="e">
        <f>IF(Sheet1!D$193,SUM(J191:J240),NA())</f>
        <v>#VALUE!</v>
      </c>
      <c r="K241" s="127" t="e">
        <f>IF(Sheet1!D$193,SUM(K191:K240),NA())</f>
        <v>#VALUE!</v>
      </c>
    </row>
    <row r="242" spans="1:11" hidden="1" x14ac:dyDescent="0.25"/>
    <row r="243" spans="1:11" hidden="1" x14ac:dyDescent="0.25">
      <c r="A243" s="126" t="s">
        <v>243</v>
      </c>
      <c r="B243" s="125"/>
      <c r="C243" s="125"/>
      <c r="D243" s="125"/>
      <c r="E243" s="125"/>
      <c r="F243" s="125"/>
      <c r="G243" s="125"/>
      <c r="H243" s="125"/>
      <c r="I243" s="125"/>
      <c r="J243" s="125"/>
      <c r="K243" s="124"/>
    </row>
    <row r="244" spans="1:11" hidden="1" x14ac:dyDescent="0.25"/>
  </sheetData>
  <printOptions horizontalCentered="1"/>
  <pageMargins left="0.25" right="0.25" top="0.25" bottom="0.5" header="0.25" footer="0.25"/>
  <pageSetup scale="75" orientation="landscape" blackAndWhite="1" r:id="rId1"/>
  <headerFooter alignWithMargins="0">
    <oddFooter>&amp;R&amp;A,   Input Data,  Page 2 of 2,  (Printed:  &amp;D,   &amp;T ) Using ver 1.04r6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Fill="0" autoLine="0" autoPict="0">
                <anchor moveWithCells="1">
                  <from>
                    <xdr:col>3</xdr:col>
                    <xdr:colOff>0</xdr:colOff>
                    <xdr:row>105</xdr:row>
                    <xdr:rowOff>22860</xdr:rowOff>
                  </from>
                  <to>
                    <xdr:col>4</xdr:col>
                    <xdr:colOff>38100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Fill="0" autoLine="0" autoPict="0">
                <anchor moveWithCells="1">
                  <from>
                    <xdr:col>3</xdr:col>
                    <xdr:colOff>0</xdr:colOff>
                    <xdr:row>102</xdr:row>
                    <xdr:rowOff>152400</xdr:rowOff>
                  </from>
                  <to>
                    <xdr:col>4</xdr:col>
                    <xdr:colOff>30480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Fill="0" autoLine="0" autoPict="0">
                <anchor moveWithCells="1">
                  <from>
                    <xdr:col>4</xdr:col>
                    <xdr:colOff>30480</xdr:colOff>
                    <xdr:row>102</xdr:row>
                    <xdr:rowOff>152400</xdr:rowOff>
                  </from>
                  <to>
                    <xdr:col>5</xdr:col>
                    <xdr:colOff>38100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Fill="0" autoLine="0" autoPict="0">
                <anchor moveWithCells="1">
                  <from>
                    <xdr:col>5</xdr:col>
                    <xdr:colOff>30480</xdr:colOff>
                    <xdr:row>102</xdr:row>
                    <xdr:rowOff>152400</xdr:rowOff>
                  </from>
                  <to>
                    <xdr:col>6</xdr:col>
                    <xdr:colOff>45720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Fill="0" autoLine="0" autoPict="0">
                <anchor moveWithCells="1">
                  <from>
                    <xdr:col>6</xdr:col>
                    <xdr:colOff>38100</xdr:colOff>
                    <xdr:row>102</xdr:row>
                    <xdr:rowOff>152400</xdr:rowOff>
                  </from>
                  <to>
                    <xdr:col>7</xdr:col>
                    <xdr:colOff>30480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Fill="0" autoLine="0" autoPict="0">
                <anchor moveWithCells="1">
                  <from>
                    <xdr:col>7</xdr:col>
                    <xdr:colOff>38100</xdr:colOff>
                    <xdr:row>102</xdr:row>
                    <xdr:rowOff>152400</xdr:rowOff>
                  </from>
                  <to>
                    <xdr:col>8</xdr:col>
                    <xdr:colOff>38100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Fill="0" autoLine="0" autoPict="0">
                <anchor moveWithCells="1">
                  <from>
                    <xdr:col>8</xdr:col>
                    <xdr:colOff>30480</xdr:colOff>
                    <xdr:row>102</xdr:row>
                    <xdr:rowOff>152400</xdr:rowOff>
                  </from>
                  <to>
                    <xdr:col>9</xdr:col>
                    <xdr:colOff>45720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Fill="0" autoLine="0" autoPict="0">
                <anchor moveWithCells="1">
                  <from>
                    <xdr:col>9</xdr:col>
                    <xdr:colOff>38100</xdr:colOff>
                    <xdr:row>102</xdr:row>
                    <xdr:rowOff>152400</xdr:rowOff>
                  </from>
                  <to>
                    <xdr:col>10</xdr:col>
                    <xdr:colOff>38100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Fill="0" autoLine="0" autoPict="0">
                <anchor moveWithCells="1">
                  <from>
                    <xdr:col>10</xdr:col>
                    <xdr:colOff>30480</xdr:colOff>
                    <xdr:row>102</xdr:row>
                    <xdr:rowOff>152400</xdr:rowOff>
                  </from>
                  <to>
                    <xdr:col>11</xdr:col>
                    <xdr:colOff>30480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Drop Down 10">
              <controlPr defaultSize="0" autoFill="0" autoLine="0" autoPict="0">
                <anchor moveWithCells="1">
                  <from>
                    <xdr:col>4</xdr:col>
                    <xdr:colOff>38100</xdr:colOff>
                    <xdr:row>105</xdr:row>
                    <xdr:rowOff>22860</xdr:rowOff>
                  </from>
                  <to>
                    <xdr:col>5</xdr:col>
                    <xdr:colOff>30480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Drop Down 11">
              <controlPr defaultSize="0" autoFill="0" autoLine="0" autoPict="0">
                <anchor moveWithCells="1">
                  <from>
                    <xdr:col>5</xdr:col>
                    <xdr:colOff>30480</xdr:colOff>
                    <xdr:row>105</xdr:row>
                    <xdr:rowOff>22860</xdr:rowOff>
                  </from>
                  <to>
                    <xdr:col>6</xdr:col>
                    <xdr:colOff>30480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Drop Down 12">
              <controlPr defaultSize="0" autoFill="0" autoLine="0" autoPict="0">
                <anchor moveWithCells="1">
                  <from>
                    <xdr:col>6</xdr:col>
                    <xdr:colOff>22860</xdr:colOff>
                    <xdr:row>105</xdr:row>
                    <xdr:rowOff>22860</xdr:rowOff>
                  </from>
                  <to>
                    <xdr:col>7</xdr:col>
                    <xdr:colOff>30480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Drop Down 13">
              <controlPr defaultSize="0" autoFill="0" autoLine="0" autoPict="0">
                <anchor moveWithCells="1">
                  <from>
                    <xdr:col>7</xdr:col>
                    <xdr:colOff>38100</xdr:colOff>
                    <xdr:row>105</xdr:row>
                    <xdr:rowOff>22860</xdr:rowOff>
                  </from>
                  <to>
                    <xdr:col>8</xdr:col>
                    <xdr:colOff>38100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Drop Down 14">
              <controlPr defaultSize="0" autoFill="0" autoLine="0" autoPict="0">
                <anchor moveWithCells="1">
                  <from>
                    <xdr:col>8</xdr:col>
                    <xdr:colOff>38100</xdr:colOff>
                    <xdr:row>105</xdr:row>
                    <xdr:rowOff>22860</xdr:rowOff>
                  </from>
                  <to>
                    <xdr:col>9</xdr:col>
                    <xdr:colOff>45720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Drop Down 15">
              <controlPr defaultSize="0" autoFill="0" autoLine="0" autoPict="0">
                <anchor moveWithCells="1">
                  <from>
                    <xdr:col>9</xdr:col>
                    <xdr:colOff>38100</xdr:colOff>
                    <xdr:row>105</xdr:row>
                    <xdr:rowOff>22860</xdr:rowOff>
                  </from>
                  <to>
                    <xdr:col>10</xdr:col>
                    <xdr:colOff>45720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Drop Down 16">
              <controlPr defaultSize="0" autoFill="0" autoLine="0" autoPict="0">
                <anchor moveWithCells="1">
                  <from>
                    <xdr:col>10</xdr:col>
                    <xdr:colOff>38100</xdr:colOff>
                    <xdr:row>105</xdr:row>
                    <xdr:rowOff>22860</xdr:rowOff>
                  </from>
                  <to>
                    <xdr:col>11</xdr:col>
                    <xdr:colOff>30480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Drop Down 17">
              <controlPr defaultSize="0" autoFill="0" autoLine="0" autoPict="0">
                <anchor moveWithCells="1">
                  <from>
                    <xdr:col>3</xdr:col>
                    <xdr:colOff>7620</xdr:colOff>
                    <xdr:row>163</xdr:row>
                    <xdr:rowOff>152400</xdr:rowOff>
                  </from>
                  <to>
                    <xdr:col>4</xdr:col>
                    <xdr:colOff>38100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Drop Down 18">
              <controlPr defaultSize="0" autoFill="0" autoLine="0" autoPict="0">
                <anchor moveWithCells="1">
                  <from>
                    <xdr:col>4</xdr:col>
                    <xdr:colOff>30480</xdr:colOff>
                    <xdr:row>163</xdr:row>
                    <xdr:rowOff>152400</xdr:rowOff>
                  </from>
                  <to>
                    <xdr:col>5</xdr:col>
                    <xdr:colOff>22860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Drop Down 19">
              <controlPr defaultSize="0" autoFill="0" autoLine="0" autoPict="0">
                <anchor moveWithCells="1">
                  <from>
                    <xdr:col>5</xdr:col>
                    <xdr:colOff>22860</xdr:colOff>
                    <xdr:row>163</xdr:row>
                    <xdr:rowOff>152400</xdr:rowOff>
                  </from>
                  <to>
                    <xdr:col>6</xdr:col>
                    <xdr:colOff>38100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Drop Down 20">
              <controlPr defaultSize="0" autoFill="0" autoLine="0" autoPict="0">
                <anchor moveWithCells="1">
                  <from>
                    <xdr:col>6</xdr:col>
                    <xdr:colOff>38100</xdr:colOff>
                    <xdr:row>163</xdr:row>
                    <xdr:rowOff>152400</xdr:rowOff>
                  </from>
                  <to>
                    <xdr:col>7</xdr:col>
                    <xdr:colOff>22860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Drop Down 21">
              <controlPr defaultSize="0" autoFill="0" autoLine="0" autoPict="0">
                <anchor moveWithCells="1">
                  <from>
                    <xdr:col>7</xdr:col>
                    <xdr:colOff>30480</xdr:colOff>
                    <xdr:row>163</xdr:row>
                    <xdr:rowOff>152400</xdr:rowOff>
                  </from>
                  <to>
                    <xdr:col>8</xdr:col>
                    <xdr:colOff>30480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Drop Down 22">
              <controlPr defaultSize="0" autoFill="0" autoLine="0" autoPict="0">
                <anchor moveWithCells="1">
                  <from>
                    <xdr:col>8</xdr:col>
                    <xdr:colOff>38100</xdr:colOff>
                    <xdr:row>163</xdr:row>
                    <xdr:rowOff>152400</xdr:rowOff>
                  </from>
                  <to>
                    <xdr:col>9</xdr:col>
                    <xdr:colOff>30480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Drop Down 23">
              <controlPr defaultSize="0" autoFill="0" autoLine="0" autoPict="0">
                <anchor moveWithCells="1">
                  <from>
                    <xdr:col>9</xdr:col>
                    <xdr:colOff>30480</xdr:colOff>
                    <xdr:row>163</xdr:row>
                    <xdr:rowOff>152400</xdr:rowOff>
                  </from>
                  <to>
                    <xdr:col>10</xdr:col>
                    <xdr:colOff>30480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Drop Down 24">
              <controlPr defaultSize="0" autoFill="0" autoLine="0" autoPict="0">
                <anchor moveWithCells="1">
                  <from>
                    <xdr:col>10</xdr:col>
                    <xdr:colOff>30480</xdr:colOff>
                    <xdr:row>163</xdr:row>
                    <xdr:rowOff>152400</xdr:rowOff>
                  </from>
                  <to>
                    <xdr:col>11</xdr:col>
                    <xdr:colOff>22860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Drop Down 25">
              <controlPr defaultSize="0" autoFill="0" autoLine="0" autoPict="0">
                <anchor moveWithCells="1">
                  <from>
                    <xdr:col>3</xdr:col>
                    <xdr:colOff>0</xdr:colOff>
                    <xdr:row>11</xdr:row>
                    <xdr:rowOff>152400</xdr:rowOff>
                  </from>
                  <to>
                    <xdr:col>4</xdr:col>
                    <xdr:colOff>30480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Drop Down 26">
              <controlPr defaultSize="0" autoFill="0" autoLine="0" autoPict="0">
                <anchor moveWithCells="1">
                  <from>
                    <xdr:col>4</xdr:col>
                    <xdr:colOff>22860</xdr:colOff>
                    <xdr:row>11</xdr:row>
                    <xdr:rowOff>152400</xdr:rowOff>
                  </from>
                  <to>
                    <xdr:col>5</xdr:col>
                    <xdr:colOff>38100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Drop Down 27">
              <controlPr defaultSize="0" autoFill="0" autoLine="0" autoPict="0">
                <anchor moveWithCells="1">
                  <from>
                    <xdr:col>5</xdr:col>
                    <xdr:colOff>30480</xdr:colOff>
                    <xdr:row>11</xdr:row>
                    <xdr:rowOff>152400</xdr:rowOff>
                  </from>
                  <to>
                    <xdr:col>6</xdr:col>
                    <xdr:colOff>30480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Drop Down 28">
              <controlPr defaultSize="0" autoFill="0" autoLine="0" autoPict="0">
                <anchor moveWithCells="1">
                  <from>
                    <xdr:col>6</xdr:col>
                    <xdr:colOff>30480</xdr:colOff>
                    <xdr:row>11</xdr:row>
                    <xdr:rowOff>152400</xdr:rowOff>
                  </from>
                  <to>
                    <xdr:col>7</xdr:col>
                    <xdr:colOff>30480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Drop Down 29">
              <controlPr defaultSize="0" autoFill="0" autoLine="0" autoPict="0">
                <anchor moveWithCells="1">
                  <from>
                    <xdr:col>7</xdr:col>
                    <xdr:colOff>38100</xdr:colOff>
                    <xdr:row>11</xdr:row>
                    <xdr:rowOff>152400</xdr:rowOff>
                  </from>
                  <to>
                    <xdr:col>8</xdr:col>
                    <xdr:colOff>30480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Drop Down 30">
              <controlPr defaultSize="0" autoFill="0" autoLine="0" autoPict="0">
                <anchor moveWithCells="1">
                  <from>
                    <xdr:col>8</xdr:col>
                    <xdr:colOff>30480</xdr:colOff>
                    <xdr:row>11</xdr:row>
                    <xdr:rowOff>152400</xdr:rowOff>
                  </from>
                  <to>
                    <xdr:col>9</xdr:col>
                    <xdr:colOff>30480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Drop Down 31">
              <controlPr defaultSize="0" autoFill="0" autoLine="0" autoPict="0">
                <anchor moveWithCells="1">
                  <from>
                    <xdr:col>9</xdr:col>
                    <xdr:colOff>22860</xdr:colOff>
                    <xdr:row>11</xdr:row>
                    <xdr:rowOff>152400</xdr:rowOff>
                  </from>
                  <to>
                    <xdr:col>10</xdr:col>
                    <xdr:colOff>38100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Drop Down 32">
              <controlPr defaultSize="0" autoFill="0" autoLine="0" autoPict="0">
                <anchor moveWithCells="1">
                  <from>
                    <xdr:col>10</xdr:col>
                    <xdr:colOff>30480</xdr:colOff>
                    <xdr:row>11</xdr:row>
                    <xdr:rowOff>152400</xdr:rowOff>
                  </from>
                  <to>
                    <xdr:col>11</xdr:col>
                    <xdr:colOff>22860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Drop Down 33">
              <controlPr defaultSize="0" autoFill="0" autoLine="0" autoPict="0">
                <anchor moveWithCells="1">
                  <from>
                    <xdr:col>3</xdr:col>
                    <xdr:colOff>22860</xdr:colOff>
                    <xdr:row>170</xdr:row>
                    <xdr:rowOff>144780</xdr:rowOff>
                  </from>
                  <to>
                    <xdr:col>4</xdr:col>
                    <xdr:colOff>45720</xdr:colOff>
                    <xdr:row>172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7" name="Drop Down 37">
              <controlPr defaultSize="0" autoLine="0" autoPict="0">
                <anchor moveWithCells="1">
                  <from>
                    <xdr:col>3</xdr:col>
                    <xdr:colOff>22860</xdr:colOff>
                    <xdr:row>9</xdr:row>
                    <xdr:rowOff>68580</xdr:rowOff>
                  </from>
                  <to>
                    <xdr:col>4</xdr:col>
                    <xdr:colOff>22860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M244"/>
  <sheetViews>
    <sheetView showGridLines="0" zoomScaleNormal="100" workbookViewId="0"/>
  </sheetViews>
  <sheetFormatPr defaultColWidth="0" defaultRowHeight="12.6" customHeight="1" x14ac:dyDescent="0.25"/>
  <cols>
    <col min="1" max="1" width="8.5546875" style="74" customWidth="1"/>
    <col min="2" max="2" width="5.6640625" style="74" customWidth="1"/>
    <col min="3" max="3" width="6.6640625" style="74" customWidth="1"/>
    <col min="4" max="13" width="15.44140625" style="74" customWidth="1"/>
    <col min="14" max="256" width="8.6640625" style="58" customWidth="1"/>
    <col min="257" max="257" width="8.5546875" style="58" customWidth="1"/>
    <col min="258" max="258" width="5.6640625" style="58" customWidth="1"/>
    <col min="259" max="259" width="6.6640625" style="58" customWidth="1"/>
    <col min="260" max="269" width="15.44140625" style="58" customWidth="1"/>
    <col min="270" max="512" width="0" style="58" hidden="1"/>
    <col min="513" max="513" width="8.5546875" style="58" customWidth="1"/>
    <col min="514" max="514" width="5.6640625" style="58" customWidth="1"/>
    <col min="515" max="515" width="6.6640625" style="58" customWidth="1"/>
    <col min="516" max="525" width="15.44140625" style="58" customWidth="1"/>
    <col min="526" max="768" width="0" style="58" hidden="1"/>
    <col min="769" max="769" width="8.5546875" style="58" customWidth="1"/>
    <col min="770" max="770" width="5.6640625" style="58" customWidth="1"/>
    <col min="771" max="771" width="6.6640625" style="58" customWidth="1"/>
    <col min="772" max="781" width="15.44140625" style="58" customWidth="1"/>
    <col min="782" max="1024" width="0" style="58" hidden="1"/>
    <col min="1025" max="1025" width="8.5546875" style="58" customWidth="1"/>
    <col min="1026" max="1026" width="5.6640625" style="58" customWidth="1"/>
    <col min="1027" max="1027" width="6.6640625" style="58" customWidth="1"/>
    <col min="1028" max="1037" width="15.44140625" style="58" customWidth="1"/>
    <col min="1038" max="1280" width="0" style="58" hidden="1"/>
    <col min="1281" max="1281" width="8.5546875" style="58" customWidth="1"/>
    <col min="1282" max="1282" width="5.6640625" style="58" customWidth="1"/>
    <col min="1283" max="1283" width="6.6640625" style="58" customWidth="1"/>
    <col min="1284" max="1293" width="15.44140625" style="58" customWidth="1"/>
    <col min="1294" max="1536" width="0" style="58" hidden="1"/>
    <col min="1537" max="1537" width="8.5546875" style="58" customWidth="1"/>
    <col min="1538" max="1538" width="5.6640625" style="58" customWidth="1"/>
    <col min="1539" max="1539" width="6.6640625" style="58" customWidth="1"/>
    <col min="1540" max="1549" width="15.44140625" style="58" customWidth="1"/>
    <col min="1550" max="1792" width="0" style="58" hidden="1"/>
    <col min="1793" max="1793" width="8.5546875" style="58" customWidth="1"/>
    <col min="1794" max="1794" width="5.6640625" style="58" customWidth="1"/>
    <col min="1795" max="1795" width="6.6640625" style="58" customWidth="1"/>
    <col min="1796" max="1805" width="15.44140625" style="58" customWidth="1"/>
    <col min="1806" max="2048" width="0" style="58" hidden="1"/>
    <col min="2049" max="2049" width="8.5546875" style="58" customWidth="1"/>
    <col min="2050" max="2050" width="5.6640625" style="58" customWidth="1"/>
    <col min="2051" max="2051" width="6.6640625" style="58" customWidth="1"/>
    <col min="2052" max="2061" width="15.44140625" style="58" customWidth="1"/>
    <col min="2062" max="2304" width="0" style="58" hidden="1"/>
    <col min="2305" max="2305" width="8.5546875" style="58" customWidth="1"/>
    <col min="2306" max="2306" width="5.6640625" style="58" customWidth="1"/>
    <col min="2307" max="2307" width="6.6640625" style="58" customWidth="1"/>
    <col min="2308" max="2317" width="15.44140625" style="58" customWidth="1"/>
    <col min="2318" max="2560" width="0" style="58" hidden="1"/>
    <col min="2561" max="2561" width="8.5546875" style="58" customWidth="1"/>
    <col min="2562" max="2562" width="5.6640625" style="58" customWidth="1"/>
    <col min="2563" max="2563" width="6.6640625" style="58" customWidth="1"/>
    <col min="2564" max="2573" width="15.44140625" style="58" customWidth="1"/>
    <col min="2574" max="2816" width="0" style="58" hidden="1"/>
    <col min="2817" max="2817" width="8.5546875" style="58" customWidth="1"/>
    <col min="2818" max="2818" width="5.6640625" style="58" customWidth="1"/>
    <col min="2819" max="2819" width="6.6640625" style="58" customWidth="1"/>
    <col min="2820" max="2829" width="15.44140625" style="58" customWidth="1"/>
    <col min="2830" max="3072" width="0" style="58" hidden="1"/>
    <col min="3073" max="3073" width="8.5546875" style="58" customWidth="1"/>
    <col min="3074" max="3074" width="5.6640625" style="58" customWidth="1"/>
    <col min="3075" max="3075" width="6.6640625" style="58" customWidth="1"/>
    <col min="3076" max="3085" width="15.44140625" style="58" customWidth="1"/>
    <col min="3086" max="3328" width="0" style="58" hidden="1"/>
    <col min="3329" max="3329" width="8.5546875" style="58" customWidth="1"/>
    <col min="3330" max="3330" width="5.6640625" style="58" customWidth="1"/>
    <col min="3331" max="3331" width="6.6640625" style="58" customWidth="1"/>
    <col min="3332" max="3341" width="15.44140625" style="58" customWidth="1"/>
    <col min="3342" max="3584" width="0" style="58" hidden="1"/>
    <col min="3585" max="3585" width="8.5546875" style="58" customWidth="1"/>
    <col min="3586" max="3586" width="5.6640625" style="58" customWidth="1"/>
    <col min="3587" max="3587" width="6.6640625" style="58" customWidth="1"/>
    <col min="3588" max="3597" width="15.44140625" style="58" customWidth="1"/>
    <col min="3598" max="3840" width="0" style="58" hidden="1"/>
    <col min="3841" max="3841" width="8.5546875" style="58" customWidth="1"/>
    <col min="3842" max="3842" width="5.6640625" style="58" customWidth="1"/>
    <col min="3843" max="3843" width="6.6640625" style="58" customWidth="1"/>
    <col min="3844" max="3853" width="15.44140625" style="58" customWidth="1"/>
    <col min="3854" max="4096" width="0" style="58" hidden="1"/>
    <col min="4097" max="4097" width="8.5546875" style="58" customWidth="1"/>
    <col min="4098" max="4098" width="5.6640625" style="58" customWidth="1"/>
    <col min="4099" max="4099" width="6.6640625" style="58" customWidth="1"/>
    <col min="4100" max="4109" width="15.44140625" style="58" customWidth="1"/>
    <col min="4110" max="4352" width="0" style="58" hidden="1"/>
    <col min="4353" max="4353" width="8.5546875" style="58" customWidth="1"/>
    <col min="4354" max="4354" width="5.6640625" style="58" customWidth="1"/>
    <col min="4355" max="4355" width="6.6640625" style="58" customWidth="1"/>
    <col min="4356" max="4365" width="15.44140625" style="58" customWidth="1"/>
    <col min="4366" max="4608" width="0" style="58" hidden="1"/>
    <col min="4609" max="4609" width="8.5546875" style="58" customWidth="1"/>
    <col min="4610" max="4610" width="5.6640625" style="58" customWidth="1"/>
    <col min="4611" max="4611" width="6.6640625" style="58" customWidth="1"/>
    <col min="4612" max="4621" width="15.44140625" style="58" customWidth="1"/>
    <col min="4622" max="4864" width="0" style="58" hidden="1"/>
    <col min="4865" max="4865" width="8.5546875" style="58" customWidth="1"/>
    <col min="4866" max="4866" width="5.6640625" style="58" customWidth="1"/>
    <col min="4867" max="4867" width="6.6640625" style="58" customWidth="1"/>
    <col min="4868" max="4877" width="15.44140625" style="58" customWidth="1"/>
    <col min="4878" max="5120" width="0" style="58" hidden="1"/>
    <col min="5121" max="5121" width="8.5546875" style="58" customWidth="1"/>
    <col min="5122" max="5122" width="5.6640625" style="58" customWidth="1"/>
    <col min="5123" max="5123" width="6.6640625" style="58" customWidth="1"/>
    <col min="5124" max="5133" width="15.44140625" style="58" customWidth="1"/>
    <col min="5134" max="5376" width="0" style="58" hidden="1"/>
    <col min="5377" max="5377" width="8.5546875" style="58" customWidth="1"/>
    <col min="5378" max="5378" width="5.6640625" style="58" customWidth="1"/>
    <col min="5379" max="5379" width="6.6640625" style="58" customWidth="1"/>
    <col min="5380" max="5389" width="15.44140625" style="58" customWidth="1"/>
    <col min="5390" max="5632" width="0" style="58" hidden="1"/>
    <col min="5633" max="5633" width="8.5546875" style="58" customWidth="1"/>
    <col min="5634" max="5634" width="5.6640625" style="58" customWidth="1"/>
    <col min="5635" max="5635" width="6.6640625" style="58" customWidth="1"/>
    <col min="5636" max="5645" width="15.44140625" style="58" customWidth="1"/>
    <col min="5646" max="5888" width="0" style="58" hidden="1"/>
    <col min="5889" max="5889" width="8.5546875" style="58" customWidth="1"/>
    <col min="5890" max="5890" width="5.6640625" style="58" customWidth="1"/>
    <col min="5891" max="5891" width="6.6640625" style="58" customWidth="1"/>
    <col min="5892" max="5901" width="15.44140625" style="58" customWidth="1"/>
    <col min="5902" max="6144" width="0" style="58" hidden="1"/>
    <col min="6145" max="6145" width="8.5546875" style="58" customWidth="1"/>
    <col min="6146" max="6146" width="5.6640625" style="58" customWidth="1"/>
    <col min="6147" max="6147" width="6.6640625" style="58" customWidth="1"/>
    <col min="6148" max="6157" width="15.44140625" style="58" customWidth="1"/>
    <col min="6158" max="6400" width="0" style="58" hidden="1"/>
    <col min="6401" max="6401" width="8.5546875" style="58" customWidth="1"/>
    <col min="6402" max="6402" width="5.6640625" style="58" customWidth="1"/>
    <col min="6403" max="6403" width="6.6640625" style="58" customWidth="1"/>
    <col min="6404" max="6413" width="15.44140625" style="58" customWidth="1"/>
    <col min="6414" max="6656" width="0" style="58" hidden="1"/>
    <col min="6657" max="6657" width="8.5546875" style="58" customWidth="1"/>
    <col min="6658" max="6658" width="5.6640625" style="58" customWidth="1"/>
    <col min="6659" max="6659" width="6.6640625" style="58" customWidth="1"/>
    <col min="6660" max="6669" width="15.44140625" style="58" customWidth="1"/>
    <col min="6670" max="6912" width="0" style="58" hidden="1"/>
    <col min="6913" max="6913" width="8.5546875" style="58" customWidth="1"/>
    <col min="6914" max="6914" width="5.6640625" style="58" customWidth="1"/>
    <col min="6915" max="6915" width="6.6640625" style="58" customWidth="1"/>
    <col min="6916" max="6925" width="15.44140625" style="58" customWidth="1"/>
    <col min="6926" max="7168" width="0" style="58" hidden="1"/>
    <col min="7169" max="7169" width="8.5546875" style="58" customWidth="1"/>
    <col min="7170" max="7170" width="5.6640625" style="58" customWidth="1"/>
    <col min="7171" max="7171" width="6.6640625" style="58" customWidth="1"/>
    <col min="7172" max="7181" width="15.44140625" style="58" customWidth="1"/>
    <col min="7182" max="7424" width="0" style="58" hidden="1"/>
    <col min="7425" max="7425" width="8.5546875" style="58" customWidth="1"/>
    <col min="7426" max="7426" width="5.6640625" style="58" customWidth="1"/>
    <col min="7427" max="7427" width="6.6640625" style="58" customWidth="1"/>
    <col min="7428" max="7437" width="15.44140625" style="58" customWidth="1"/>
    <col min="7438" max="7680" width="0" style="58" hidden="1"/>
    <col min="7681" max="7681" width="8.5546875" style="58" customWidth="1"/>
    <col min="7682" max="7682" width="5.6640625" style="58" customWidth="1"/>
    <col min="7683" max="7683" width="6.6640625" style="58" customWidth="1"/>
    <col min="7684" max="7693" width="15.44140625" style="58" customWidth="1"/>
    <col min="7694" max="7936" width="0" style="58" hidden="1"/>
    <col min="7937" max="7937" width="8.5546875" style="58" customWidth="1"/>
    <col min="7938" max="7938" width="5.6640625" style="58" customWidth="1"/>
    <col min="7939" max="7939" width="6.6640625" style="58" customWidth="1"/>
    <col min="7940" max="7949" width="15.44140625" style="58" customWidth="1"/>
    <col min="7950" max="8192" width="0" style="58" hidden="1"/>
    <col min="8193" max="8193" width="8.5546875" style="58" customWidth="1"/>
    <col min="8194" max="8194" width="5.6640625" style="58" customWidth="1"/>
    <col min="8195" max="8195" width="6.6640625" style="58" customWidth="1"/>
    <col min="8196" max="8205" width="15.44140625" style="58" customWidth="1"/>
    <col min="8206" max="8448" width="0" style="58" hidden="1"/>
    <col min="8449" max="8449" width="8.5546875" style="58" customWidth="1"/>
    <col min="8450" max="8450" width="5.6640625" style="58" customWidth="1"/>
    <col min="8451" max="8451" width="6.6640625" style="58" customWidth="1"/>
    <col min="8452" max="8461" width="15.44140625" style="58" customWidth="1"/>
    <col min="8462" max="8704" width="0" style="58" hidden="1"/>
    <col min="8705" max="8705" width="8.5546875" style="58" customWidth="1"/>
    <col min="8706" max="8706" width="5.6640625" style="58" customWidth="1"/>
    <col min="8707" max="8707" width="6.6640625" style="58" customWidth="1"/>
    <col min="8708" max="8717" width="15.44140625" style="58" customWidth="1"/>
    <col min="8718" max="8960" width="0" style="58" hidden="1"/>
    <col min="8961" max="8961" width="8.5546875" style="58" customWidth="1"/>
    <col min="8962" max="8962" width="5.6640625" style="58" customWidth="1"/>
    <col min="8963" max="8963" width="6.6640625" style="58" customWidth="1"/>
    <col min="8964" max="8973" width="15.44140625" style="58" customWidth="1"/>
    <col min="8974" max="9216" width="0" style="58" hidden="1"/>
    <col min="9217" max="9217" width="8.5546875" style="58" customWidth="1"/>
    <col min="9218" max="9218" width="5.6640625" style="58" customWidth="1"/>
    <col min="9219" max="9219" width="6.6640625" style="58" customWidth="1"/>
    <col min="9220" max="9229" width="15.44140625" style="58" customWidth="1"/>
    <col min="9230" max="9472" width="0" style="58" hidden="1"/>
    <col min="9473" max="9473" width="8.5546875" style="58" customWidth="1"/>
    <col min="9474" max="9474" width="5.6640625" style="58" customWidth="1"/>
    <col min="9475" max="9475" width="6.6640625" style="58" customWidth="1"/>
    <col min="9476" max="9485" width="15.44140625" style="58" customWidth="1"/>
    <col min="9486" max="9728" width="0" style="58" hidden="1"/>
    <col min="9729" max="9729" width="8.5546875" style="58" customWidth="1"/>
    <col min="9730" max="9730" width="5.6640625" style="58" customWidth="1"/>
    <col min="9731" max="9731" width="6.6640625" style="58" customWidth="1"/>
    <col min="9732" max="9741" width="15.44140625" style="58" customWidth="1"/>
    <col min="9742" max="9984" width="0" style="58" hidden="1"/>
    <col min="9985" max="9985" width="8.5546875" style="58" customWidth="1"/>
    <col min="9986" max="9986" width="5.6640625" style="58" customWidth="1"/>
    <col min="9987" max="9987" width="6.6640625" style="58" customWidth="1"/>
    <col min="9988" max="9997" width="15.44140625" style="58" customWidth="1"/>
    <col min="9998" max="10240" width="0" style="58" hidden="1"/>
    <col min="10241" max="10241" width="8.5546875" style="58" customWidth="1"/>
    <col min="10242" max="10242" width="5.6640625" style="58" customWidth="1"/>
    <col min="10243" max="10243" width="6.6640625" style="58" customWidth="1"/>
    <col min="10244" max="10253" width="15.44140625" style="58" customWidth="1"/>
    <col min="10254" max="10496" width="0" style="58" hidden="1"/>
    <col min="10497" max="10497" width="8.5546875" style="58" customWidth="1"/>
    <col min="10498" max="10498" width="5.6640625" style="58" customWidth="1"/>
    <col min="10499" max="10499" width="6.6640625" style="58" customWidth="1"/>
    <col min="10500" max="10509" width="15.44140625" style="58" customWidth="1"/>
    <col min="10510" max="10752" width="0" style="58" hidden="1"/>
    <col min="10753" max="10753" width="8.5546875" style="58" customWidth="1"/>
    <col min="10754" max="10754" width="5.6640625" style="58" customWidth="1"/>
    <col min="10755" max="10755" width="6.6640625" style="58" customWidth="1"/>
    <col min="10756" max="10765" width="15.44140625" style="58" customWidth="1"/>
    <col min="10766" max="11008" width="0" style="58" hidden="1"/>
    <col min="11009" max="11009" width="8.5546875" style="58" customWidth="1"/>
    <col min="11010" max="11010" width="5.6640625" style="58" customWidth="1"/>
    <col min="11011" max="11011" width="6.6640625" style="58" customWidth="1"/>
    <col min="11012" max="11021" width="15.44140625" style="58" customWidth="1"/>
    <col min="11022" max="11264" width="0" style="58" hidden="1"/>
    <col min="11265" max="11265" width="8.5546875" style="58" customWidth="1"/>
    <col min="11266" max="11266" width="5.6640625" style="58" customWidth="1"/>
    <col min="11267" max="11267" width="6.6640625" style="58" customWidth="1"/>
    <col min="11268" max="11277" width="15.44140625" style="58" customWidth="1"/>
    <col min="11278" max="11520" width="0" style="58" hidden="1"/>
    <col min="11521" max="11521" width="8.5546875" style="58" customWidth="1"/>
    <col min="11522" max="11522" width="5.6640625" style="58" customWidth="1"/>
    <col min="11523" max="11523" width="6.6640625" style="58" customWidth="1"/>
    <col min="11524" max="11533" width="15.44140625" style="58" customWidth="1"/>
    <col min="11534" max="11776" width="0" style="58" hidden="1"/>
    <col min="11777" max="11777" width="8.5546875" style="58" customWidth="1"/>
    <col min="11778" max="11778" width="5.6640625" style="58" customWidth="1"/>
    <col min="11779" max="11779" width="6.6640625" style="58" customWidth="1"/>
    <col min="11780" max="11789" width="15.44140625" style="58" customWidth="1"/>
    <col min="11790" max="12032" width="0" style="58" hidden="1"/>
    <col min="12033" max="12033" width="8.5546875" style="58" customWidth="1"/>
    <col min="12034" max="12034" width="5.6640625" style="58" customWidth="1"/>
    <col min="12035" max="12035" width="6.6640625" style="58" customWidth="1"/>
    <col min="12036" max="12045" width="15.44140625" style="58" customWidth="1"/>
    <col min="12046" max="12288" width="0" style="58" hidden="1"/>
    <col min="12289" max="12289" width="8.5546875" style="58" customWidth="1"/>
    <col min="12290" max="12290" width="5.6640625" style="58" customWidth="1"/>
    <col min="12291" max="12291" width="6.6640625" style="58" customWidth="1"/>
    <col min="12292" max="12301" width="15.44140625" style="58" customWidth="1"/>
    <col min="12302" max="12544" width="0" style="58" hidden="1"/>
    <col min="12545" max="12545" width="8.5546875" style="58" customWidth="1"/>
    <col min="12546" max="12546" width="5.6640625" style="58" customWidth="1"/>
    <col min="12547" max="12547" width="6.6640625" style="58" customWidth="1"/>
    <col min="12548" max="12557" width="15.44140625" style="58" customWidth="1"/>
    <col min="12558" max="12800" width="0" style="58" hidden="1"/>
    <col min="12801" max="12801" width="8.5546875" style="58" customWidth="1"/>
    <col min="12802" max="12802" width="5.6640625" style="58" customWidth="1"/>
    <col min="12803" max="12803" width="6.6640625" style="58" customWidth="1"/>
    <col min="12804" max="12813" width="15.44140625" style="58" customWidth="1"/>
    <col min="12814" max="13056" width="0" style="58" hidden="1"/>
    <col min="13057" max="13057" width="8.5546875" style="58" customWidth="1"/>
    <col min="13058" max="13058" width="5.6640625" style="58" customWidth="1"/>
    <col min="13059" max="13059" width="6.6640625" style="58" customWidth="1"/>
    <col min="13060" max="13069" width="15.44140625" style="58" customWidth="1"/>
    <col min="13070" max="13312" width="0" style="58" hidden="1"/>
    <col min="13313" max="13313" width="8.5546875" style="58" customWidth="1"/>
    <col min="13314" max="13314" width="5.6640625" style="58" customWidth="1"/>
    <col min="13315" max="13315" width="6.6640625" style="58" customWidth="1"/>
    <col min="13316" max="13325" width="15.44140625" style="58" customWidth="1"/>
    <col min="13326" max="13568" width="0" style="58" hidden="1"/>
    <col min="13569" max="13569" width="8.5546875" style="58" customWidth="1"/>
    <col min="13570" max="13570" width="5.6640625" style="58" customWidth="1"/>
    <col min="13571" max="13571" width="6.6640625" style="58" customWidth="1"/>
    <col min="13572" max="13581" width="15.44140625" style="58" customWidth="1"/>
    <col min="13582" max="13824" width="0" style="58" hidden="1"/>
    <col min="13825" max="13825" width="8.5546875" style="58" customWidth="1"/>
    <col min="13826" max="13826" width="5.6640625" style="58" customWidth="1"/>
    <col min="13827" max="13827" width="6.6640625" style="58" customWidth="1"/>
    <col min="13828" max="13837" width="15.44140625" style="58" customWidth="1"/>
    <col min="13838" max="14080" width="0" style="58" hidden="1"/>
    <col min="14081" max="14081" width="8.5546875" style="58" customWidth="1"/>
    <col min="14082" max="14082" width="5.6640625" style="58" customWidth="1"/>
    <col min="14083" max="14083" width="6.6640625" style="58" customWidth="1"/>
    <col min="14084" max="14093" width="15.44140625" style="58" customWidth="1"/>
    <col min="14094" max="14336" width="0" style="58" hidden="1"/>
    <col min="14337" max="14337" width="8.5546875" style="58" customWidth="1"/>
    <col min="14338" max="14338" width="5.6640625" style="58" customWidth="1"/>
    <col min="14339" max="14339" width="6.6640625" style="58" customWidth="1"/>
    <col min="14340" max="14349" width="15.44140625" style="58" customWidth="1"/>
    <col min="14350" max="14592" width="0" style="58" hidden="1"/>
    <col min="14593" max="14593" width="8.5546875" style="58" customWidth="1"/>
    <col min="14594" max="14594" width="5.6640625" style="58" customWidth="1"/>
    <col min="14595" max="14595" width="6.6640625" style="58" customWidth="1"/>
    <col min="14596" max="14605" width="15.44140625" style="58" customWidth="1"/>
    <col min="14606" max="14848" width="0" style="58" hidden="1"/>
    <col min="14849" max="14849" width="8.5546875" style="58" customWidth="1"/>
    <col min="14850" max="14850" width="5.6640625" style="58" customWidth="1"/>
    <col min="14851" max="14851" width="6.6640625" style="58" customWidth="1"/>
    <col min="14852" max="14861" width="15.44140625" style="58" customWidth="1"/>
    <col min="14862" max="15104" width="0" style="58" hidden="1"/>
    <col min="15105" max="15105" width="8.5546875" style="58" customWidth="1"/>
    <col min="15106" max="15106" width="5.6640625" style="58" customWidth="1"/>
    <col min="15107" max="15107" width="6.6640625" style="58" customWidth="1"/>
    <col min="15108" max="15117" width="15.44140625" style="58" customWidth="1"/>
    <col min="15118" max="15360" width="0" style="58" hidden="1"/>
    <col min="15361" max="15361" width="8.5546875" style="58" customWidth="1"/>
    <col min="15362" max="15362" width="5.6640625" style="58" customWidth="1"/>
    <col min="15363" max="15363" width="6.6640625" style="58" customWidth="1"/>
    <col min="15364" max="15373" width="15.44140625" style="58" customWidth="1"/>
    <col min="15374" max="15616" width="0" style="58" hidden="1"/>
    <col min="15617" max="15617" width="8.5546875" style="58" customWidth="1"/>
    <col min="15618" max="15618" width="5.6640625" style="58" customWidth="1"/>
    <col min="15619" max="15619" width="6.6640625" style="58" customWidth="1"/>
    <col min="15620" max="15629" width="15.44140625" style="58" customWidth="1"/>
    <col min="15630" max="15872" width="0" style="58" hidden="1"/>
    <col min="15873" max="15873" width="8.5546875" style="58" customWidth="1"/>
    <col min="15874" max="15874" width="5.6640625" style="58" customWidth="1"/>
    <col min="15875" max="15875" width="6.6640625" style="58" customWidth="1"/>
    <col min="15876" max="15885" width="15.44140625" style="58" customWidth="1"/>
    <col min="15886" max="16128" width="0" style="58" hidden="1"/>
    <col min="16129" max="16129" width="8.5546875" style="58" customWidth="1"/>
    <col min="16130" max="16130" width="5.6640625" style="58" customWidth="1"/>
    <col min="16131" max="16131" width="6.6640625" style="58" customWidth="1"/>
    <col min="16132" max="16141" width="15.44140625" style="58" customWidth="1"/>
    <col min="16142" max="16384" width="0" style="58" hidden="1"/>
  </cols>
  <sheetData>
    <row r="1" spans="1:13" ht="13.2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2.7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13.2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13.2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ht="15.6" x14ac:dyDescent="0.3">
      <c r="A5" s="59" t="s">
        <v>271</v>
      </c>
      <c r="B5" s="60"/>
      <c r="C5" s="60"/>
      <c r="D5" s="61" t="s">
        <v>219</v>
      </c>
      <c r="E5" s="62">
        <f>VLOOKUP(Sheet1!D82,Sheet1!A82:B105,2)</f>
        <v>2024</v>
      </c>
      <c r="F5" s="62" t="str">
        <f>VLOOKUP(Sheet1!D56,Sheet1!A56:B56,2)&amp;"  )"</f>
        <v>Constant Dollars  )</v>
      </c>
      <c r="G5" s="60"/>
      <c r="H5" s="57"/>
      <c r="I5" s="57"/>
      <c r="J5" s="57"/>
      <c r="K5" s="57"/>
      <c r="L5" s="57"/>
      <c r="M5" s="57"/>
    </row>
    <row r="6" spans="1:13" ht="15.6" x14ac:dyDescent="0.3">
      <c r="A6" s="64" t="str">
        <f>IF(Sheet1!D194,"","(NOT FEASIBLE !!)")</f>
        <v/>
      </c>
      <c r="B6" s="60"/>
      <c r="C6" s="60"/>
      <c r="D6" s="61" t="s">
        <v>220</v>
      </c>
      <c r="E6" s="62" t="str">
        <f>VLOOKUP(Sheet1!D67,Sheet1!A66:B68,2)</f>
        <v xml:space="preserve"> ($)</v>
      </c>
      <c r="F6" s="61" t="s">
        <v>221</v>
      </c>
      <c r="G6" s="60"/>
      <c r="H6" s="57"/>
      <c r="I6" s="57"/>
      <c r="J6" s="57"/>
      <c r="K6" s="57"/>
      <c r="L6" s="57"/>
      <c r="M6" s="57"/>
    </row>
    <row r="7" spans="1:13" ht="13.2" x14ac:dyDescent="0.25">
      <c r="A7" s="66"/>
      <c r="B7" s="66"/>
      <c r="C7" s="67"/>
    </row>
    <row r="8" spans="1:13" ht="13.2" x14ac:dyDescent="0.25">
      <c r="A8" s="66"/>
      <c r="B8" s="66"/>
      <c r="C8" s="67"/>
    </row>
    <row r="9" spans="1:13" ht="17.25" customHeight="1" x14ac:dyDescent="0.25">
      <c r="A9" s="69" t="s">
        <v>222</v>
      </c>
      <c r="B9" s="70"/>
      <c r="C9" s="70"/>
      <c r="D9" s="71"/>
      <c r="E9" s="72"/>
      <c r="F9" s="72"/>
      <c r="G9" s="72"/>
      <c r="H9" s="73"/>
    </row>
    <row r="10" spans="1:13" ht="21" customHeight="1" x14ac:dyDescent="0.25">
      <c r="A10" s="69" t="s">
        <v>223</v>
      </c>
      <c r="B10" s="69"/>
      <c r="C10" s="70"/>
      <c r="E10" s="75" t="s">
        <v>224</v>
      </c>
    </row>
    <row r="11" spans="1:13" ht="20.100000000000001" customHeight="1" x14ac:dyDescent="0.25">
      <c r="A11" s="76"/>
      <c r="B11" s="76"/>
      <c r="C11" s="77"/>
      <c r="E11" s="78"/>
    </row>
    <row r="12" spans="1:13" ht="13.5" customHeight="1" x14ac:dyDescent="0.25">
      <c r="A12" s="79" t="s">
        <v>269</v>
      </c>
      <c r="B12" s="70"/>
      <c r="C12" s="70"/>
      <c r="D12" s="80"/>
      <c r="E12" s="80"/>
      <c r="F12" s="80"/>
      <c r="G12" s="80"/>
      <c r="H12" s="80"/>
      <c r="I12" s="80"/>
      <c r="J12" s="80"/>
      <c r="K12" s="80"/>
    </row>
    <row r="13" spans="1:13" ht="15" customHeight="1" x14ac:dyDescent="0.25">
      <c r="A13" s="81" t="s">
        <v>268</v>
      </c>
      <c r="B13" s="70"/>
      <c r="C13" s="70"/>
      <c r="D13" s="80"/>
      <c r="E13" s="80"/>
      <c r="F13" s="80"/>
      <c r="G13" s="80"/>
      <c r="H13" s="80"/>
      <c r="I13" s="80"/>
      <c r="J13" s="80"/>
      <c r="K13" s="80"/>
    </row>
    <row r="14" spans="1:13" ht="3" customHeight="1" x14ac:dyDescent="0.25">
      <c r="A14" s="84"/>
      <c r="B14" s="77"/>
      <c r="C14" s="77"/>
      <c r="D14" s="80"/>
      <c r="E14" s="80"/>
      <c r="F14" s="80"/>
      <c r="G14" s="80"/>
      <c r="H14" s="80"/>
      <c r="I14" s="80"/>
      <c r="J14" s="80"/>
      <c r="K14" s="80"/>
    </row>
    <row r="15" spans="1:13" ht="3" customHeight="1" thickBot="1" x14ac:dyDescent="0.3">
      <c r="A15" s="84"/>
      <c r="B15" s="77"/>
      <c r="C15" s="77"/>
      <c r="D15" s="80"/>
      <c r="E15" s="80"/>
      <c r="F15" s="80"/>
      <c r="G15" s="80"/>
      <c r="H15" s="80"/>
      <c r="I15" s="80"/>
      <c r="J15" s="80"/>
      <c r="K15" s="80"/>
    </row>
    <row r="16" spans="1:13" ht="33" customHeight="1" thickTop="1" x14ac:dyDescent="0.25">
      <c r="A16" s="85" t="s">
        <v>229</v>
      </c>
      <c r="B16" s="85" t="s">
        <v>230</v>
      </c>
      <c r="C16" s="86" t="s">
        <v>231</v>
      </c>
      <c r="D16" s="87"/>
      <c r="E16" s="87"/>
      <c r="F16" s="87"/>
      <c r="G16" s="87"/>
      <c r="H16" s="87"/>
      <c r="I16" s="87"/>
      <c r="J16" s="87"/>
      <c r="K16" s="87"/>
      <c r="L16" s="104" t="s">
        <v>252</v>
      </c>
    </row>
    <row r="17" spans="1:12" ht="13.2" x14ac:dyDescent="0.25">
      <c r="A17" s="90">
        <f>IF(Sheet1!D$194,VLOOKUP(1,Sheet1!A148:B197,2),NA())</f>
        <v>1</v>
      </c>
      <c r="B17" s="90">
        <f>IF(Sheet1!D$194,VLOOKUP(Sheet1!D$86,Sheet1!A80:B147,2),NA())</f>
        <v>2024</v>
      </c>
      <c r="C17" s="91" t="str">
        <f>IF(AND(OR(A17=" ",A17="#NA"),OR(D17&lt;&gt;0,E17&lt;&gt;0,F17&lt;&gt;0,G17&lt;&gt;0,H17&lt;&gt;0,I17&lt;&gt;0,J17&lt;&gt;0,K17&lt;&gt;0)),"Clear=&gt;"," ")</f>
        <v xml:space="preserve"> </v>
      </c>
      <c r="D17" s="92"/>
      <c r="E17" s="92"/>
      <c r="F17" s="92"/>
      <c r="G17" s="92"/>
      <c r="H17" s="92"/>
      <c r="I17" s="92"/>
      <c r="J17" s="92"/>
      <c r="K17" s="92"/>
      <c r="L17" s="95">
        <f>IF(Sheet1!D$194,SUM(D17:K17),NA())</f>
        <v>0</v>
      </c>
    </row>
    <row r="18" spans="1:12" ht="13.2" x14ac:dyDescent="0.25">
      <c r="A18" s="90" t="str">
        <f>IF(Sheet1!D$194,IF((A17&gt;=(Sheet1!D$148+$A$17)-1)," ",A17+1),NA())</f>
        <v xml:space="preserve"> </v>
      </c>
      <c r="B18" s="90" t="str">
        <f>IF(Sheet1!D$194,IF((B17&gt;=(Sheet1!D$148+$B$17)-1)," ",B17+1),NA())</f>
        <v xml:space="preserve"> </v>
      </c>
      <c r="C18" s="91" t="str">
        <f t="shared" ref="C18:C66" si="0">IF(AND(OR(A18=" ",A18="#NA"),OR(D18&lt;&gt;0,E18&lt;&gt;0,F18&lt;&gt;0,G18&lt;&gt;0,H18&lt;&gt;0,I18&lt;&gt;0,J18&lt;&gt;0,K18&lt;&gt;0)),"Clear=&gt;"," ")</f>
        <v xml:space="preserve"> </v>
      </c>
      <c r="D18" s="92"/>
      <c r="E18" s="92"/>
      <c r="F18" s="92"/>
      <c r="G18" s="92"/>
      <c r="H18" s="92"/>
      <c r="I18" s="92"/>
      <c r="J18" s="92"/>
      <c r="K18" s="92"/>
      <c r="L18" s="95">
        <f>IF(Sheet1!D$194,SUM(D18:K18),NA())</f>
        <v>0</v>
      </c>
    </row>
    <row r="19" spans="1:12" ht="13.2" x14ac:dyDescent="0.25">
      <c r="A19" s="90" t="str">
        <f>IF(Sheet1!D$194,IF((A18&gt;=(Sheet1!D$148+$A$17)-1)," ",A18+1),NA())</f>
        <v xml:space="preserve"> </v>
      </c>
      <c r="B19" s="90" t="str">
        <f>IF(Sheet1!D$194,IF((B18&gt;=(Sheet1!D$148+$B$17)-1)," ",B18+1),NA())</f>
        <v xml:space="preserve"> </v>
      </c>
      <c r="C19" s="91" t="str">
        <f t="shared" si="0"/>
        <v xml:space="preserve"> </v>
      </c>
      <c r="D19" s="92"/>
      <c r="E19" s="92"/>
      <c r="F19" s="92"/>
      <c r="G19" s="92"/>
      <c r="H19" s="92"/>
      <c r="I19" s="92"/>
      <c r="J19" s="92"/>
      <c r="K19" s="92"/>
      <c r="L19" s="95">
        <f>IF(Sheet1!D$194,SUM(D19:K19),NA())</f>
        <v>0</v>
      </c>
    </row>
    <row r="20" spans="1:12" ht="13.2" x14ac:dyDescent="0.25">
      <c r="A20" s="90" t="str">
        <f>IF(Sheet1!D$194,IF((A19&gt;=(Sheet1!D$148+$A$17)-1)," ",A19+1),NA())</f>
        <v xml:space="preserve"> </v>
      </c>
      <c r="B20" s="90" t="str">
        <f>IF(Sheet1!D$194,IF((B19&gt;=(Sheet1!D$148+$B$17)-1)," ",B19+1),NA())</f>
        <v xml:space="preserve"> </v>
      </c>
      <c r="C20" s="91" t="str">
        <f t="shared" si="0"/>
        <v xml:space="preserve"> </v>
      </c>
      <c r="D20" s="92"/>
      <c r="E20" s="92"/>
      <c r="F20" s="92"/>
      <c r="G20" s="92"/>
      <c r="H20" s="92"/>
      <c r="I20" s="92"/>
      <c r="J20" s="92"/>
      <c r="K20" s="92"/>
      <c r="L20" s="95">
        <f>IF(Sheet1!D$194,SUM(D20:K20),NA())</f>
        <v>0</v>
      </c>
    </row>
    <row r="21" spans="1:12" ht="13.2" x14ac:dyDescent="0.25">
      <c r="A21" s="90" t="str">
        <f>IF(Sheet1!D$194,IF((A20&gt;=(Sheet1!D$148+$A$17)-1)," ",A20+1),NA())</f>
        <v xml:space="preserve"> </v>
      </c>
      <c r="B21" s="90" t="str">
        <f>IF(Sheet1!D$194,IF((B20&gt;=(Sheet1!D$148+$B$17)-1)," ",B20+1),NA())</f>
        <v xml:space="preserve"> </v>
      </c>
      <c r="C21" s="91" t="str">
        <f t="shared" si="0"/>
        <v xml:space="preserve"> </v>
      </c>
      <c r="D21" s="92"/>
      <c r="E21" s="92"/>
      <c r="F21" s="92"/>
      <c r="G21" s="92"/>
      <c r="H21" s="92"/>
      <c r="I21" s="92"/>
      <c r="J21" s="92"/>
      <c r="K21" s="92"/>
      <c r="L21" s="95">
        <f>IF(Sheet1!D$194,SUM(D21:K21),NA())</f>
        <v>0</v>
      </c>
    </row>
    <row r="22" spans="1:12" ht="13.2" x14ac:dyDescent="0.25">
      <c r="A22" s="90" t="str">
        <f>IF(Sheet1!D$194,IF((A21&gt;=(Sheet1!D$148+$A$17)-1)," ",A21+1),NA())</f>
        <v xml:space="preserve"> </v>
      </c>
      <c r="B22" s="90" t="str">
        <f>IF(Sheet1!D$194,IF((B21&gt;=(Sheet1!D$148+$B$17)-1)," ",B21+1),NA())</f>
        <v xml:space="preserve"> </v>
      </c>
      <c r="C22" s="91" t="str">
        <f t="shared" si="0"/>
        <v xml:space="preserve"> </v>
      </c>
      <c r="D22" s="92"/>
      <c r="E22" s="92"/>
      <c r="F22" s="92"/>
      <c r="G22" s="92"/>
      <c r="H22" s="92"/>
      <c r="I22" s="92"/>
      <c r="J22" s="92"/>
      <c r="K22" s="92"/>
      <c r="L22" s="95">
        <f>IF(Sheet1!D$194,SUM(D22:K22),NA())</f>
        <v>0</v>
      </c>
    </row>
    <row r="23" spans="1:12" ht="13.2" x14ac:dyDescent="0.25">
      <c r="A23" s="90" t="str">
        <f>IF(Sheet1!D$194,IF((A22&gt;=(Sheet1!D$148+$A$17)-1)," ",A22+1),NA())</f>
        <v xml:space="preserve"> </v>
      </c>
      <c r="B23" s="90" t="str">
        <f>IF(Sheet1!D$194,IF((B22&gt;=(Sheet1!D$148+$B$17)-1)," ",B22+1),NA())</f>
        <v xml:space="preserve"> </v>
      </c>
      <c r="C23" s="91" t="str">
        <f t="shared" si="0"/>
        <v xml:space="preserve"> </v>
      </c>
      <c r="D23" s="92"/>
      <c r="E23" s="92"/>
      <c r="F23" s="92"/>
      <c r="G23" s="92"/>
      <c r="H23" s="92"/>
      <c r="I23" s="92"/>
      <c r="J23" s="92"/>
      <c r="K23" s="92"/>
      <c r="L23" s="95">
        <f>IF(Sheet1!D$194,SUM(D23:K23),NA())</f>
        <v>0</v>
      </c>
    </row>
    <row r="24" spans="1:12" ht="13.2" x14ac:dyDescent="0.25">
      <c r="A24" s="90" t="str">
        <f>IF(Sheet1!D$194,IF((A23&gt;=(Sheet1!D$148+$A$17)-1)," ",A23+1),NA())</f>
        <v xml:space="preserve"> </v>
      </c>
      <c r="B24" s="90" t="str">
        <f>IF(Sheet1!D$194,IF((B23&gt;=(Sheet1!D$148+$B$17)-1)," ",B23+1),NA())</f>
        <v xml:space="preserve"> </v>
      </c>
      <c r="C24" s="91" t="str">
        <f t="shared" si="0"/>
        <v xml:space="preserve"> </v>
      </c>
      <c r="D24" s="92"/>
      <c r="E24" s="92"/>
      <c r="F24" s="92"/>
      <c r="G24" s="92"/>
      <c r="H24" s="92"/>
      <c r="I24" s="92"/>
      <c r="J24" s="92"/>
      <c r="K24" s="92"/>
      <c r="L24" s="95">
        <f>IF(Sheet1!D$194,SUM(D24:K24),NA())</f>
        <v>0</v>
      </c>
    </row>
    <row r="25" spans="1:12" ht="13.2" x14ac:dyDescent="0.25">
      <c r="A25" s="90" t="str">
        <f>IF(Sheet1!D$194,IF((A24&gt;=(Sheet1!D$148+$A$17)-1)," ",A24+1),NA())</f>
        <v xml:space="preserve"> </v>
      </c>
      <c r="B25" s="90" t="str">
        <f>IF(Sheet1!D$194,IF((B24&gt;=(Sheet1!D$148+$B$17)-1)," ",B24+1),NA())</f>
        <v xml:space="preserve"> </v>
      </c>
      <c r="C25" s="91" t="str">
        <f t="shared" si="0"/>
        <v xml:space="preserve"> </v>
      </c>
      <c r="D25" s="92"/>
      <c r="E25" s="92"/>
      <c r="F25" s="92"/>
      <c r="G25" s="92"/>
      <c r="H25" s="92"/>
      <c r="I25" s="92"/>
      <c r="J25" s="92"/>
      <c r="K25" s="92"/>
      <c r="L25" s="95">
        <f>IF(Sheet1!D$194,SUM(D25:K25),NA())</f>
        <v>0</v>
      </c>
    </row>
    <row r="26" spans="1:12" ht="13.2" x14ac:dyDescent="0.25">
      <c r="A26" s="90" t="str">
        <f>IF(Sheet1!D$194,IF((A25&gt;=(Sheet1!D$148+$A$17)-1)," ",A25+1),NA())</f>
        <v xml:space="preserve"> </v>
      </c>
      <c r="B26" s="90" t="str">
        <f>IF(Sheet1!D$194,IF((B25&gt;=(Sheet1!D$148+$B$17)-1)," ",B25+1),NA())</f>
        <v xml:space="preserve"> </v>
      </c>
      <c r="C26" s="91" t="str">
        <f t="shared" si="0"/>
        <v xml:space="preserve"> </v>
      </c>
      <c r="D26" s="92"/>
      <c r="E26" s="92"/>
      <c r="F26" s="92"/>
      <c r="G26" s="92"/>
      <c r="H26" s="92"/>
      <c r="I26" s="92"/>
      <c r="J26" s="92"/>
      <c r="K26" s="92"/>
      <c r="L26" s="95">
        <f>IF(Sheet1!D$194,SUM(D26:K26),NA())</f>
        <v>0</v>
      </c>
    </row>
    <row r="27" spans="1:12" ht="13.2" x14ac:dyDescent="0.25">
      <c r="A27" s="90" t="str">
        <f>IF(Sheet1!D$194,IF((A26&gt;=(Sheet1!D$148+$A$17)-1)," ",A26+1),NA())</f>
        <v xml:space="preserve"> </v>
      </c>
      <c r="B27" s="90" t="str">
        <f>IF(Sheet1!D$194,IF((B26&gt;=(Sheet1!D$148+$B$17)-1)," ",B26+1),NA())</f>
        <v xml:space="preserve"> </v>
      </c>
      <c r="C27" s="91" t="str">
        <f t="shared" si="0"/>
        <v xml:space="preserve"> </v>
      </c>
      <c r="D27" s="92"/>
      <c r="E27" s="92"/>
      <c r="F27" s="92"/>
      <c r="G27" s="92"/>
      <c r="H27" s="92"/>
      <c r="I27" s="92"/>
      <c r="J27" s="92"/>
      <c r="K27" s="92"/>
      <c r="L27" s="95">
        <f>IF(Sheet1!D$194,SUM(D27:K27),NA())</f>
        <v>0</v>
      </c>
    </row>
    <row r="28" spans="1:12" ht="13.2" x14ac:dyDescent="0.25">
      <c r="A28" s="90" t="str">
        <f>IF(Sheet1!D$194,IF((A27&gt;=(Sheet1!D$148+$A$17)-1)," ",A27+1),NA())</f>
        <v xml:space="preserve"> </v>
      </c>
      <c r="B28" s="90" t="str">
        <f>IF(Sheet1!D$194,IF((B27&gt;=(Sheet1!D$148+$B$17)-1)," ",B27+1),NA())</f>
        <v xml:space="preserve"> </v>
      </c>
      <c r="C28" s="91" t="str">
        <f t="shared" si="0"/>
        <v xml:space="preserve"> </v>
      </c>
      <c r="D28" s="92"/>
      <c r="E28" s="92"/>
      <c r="F28" s="92"/>
      <c r="G28" s="92"/>
      <c r="H28" s="92"/>
      <c r="I28" s="92"/>
      <c r="J28" s="92"/>
      <c r="K28" s="92"/>
      <c r="L28" s="95">
        <f>IF(Sheet1!D$194,SUM(D28:K28),NA())</f>
        <v>0</v>
      </c>
    </row>
    <row r="29" spans="1:12" ht="13.2" x14ac:dyDescent="0.25">
      <c r="A29" s="90" t="str">
        <f>IF(Sheet1!D$194,IF((A28&gt;=(Sheet1!D$148+$A$17)-1)," ",A28+1),NA())</f>
        <v xml:space="preserve"> </v>
      </c>
      <c r="B29" s="90" t="str">
        <f>IF(Sheet1!D$194,IF((B28&gt;=(Sheet1!D$148+$B$17)-1)," ",B28+1),NA())</f>
        <v xml:space="preserve"> </v>
      </c>
      <c r="C29" s="91" t="str">
        <f t="shared" si="0"/>
        <v xml:space="preserve"> </v>
      </c>
      <c r="D29" s="92"/>
      <c r="E29" s="92"/>
      <c r="F29" s="92"/>
      <c r="G29" s="92"/>
      <c r="H29" s="92"/>
      <c r="I29" s="92"/>
      <c r="J29" s="92"/>
      <c r="K29" s="92"/>
      <c r="L29" s="95">
        <f>IF(Sheet1!D$194,SUM(D29:K29),NA())</f>
        <v>0</v>
      </c>
    </row>
    <row r="30" spans="1:12" ht="13.2" x14ac:dyDescent="0.25">
      <c r="A30" s="90" t="str">
        <f>IF(Sheet1!D$194,IF((A29&gt;=(Sheet1!D$148+$A$17)-1)," ",A29+1),NA())</f>
        <v xml:space="preserve"> </v>
      </c>
      <c r="B30" s="90" t="str">
        <f>IF(Sheet1!D$194,IF((B29&gt;=(Sheet1!D$148+$B$17)-1)," ",B29+1),NA())</f>
        <v xml:space="preserve"> </v>
      </c>
      <c r="C30" s="91" t="str">
        <f t="shared" si="0"/>
        <v xml:space="preserve"> </v>
      </c>
      <c r="D30" s="92"/>
      <c r="E30" s="92"/>
      <c r="F30" s="92"/>
      <c r="G30" s="92"/>
      <c r="H30" s="92"/>
      <c r="I30" s="92"/>
      <c r="J30" s="92"/>
      <c r="K30" s="92"/>
      <c r="L30" s="95">
        <f>IF(Sheet1!D$194,SUM(D30:K30),NA())</f>
        <v>0</v>
      </c>
    </row>
    <row r="31" spans="1:12" ht="13.2" x14ac:dyDescent="0.25">
      <c r="A31" s="90" t="str">
        <f>IF(Sheet1!D$194,IF((A30&gt;=(Sheet1!D$148+$A$17)-1)," ",A30+1),NA())</f>
        <v xml:space="preserve"> </v>
      </c>
      <c r="B31" s="90" t="str">
        <f>IF(Sheet1!D$194,IF((B30&gt;=(Sheet1!D$148+$B$17)-1)," ",B30+1),NA())</f>
        <v xml:space="preserve"> </v>
      </c>
      <c r="C31" s="91" t="str">
        <f t="shared" si="0"/>
        <v xml:space="preserve"> </v>
      </c>
      <c r="D31" s="92"/>
      <c r="E31" s="92"/>
      <c r="F31" s="92"/>
      <c r="G31" s="92"/>
      <c r="H31" s="92"/>
      <c r="I31" s="92"/>
      <c r="J31" s="92"/>
      <c r="K31" s="92"/>
      <c r="L31" s="95">
        <f>IF(Sheet1!D$194,SUM(D31:K31),NA())</f>
        <v>0</v>
      </c>
    </row>
    <row r="32" spans="1:12" ht="13.2" x14ac:dyDescent="0.25">
      <c r="A32" s="90" t="str">
        <f>IF(Sheet1!D$194,IF((A31&gt;=(Sheet1!D$148+$A$17)-1)," ",A31+1),NA())</f>
        <v xml:space="preserve"> </v>
      </c>
      <c r="B32" s="90" t="str">
        <f>IF(Sheet1!D$194,IF((B31&gt;=(Sheet1!D$148+$B$17)-1)," ",B31+1),NA())</f>
        <v xml:space="preserve"> </v>
      </c>
      <c r="C32" s="91" t="str">
        <f t="shared" si="0"/>
        <v xml:space="preserve"> </v>
      </c>
      <c r="D32" s="92"/>
      <c r="E32" s="92"/>
      <c r="F32" s="92"/>
      <c r="G32" s="92"/>
      <c r="H32" s="92"/>
      <c r="I32" s="92"/>
      <c r="J32" s="92"/>
      <c r="K32" s="92"/>
      <c r="L32" s="95">
        <f>IF(Sheet1!D$194,SUM(D32:K32),NA())</f>
        <v>0</v>
      </c>
    </row>
    <row r="33" spans="1:12" ht="13.2" x14ac:dyDescent="0.25">
      <c r="A33" s="90" t="str">
        <f>IF(Sheet1!D$194,IF((A32&gt;=(Sheet1!D$148+$A$17)-1)," ",A32+1),NA())</f>
        <v xml:space="preserve"> </v>
      </c>
      <c r="B33" s="90" t="str">
        <f>IF(Sheet1!D$194,IF((B32&gt;=(Sheet1!D$148+$B$17)-1)," ",B32+1),NA())</f>
        <v xml:space="preserve"> </v>
      </c>
      <c r="C33" s="91" t="str">
        <f t="shared" si="0"/>
        <v xml:space="preserve"> </v>
      </c>
      <c r="D33" s="92"/>
      <c r="E33" s="92"/>
      <c r="F33" s="92"/>
      <c r="G33" s="92"/>
      <c r="H33" s="92"/>
      <c r="I33" s="92"/>
      <c r="J33" s="92"/>
      <c r="K33" s="92"/>
      <c r="L33" s="95">
        <f>IF(Sheet1!D$194,SUM(D33:K33),NA())</f>
        <v>0</v>
      </c>
    </row>
    <row r="34" spans="1:12" ht="13.2" x14ac:dyDescent="0.25">
      <c r="A34" s="90" t="str">
        <f>IF(Sheet1!D$194,IF((A33&gt;=(Sheet1!D$148+$A$17)-1)," ",A33+1),NA())</f>
        <v xml:space="preserve"> </v>
      </c>
      <c r="B34" s="90" t="str">
        <f>IF(Sheet1!D$194,IF((B33&gt;=(Sheet1!D$148+$B$17)-1)," ",B33+1),NA())</f>
        <v xml:space="preserve"> </v>
      </c>
      <c r="C34" s="91" t="str">
        <f t="shared" si="0"/>
        <v xml:space="preserve"> </v>
      </c>
      <c r="D34" s="92"/>
      <c r="E34" s="92"/>
      <c r="F34" s="92"/>
      <c r="G34" s="92"/>
      <c r="H34" s="92"/>
      <c r="I34" s="92"/>
      <c r="J34" s="92"/>
      <c r="K34" s="92"/>
      <c r="L34" s="95">
        <f>IF(Sheet1!D$194,SUM(D34:K34),NA())</f>
        <v>0</v>
      </c>
    </row>
    <row r="35" spans="1:12" ht="13.2" x14ac:dyDescent="0.25">
      <c r="A35" s="90" t="str">
        <f>IF(Sheet1!D$194,IF((A34&gt;=(Sheet1!D$148+$A$17)-1)," ",A34+1),NA())</f>
        <v xml:space="preserve"> </v>
      </c>
      <c r="B35" s="90" t="str">
        <f>IF(Sheet1!D$194,IF((B34&gt;=(Sheet1!D$148+$B$17)-1)," ",B34+1),NA())</f>
        <v xml:space="preserve"> </v>
      </c>
      <c r="C35" s="91" t="str">
        <f t="shared" si="0"/>
        <v xml:space="preserve"> </v>
      </c>
      <c r="D35" s="92"/>
      <c r="E35" s="92"/>
      <c r="F35" s="92"/>
      <c r="G35" s="92"/>
      <c r="H35" s="92"/>
      <c r="I35" s="92"/>
      <c r="J35" s="92"/>
      <c r="K35" s="92"/>
      <c r="L35" s="95">
        <f>IF(Sheet1!D$194,SUM(D35:K35),NA())</f>
        <v>0</v>
      </c>
    </row>
    <row r="36" spans="1:12" ht="13.2" x14ac:dyDescent="0.25">
      <c r="A36" s="90" t="str">
        <f>IF(Sheet1!D$194,IF((A35&gt;=(Sheet1!D$148+$A$17)-1)," ",A35+1),NA())</f>
        <v xml:space="preserve"> </v>
      </c>
      <c r="B36" s="90" t="str">
        <f>IF(Sheet1!D$194,IF((B35&gt;=(Sheet1!D$148+$B$17)-1)," ",B35+1),NA())</f>
        <v xml:space="preserve"> </v>
      </c>
      <c r="C36" s="91" t="str">
        <f t="shared" si="0"/>
        <v xml:space="preserve"> </v>
      </c>
      <c r="D36" s="92"/>
      <c r="E36" s="92"/>
      <c r="F36" s="92"/>
      <c r="G36" s="92"/>
      <c r="H36" s="92"/>
      <c r="I36" s="92"/>
      <c r="J36" s="92"/>
      <c r="K36" s="92"/>
      <c r="L36" s="95">
        <f>IF(Sheet1!D$194,SUM(D36:K36),NA())</f>
        <v>0</v>
      </c>
    </row>
    <row r="37" spans="1:12" ht="13.2" x14ac:dyDescent="0.25">
      <c r="A37" s="90" t="str">
        <f>IF(Sheet1!D$194,IF((A36&gt;=(Sheet1!D$148+$A$17)-1)," ",A36+1),NA())</f>
        <v xml:space="preserve"> </v>
      </c>
      <c r="B37" s="90" t="str">
        <f>IF(Sheet1!D$194,IF((B36&gt;=(Sheet1!D$148+$B$17)-1)," ",B36+1),NA())</f>
        <v xml:space="preserve"> </v>
      </c>
      <c r="C37" s="91" t="str">
        <f t="shared" si="0"/>
        <v xml:space="preserve"> </v>
      </c>
      <c r="D37" s="92"/>
      <c r="E37" s="92"/>
      <c r="F37" s="92"/>
      <c r="G37" s="92"/>
      <c r="H37" s="92"/>
      <c r="I37" s="92"/>
      <c r="J37" s="92"/>
      <c r="K37" s="92"/>
      <c r="L37" s="95">
        <f>IF(Sheet1!D$194,SUM(D37:K37),NA())</f>
        <v>0</v>
      </c>
    </row>
    <row r="38" spans="1:12" ht="13.2" x14ac:dyDescent="0.25">
      <c r="A38" s="90" t="str">
        <f>IF(Sheet1!D$194,IF((A37&gt;=(Sheet1!D$148+$A$17)-1)," ",A37+1),NA())</f>
        <v xml:space="preserve"> </v>
      </c>
      <c r="B38" s="90" t="str">
        <f>IF(Sheet1!D$194,IF((B37&gt;=(Sheet1!D$148+$B$17)-1)," ",B37+1),NA())</f>
        <v xml:space="preserve"> </v>
      </c>
      <c r="C38" s="91" t="str">
        <f t="shared" si="0"/>
        <v xml:space="preserve"> </v>
      </c>
      <c r="D38" s="92"/>
      <c r="E38" s="92"/>
      <c r="F38" s="92"/>
      <c r="G38" s="92"/>
      <c r="H38" s="92"/>
      <c r="I38" s="92"/>
      <c r="J38" s="92"/>
      <c r="K38" s="92"/>
      <c r="L38" s="95">
        <f>IF(Sheet1!D$194,SUM(D38:K38),NA())</f>
        <v>0</v>
      </c>
    </row>
    <row r="39" spans="1:12" ht="13.2" x14ac:dyDescent="0.25">
      <c r="A39" s="90" t="str">
        <f>IF(Sheet1!D$194,IF((A38&gt;=(Sheet1!D$148+$A$17)-1)," ",A38+1),NA())</f>
        <v xml:space="preserve"> </v>
      </c>
      <c r="B39" s="90" t="str">
        <f>IF(Sheet1!D$194,IF((B38&gt;=(Sheet1!D$148+$B$17)-1)," ",B38+1),NA())</f>
        <v xml:space="preserve"> </v>
      </c>
      <c r="C39" s="91" t="str">
        <f t="shared" si="0"/>
        <v xml:space="preserve"> </v>
      </c>
      <c r="D39" s="92"/>
      <c r="E39" s="92"/>
      <c r="F39" s="92"/>
      <c r="G39" s="92"/>
      <c r="H39" s="92"/>
      <c r="I39" s="92"/>
      <c r="J39" s="92"/>
      <c r="K39" s="92"/>
      <c r="L39" s="95">
        <f>IF(Sheet1!D$194,SUM(D39:K39),NA())</f>
        <v>0</v>
      </c>
    </row>
    <row r="40" spans="1:12" ht="13.2" x14ac:dyDescent="0.25">
      <c r="A40" s="90" t="str">
        <f>IF(Sheet1!D$194,IF((A39&gt;=(Sheet1!D$148+$A$17)-1)," ",A39+1),NA())</f>
        <v xml:space="preserve"> </v>
      </c>
      <c r="B40" s="90" t="str">
        <f>IF(Sheet1!D$194,IF((B39&gt;=(Sheet1!D$148+$B$17)-1)," ",B39+1),NA())</f>
        <v xml:space="preserve"> </v>
      </c>
      <c r="C40" s="91" t="str">
        <f t="shared" si="0"/>
        <v xml:space="preserve"> </v>
      </c>
      <c r="D40" s="92"/>
      <c r="E40" s="92"/>
      <c r="F40" s="92"/>
      <c r="G40" s="92"/>
      <c r="H40" s="92"/>
      <c r="I40" s="92"/>
      <c r="J40" s="92"/>
      <c r="K40" s="92"/>
      <c r="L40" s="95">
        <f>IF(Sheet1!D$194,SUM(D40:K40),NA())</f>
        <v>0</v>
      </c>
    </row>
    <row r="41" spans="1:12" ht="13.2" x14ac:dyDescent="0.25">
      <c r="A41" s="90" t="str">
        <f>IF(Sheet1!D$194,IF((A40&gt;=(Sheet1!D$148+$A$17)-1)," ",A40+1),NA())</f>
        <v xml:space="preserve"> </v>
      </c>
      <c r="B41" s="90" t="str">
        <f>IF(Sheet1!D$194,IF((B40&gt;=(Sheet1!D$148+$B$17)-1)," ",B40+1),NA())</f>
        <v xml:space="preserve"> </v>
      </c>
      <c r="C41" s="91" t="str">
        <f t="shared" si="0"/>
        <v xml:space="preserve"> </v>
      </c>
      <c r="D41" s="92"/>
      <c r="E41" s="92"/>
      <c r="F41" s="92"/>
      <c r="G41" s="92"/>
      <c r="H41" s="92"/>
      <c r="I41" s="92"/>
      <c r="J41" s="92"/>
      <c r="K41" s="92"/>
      <c r="L41" s="95">
        <f>IF(Sheet1!D$194,SUM(D41:K41),NA())</f>
        <v>0</v>
      </c>
    </row>
    <row r="42" spans="1:12" ht="13.2" x14ac:dyDescent="0.25">
      <c r="A42" s="90" t="str">
        <f>IF(Sheet1!D$194,IF((A41&gt;=(Sheet1!D$148+$A$17)-1)," ",A41+1),NA())</f>
        <v xml:space="preserve"> </v>
      </c>
      <c r="B42" s="90" t="str">
        <f>IF(Sheet1!D$194,IF((B41&gt;=(Sheet1!D$148+$B$17)-1)," ",B41+1),NA())</f>
        <v xml:space="preserve"> </v>
      </c>
      <c r="C42" s="91" t="str">
        <f t="shared" si="0"/>
        <v xml:space="preserve"> </v>
      </c>
      <c r="D42" s="92"/>
      <c r="E42" s="92"/>
      <c r="F42" s="92"/>
      <c r="G42" s="92"/>
      <c r="H42" s="92"/>
      <c r="I42" s="92"/>
      <c r="J42" s="92"/>
      <c r="K42" s="92"/>
      <c r="L42" s="95">
        <f>IF(Sheet1!D$194,SUM(D42:K42),NA())</f>
        <v>0</v>
      </c>
    </row>
    <row r="43" spans="1:12" ht="13.2" x14ac:dyDescent="0.25">
      <c r="A43" s="90" t="str">
        <f>IF(Sheet1!D$194,IF((A42&gt;=(Sheet1!D$148+$A$17)-1)," ",A42+1),NA())</f>
        <v xml:space="preserve"> </v>
      </c>
      <c r="B43" s="90" t="str">
        <f>IF(Sheet1!D$194,IF((B42&gt;=(Sheet1!D$148+$B$17)-1)," ",B42+1),NA())</f>
        <v xml:space="preserve"> </v>
      </c>
      <c r="C43" s="91" t="str">
        <f t="shared" si="0"/>
        <v xml:space="preserve"> </v>
      </c>
      <c r="D43" s="92"/>
      <c r="E43" s="92"/>
      <c r="F43" s="92"/>
      <c r="G43" s="92"/>
      <c r="H43" s="92"/>
      <c r="I43" s="92"/>
      <c r="J43" s="92"/>
      <c r="K43" s="92"/>
      <c r="L43" s="95">
        <f>IF(Sheet1!D$194,SUM(D43:K43),NA())</f>
        <v>0</v>
      </c>
    </row>
    <row r="44" spans="1:12" ht="13.2" x14ac:dyDescent="0.25">
      <c r="A44" s="90" t="str">
        <f>IF(Sheet1!D$194,IF((A43&gt;=(Sheet1!D$148+$A$17)-1)," ",A43+1),NA())</f>
        <v xml:space="preserve"> </v>
      </c>
      <c r="B44" s="90" t="str">
        <f>IF(Sheet1!D$194,IF((B43&gt;=(Sheet1!D$148+$B$17)-1)," ",B43+1),NA())</f>
        <v xml:space="preserve"> </v>
      </c>
      <c r="C44" s="91" t="str">
        <f t="shared" si="0"/>
        <v xml:space="preserve"> </v>
      </c>
      <c r="D44" s="92"/>
      <c r="E44" s="92"/>
      <c r="F44" s="92"/>
      <c r="G44" s="92"/>
      <c r="H44" s="92"/>
      <c r="I44" s="92"/>
      <c r="J44" s="92"/>
      <c r="K44" s="92"/>
      <c r="L44" s="95">
        <f>IF(Sheet1!D$194,SUM(D44:K44),NA())</f>
        <v>0</v>
      </c>
    </row>
    <row r="45" spans="1:12" ht="13.2" x14ac:dyDescent="0.25">
      <c r="A45" s="90" t="str">
        <f>IF(Sheet1!D$194,IF((A44&gt;=(Sheet1!D$148+$A$17)-1)," ",A44+1),NA())</f>
        <v xml:space="preserve"> </v>
      </c>
      <c r="B45" s="90" t="str">
        <f>IF(Sheet1!D$194,IF((B44&gt;=(Sheet1!D$148+$B$17)-1)," ",B44+1),NA())</f>
        <v xml:space="preserve"> </v>
      </c>
      <c r="C45" s="91" t="str">
        <f t="shared" si="0"/>
        <v xml:space="preserve"> </v>
      </c>
      <c r="D45" s="92"/>
      <c r="E45" s="92"/>
      <c r="F45" s="92"/>
      <c r="G45" s="92"/>
      <c r="H45" s="92"/>
      <c r="I45" s="92"/>
      <c r="J45" s="92"/>
      <c r="K45" s="92"/>
      <c r="L45" s="95">
        <f>IF(Sheet1!D$194,SUM(D45:K45),NA())</f>
        <v>0</v>
      </c>
    </row>
    <row r="46" spans="1:12" ht="13.2" x14ac:dyDescent="0.25">
      <c r="A46" s="90" t="str">
        <f>IF(Sheet1!D$194,IF((A45&gt;=(Sheet1!D$148+$A$17)-1)," ",A45+1),NA())</f>
        <v xml:space="preserve"> </v>
      </c>
      <c r="B46" s="90" t="str">
        <f>IF(Sheet1!D$194,IF((B45&gt;=(Sheet1!D$148+$B$17)-1)," ",B45+1),NA())</f>
        <v xml:space="preserve"> </v>
      </c>
      <c r="C46" s="91" t="str">
        <f t="shared" si="0"/>
        <v xml:space="preserve"> </v>
      </c>
      <c r="D46" s="92"/>
      <c r="E46" s="92"/>
      <c r="F46" s="92"/>
      <c r="G46" s="92"/>
      <c r="H46" s="92"/>
      <c r="I46" s="92"/>
      <c r="J46" s="92"/>
      <c r="K46" s="92"/>
      <c r="L46" s="95">
        <f>IF(Sheet1!D$194,SUM(D46:K46),NA())</f>
        <v>0</v>
      </c>
    </row>
    <row r="47" spans="1:12" ht="13.2" x14ac:dyDescent="0.25">
      <c r="A47" s="90" t="str">
        <f>IF(Sheet1!D$194,IF((A46&gt;=(Sheet1!D$148+$A$17)-1)," ",A46+1),NA())</f>
        <v xml:space="preserve"> </v>
      </c>
      <c r="B47" s="90" t="str">
        <f>IF(Sheet1!D$194,IF((B46&gt;=(Sheet1!D$148+$B$17)-1)," ",B46+1),NA())</f>
        <v xml:space="preserve"> </v>
      </c>
      <c r="C47" s="91" t="str">
        <f t="shared" si="0"/>
        <v xml:space="preserve"> </v>
      </c>
      <c r="D47" s="92"/>
      <c r="E47" s="92"/>
      <c r="F47" s="92"/>
      <c r="G47" s="92"/>
      <c r="H47" s="92"/>
      <c r="I47" s="92"/>
      <c r="J47" s="92"/>
      <c r="K47" s="92"/>
      <c r="L47" s="95">
        <f>IF(Sheet1!D$194,SUM(D47:K47),NA())</f>
        <v>0</v>
      </c>
    </row>
    <row r="48" spans="1:12" ht="13.2" x14ac:dyDescent="0.25">
      <c r="A48" s="90" t="str">
        <f>IF(Sheet1!D$194,IF((A47&gt;=(Sheet1!D$148+$A$17)-1)," ",A47+1),NA())</f>
        <v xml:space="preserve"> </v>
      </c>
      <c r="B48" s="90" t="str">
        <f>IF(Sheet1!D$194,IF((B47&gt;=(Sheet1!D$148+$B$17)-1)," ",B47+1),NA())</f>
        <v xml:space="preserve"> </v>
      </c>
      <c r="C48" s="91" t="str">
        <f t="shared" si="0"/>
        <v xml:space="preserve"> </v>
      </c>
      <c r="D48" s="92"/>
      <c r="E48" s="92"/>
      <c r="F48" s="92"/>
      <c r="G48" s="92"/>
      <c r="H48" s="92"/>
      <c r="I48" s="92"/>
      <c r="J48" s="92"/>
      <c r="K48" s="92"/>
      <c r="L48" s="95">
        <f>IF(Sheet1!D$194,SUM(D48:K48),NA())</f>
        <v>0</v>
      </c>
    </row>
    <row r="49" spans="1:12" ht="13.2" x14ac:dyDescent="0.25">
      <c r="A49" s="90" t="str">
        <f>IF(Sheet1!D$194,IF((A48&gt;=(Sheet1!D$148+$A$17)-1)," ",A48+1),NA())</f>
        <v xml:space="preserve"> </v>
      </c>
      <c r="B49" s="90" t="str">
        <f>IF(Sheet1!D$194,IF((B48&gt;=(Sheet1!D$148+$B$17)-1)," ",B48+1),NA())</f>
        <v xml:space="preserve"> </v>
      </c>
      <c r="C49" s="91" t="str">
        <f t="shared" si="0"/>
        <v xml:space="preserve"> </v>
      </c>
      <c r="D49" s="92"/>
      <c r="E49" s="92"/>
      <c r="F49" s="92"/>
      <c r="G49" s="92"/>
      <c r="H49" s="92"/>
      <c r="I49" s="92"/>
      <c r="J49" s="92"/>
      <c r="K49" s="92"/>
      <c r="L49" s="95">
        <f>IF(Sheet1!D$194,SUM(D49:K49),NA())</f>
        <v>0</v>
      </c>
    </row>
    <row r="50" spans="1:12" ht="13.2" x14ac:dyDescent="0.25">
      <c r="A50" s="90" t="str">
        <f>IF(Sheet1!D$194,IF((A49&gt;=(Sheet1!D$148+$A$17)-1)," ",A49+1),NA())</f>
        <v xml:space="preserve"> </v>
      </c>
      <c r="B50" s="90" t="str">
        <f>IF(Sheet1!D$194,IF((B49&gt;=(Sheet1!D$148+$B$17)-1)," ",B49+1),NA())</f>
        <v xml:space="preserve"> </v>
      </c>
      <c r="C50" s="91" t="str">
        <f t="shared" si="0"/>
        <v xml:space="preserve"> </v>
      </c>
      <c r="D50" s="92"/>
      <c r="E50" s="92"/>
      <c r="F50" s="92"/>
      <c r="G50" s="92"/>
      <c r="H50" s="92"/>
      <c r="I50" s="92"/>
      <c r="J50" s="92"/>
      <c r="K50" s="92"/>
      <c r="L50" s="95">
        <f>IF(Sheet1!D$194,SUM(D50:K50),NA())</f>
        <v>0</v>
      </c>
    </row>
    <row r="51" spans="1:12" ht="13.2" x14ac:dyDescent="0.25">
      <c r="A51" s="90" t="str">
        <f>IF(Sheet1!D$194,IF((A50&gt;=(Sheet1!D$148+$A$17)-1)," ",A50+1),NA())</f>
        <v xml:space="preserve"> </v>
      </c>
      <c r="B51" s="90" t="str">
        <f>IF(Sheet1!D$194,IF((B50&gt;=(Sheet1!D$148+$B$17)-1)," ",B50+1),NA())</f>
        <v xml:space="preserve"> </v>
      </c>
      <c r="C51" s="91" t="str">
        <f t="shared" si="0"/>
        <v xml:space="preserve"> </v>
      </c>
      <c r="D51" s="92"/>
      <c r="E51" s="92"/>
      <c r="F51" s="92"/>
      <c r="G51" s="92"/>
      <c r="H51" s="92"/>
      <c r="I51" s="92"/>
      <c r="J51" s="92"/>
      <c r="K51" s="92"/>
      <c r="L51" s="95">
        <f>IF(Sheet1!D$194,SUM(D51:K51),NA())</f>
        <v>0</v>
      </c>
    </row>
    <row r="52" spans="1:12" ht="13.2" x14ac:dyDescent="0.25">
      <c r="A52" s="90" t="str">
        <f>IF(Sheet1!D$194,IF((A51&gt;=(Sheet1!D$148+$A$17)-1)," ",A51+1),NA())</f>
        <v xml:space="preserve"> </v>
      </c>
      <c r="B52" s="90" t="str">
        <f>IF(Sheet1!D$194,IF((B51&gt;=(Sheet1!D$148+$B$17)-1)," ",B51+1),NA())</f>
        <v xml:space="preserve"> </v>
      </c>
      <c r="C52" s="91" t="str">
        <f t="shared" si="0"/>
        <v xml:space="preserve"> </v>
      </c>
      <c r="D52" s="92"/>
      <c r="E52" s="92"/>
      <c r="F52" s="92"/>
      <c r="G52" s="92"/>
      <c r="H52" s="92"/>
      <c r="I52" s="92"/>
      <c r="J52" s="92"/>
      <c r="K52" s="92"/>
      <c r="L52" s="95">
        <f>IF(Sheet1!D$194,SUM(D52:K52),NA())</f>
        <v>0</v>
      </c>
    </row>
    <row r="53" spans="1:12" ht="13.2" x14ac:dyDescent="0.25">
      <c r="A53" s="90" t="str">
        <f>IF(Sheet1!D$194,IF((A52&gt;=(Sheet1!D$148+$A$17)-1)," ",A52+1),NA())</f>
        <v xml:space="preserve"> </v>
      </c>
      <c r="B53" s="90" t="str">
        <f>IF(Sheet1!D$194,IF((B52&gt;=(Sheet1!D$148+$B$17)-1)," ",B52+1),NA())</f>
        <v xml:space="preserve"> </v>
      </c>
      <c r="C53" s="91" t="str">
        <f t="shared" si="0"/>
        <v xml:space="preserve"> </v>
      </c>
      <c r="D53" s="92"/>
      <c r="E53" s="92"/>
      <c r="F53" s="92"/>
      <c r="G53" s="92"/>
      <c r="H53" s="92"/>
      <c r="I53" s="92"/>
      <c r="J53" s="92"/>
      <c r="K53" s="92"/>
      <c r="L53" s="95">
        <f>IF(Sheet1!D$194,SUM(D53:K53),NA())</f>
        <v>0</v>
      </c>
    </row>
    <row r="54" spans="1:12" ht="13.2" x14ac:dyDescent="0.25">
      <c r="A54" s="90" t="str">
        <f>IF(Sheet1!D$194,IF((A53&gt;=(Sheet1!D$148+$A$17)-1)," ",A53+1),NA())</f>
        <v xml:space="preserve"> </v>
      </c>
      <c r="B54" s="90" t="str">
        <f>IF(Sheet1!D$194,IF((B53&gt;=(Sheet1!D$148+$B$17)-1)," ",B53+1),NA())</f>
        <v xml:space="preserve"> </v>
      </c>
      <c r="C54" s="91" t="str">
        <f t="shared" si="0"/>
        <v xml:space="preserve"> </v>
      </c>
      <c r="D54" s="92"/>
      <c r="E54" s="92"/>
      <c r="F54" s="92"/>
      <c r="G54" s="92"/>
      <c r="H54" s="92"/>
      <c r="I54" s="92"/>
      <c r="J54" s="92"/>
      <c r="K54" s="92"/>
      <c r="L54" s="95">
        <f>IF(Sheet1!D$194,SUM(D54:K54),NA())</f>
        <v>0</v>
      </c>
    </row>
    <row r="55" spans="1:12" ht="13.2" x14ac:dyDescent="0.25">
      <c r="A55" s="90" t="str">
        <f>IF(Sheet1!D$194,IF((A54&gt;=(Sheet1!D$148+$A$17)-1)," ",A54+1),NA())</f>
        <v xml:space="preserve"> </v>
      </c>
      <c r="B55" s="90" t="str">
        <f>IF(Sheet1!D$194,IF((B54&gt;=(Sheet1!D$148+$B$17)-1)," ",B54+1),NA())</f>
        <v xml:space="preserve"> </v>
      </c>
      <c r="C55" s="91" t="str">
        <f t="shared" si="0"/>
        <v xml:space="preserve"> </v>
      </c>
      <c r="D55" s="92"/>
      <c r="E55" s="92"/>
      <c r="F55" s="92"/>
      <c r="G55" s="92"/>
      <c r="H55" s="92"/>
      <c r="I55" s="92"/>
      <c r="J55" s="92"/>
      <c r="K55" s="92"/>
      <c r="L55" s="95">
        <f>IF(Sheet1!D$194,SUM(D55:K55),NA())</f>
        <v>0</v>
      </c>
    </row>
    <row r="56" spans="1:12" ht="13.2" x14ac:dyDescent="0.25">
      <c r="A56" s="90" t="str">
        <f>IF(Sheet1!D$194,IF((A55&gt;=(Sheet1!D$148+$A$17)-1)," ",A55+1),NA())</f>
        <v xml:space="preserve"> </v>
      </c>
      <c r="B56" s="90" t="str">
        <f>IF(Sheet1!D$194,IF((B55&gt;=(Sheet1!D$148+$B$17)-1)," ",B55+1),NA())</f>
        <v xml:space="preserve"> </v>
      </c>
      <c r="C56" s="91" t="str">
        <f t="shared" si="0"/>
        <v xml:space="preserve"> </v>
      </c>
      <c r="D56" s="92"/>
      <c r="E56" s="92"/>
      <c r="F56" s="92"/>
      <c r="G56" s="92"/>
      <c r="H56" s="92"/>
      <c r="I56" s="92"/>
      <c r="J56" s="92"/>
      <c r="K56" s="92"/>
      <c r="L56" s="95">
        <f>IF(Sheet1!D$194,SUM(D56:K56),NA())</f>
        <v>0</v>
      </c>
    </row>
    <row r="57" spans="1:12" ht="13.2" x14ac:dyDescent="0.25">
      <c r="A57" s="90" t="str">
        <f>IF(Sheet1!D$194,IF((A56&gt;=(Sheet1!D$148+$A$17)-1)," ",A56+1),NA())</f>
        <v xml:space="preserve"> </v>
      </c>
      <c r="B57" s="90" t="str">
        <f>IF(Sheet1!D$194,IF((B56&gt;=(Sheet1!D$148+$B$17)-1)," ",B56+1),NA())</f>
        <v xml:space="preserve"> </v>
      </c>
      <c r="C57" s="91" t="str">
        <f t="shared" si="0"/>
        <v xml:space="preserve"> </v>
      </c>
      <c r="D57" s="92"/>
      <c r="E57" s="92"/>
      <c r="F57" s="92"/>
      <c r="G57" s="92"/>
      <c r="H57" s="92"/>
      <c r="I57" s="92"/>
      <c r="J57" s="92"/>
      <c r="K57" s="92"/>
      <c r="L57" s="95">
        <f>IF(Sheet1!D$194,SUM(D57:K57),NA())</f>
        <v>0</v>
      </c>
    </row>
    <row r="58" spans="1:12" ht="13.2" x14ac:dyDescent="0.25">
      <c r="A58" s="90" t="str">
        <f>IF(Sheet1!D$194,IF((A57&gt;=(Sheet1!D$148+$A$17)-1)," ",A57+1),NA())</f>
        <v xml:space="preserve"> </v>
      </c>
      <c r="B58" s="90" t="str">
        <f>IF(Sheet1!D$194,IF((B57&gt;=(Sheet1!D$148+$B$17)-1)," ",B57+1),NA())</f>
        <v xml:space="preserve"> </v>
      </c>
      <c r="C58" s="91" t="str">
        <f t="shared" si="0"/>
        <v xml:space="preserve"> </v>
      </c>
      <c r="D58" s="92"/>
      <c r="E58" s="92"/>
      <c r="F58" s="92"/>
      <c r="G58" s="92"/>
      <c r="H58" s="92"/>
      <c r="I58" s="92"/>
      <c r="J58" s="92"/>
      <c r="K58" s="92"/>
      <c r="L58" s="95">
        <f>IF(Sheet1!D$194,SUM(D58:K58),NA())</f>
        <v>0</v>
      </c>
    </row>
    <row r="59" spans="1:12" ht="13.2" x14ac:dyDescent="0.25">
      <c r="A59" s="90" t="str">
        <f>IF(Sheet1!D$194,IF((A58&gt;=(Sheet1!D$148+$A$17)-1)," ",A58+1),NA())</f>
        <v xml:space="preserve"> </v>
      </c>
      <c r="B59" s="90" t="str">
        <f>IF(Sheet1!D$194,IF((B58&gt;=(Sheet1!D$148+$B$17)-1)," ",B58+1),NA())</f>
        <v xml:space="preserve"> </v>
      </c>
      <c r="C59" s="91" t="str">
        <f t="shared" si="0"/>
        <v xml:space="preserve"> </v>
      </c>
      <c r="D59" s="92"/>
      <c r="E59" s="92"/>
      <c r="F59" s="92"/>
      <c r="G59" s="92"/>
      <c r="H59" s="92"/>
      <c r="I59" s="92"/>
      <c r="J59" s="92"/>
      <c r="K59" s="92"/>
      <c r="L59" s="95">
        <f>IF(Sheet1!D$194,SUM(D59:K59),NA())</f>
        <v>0</v>
      </c>
    </row>
    <row r="60" spans="1:12" ht="13.2" x14ac:dyDescent="0.25">
      <c r="A60" s="90" t="str">
        <f>IF(Sheet1!D$194,IF((A59&gt;=(Sheet1!D$148+$A$17)-1)," ",A59+1),NA())</f>
        <v xml:space="preserve"> </v>
      </c>
      <c r="B60" s="90" t="str">
        <f>IF(Sheet1!D$194,IF((B59&gt;=(Sheet1!D$148+$B$17)-1)," ",B59+1),NA())</f>
        <v xml:space="preserve"> </v>
      </c>
      <c r="C60" s="91" t="str">
        <f t="shared" si="0"/>
        <v xml:space="preserve"> </v>
      </c>
      <c r="D60" s="92"/>
      <c r="E60" s="92"/>
      <c r="F60" s="92"/>
      <c r="G60" s="92"/>
      <c r="H60" s="92"/>
      <c r="I60" s="92"/>
      <c r="J60" s="92"/>
      <c r="K60" s="92"/>
      <c r="L60" s="95">
        <f>IF(Sheet1!D$194,SUM(D60:K60),NA())</f>
        <v>0</v>
      </c>
    </row>
    <row r="61" spans="1:12" ht="13.2" x14ac:dyDescent="0.25">
      <c r="A61" s="90" t="str">
        <f>IF(Sheet1!D$194,IF((A60&gt;=(Sheet1!D$148+$A$17)-1)," ",A60+1),NA())</f>
        <v xml:space="preserve"> </v>
      </c>
      <c r="B61" s="90" t="str">
        <f>IF(Sheet1!D$194,IF((B60&gt;=(Sheet1!D$148+$B$17)-1)," ",B60+1),NA())</f>
        <v xml:space="preserve"> </v>
      </c>
      <c r="C61" s="91" t="str">
        <f t="shared" si="0"/>
        <v xml:space="preserve"> </v>
      </c>
      <c r="D61" s="92"/>
      <c r="E61" s="92"/>
      <c r="F61" s="92"/>
      <c r="G61" s="92"/>
      <c r="H61" s="92"/>
      <c r="I61" s="92"/>
      <c r="J61" s="92"/>
      <c r="K61" s="92"/>
      <c r="L61" s="95">
        <f>IF(Sheet1!D$194,SUM(D61:K61),NA())</f>
        <v>0</v>
      </c>
    </row>
    <row r="62" spans="1:12" ht="13.2" x14ac:dyDescent="0.25">
      <c r="A62" s="90" t="str">
        <f>IF(Sheet1!D$194,IF((A61&gt;=(Sheet1!D$148+$A$17)-1)," ",A61+1),NA())</f>
        <v xml:space="preserve"> </v>
      </c>
      <c r="B62" s="90" t="str">
        <f>IF(Sheet1!D$194,IF((B61&gt;=(Sheet1!D$148+$B$17)-1)," ",B61+1),NA())</f>
        <v xml:space="preserve"> </v>
      </c>
      <c r="C62" s="91" t="str">
        <f t="shared" si="0"/>
        <v xml:space="preserve"> </v>
      </c>
      <c r="D62" s="92"/>
      <c r="E62" s="92"/>
      <c r="F62" s="92"/>
      <c r="G62" s="92"/>
      <c r="H62" s="92"/>
      <c r="I62" s="92"/>
      <c r="J62" s="92"/>
      <c r="K62" s="92"/>
      <c r="L62" s="95">
        <f>IF(Sheet1!D$194,SUM(D62:K62),NA())</f>
        <v>0</v>
      </c>
    </row>
    <row r="63" spans="1:12" ht="13.8" thickBot="1" x14ac:dyDescent="0.3">
      <c r="A63" s="90" t="str">
        <f>IF(Sheet1!D$194,IF((A62&gt;=(Sheet1!D$148+$A$17)-1)," ",A62+1),NA())</f>
        <v xml:space="preserve"> </v>
      </c>
      <c r="B63" s="90" t="str">
        <f>IF(Sheet1!D$194,IF((B62&gt;=(Sheet1!D$148+$B$17)-1)," ",B62+1),NA())</f>
        <v xml:space="preserve"> </v>
      </c>
      <c r="C63" s="91" t="str">
        <f t="shared" si="0"/>
        <v xml:space="preserve"> </v>
      </c>
      <c r="D63" s="92"/>
      <c r="E63" s="92"/>
      <c r="F63" s="92"/>
      <c r="G63" s="92"/>
      <c r="H63" s="92"/>
      <c r="I63" s="92"/>
      <c r="J63" s="92"/>
      <c r="K63" s="92"/>
      <c r="L63" s="95">
        <f>IF(Sheet1!D$194,SUM(D63:K63),NA())</f>
        <v>0</v>
      </c>
    </row>
    <row r="64" spans="1:12" ht="13.8" hidden="1" thickBot="1" x14ac:dyDescent="0.3">
      <c r="A64" s="90" t="str">
        <f>IF(Sheet1!D$194,IF((A63&gt;=(Sheet1!D$148+$A$17)-1)," ",A63+1),NA())</f>
        <v xml:space="preserve"> </v>
      </c>
      <c r="B64" s="90" t="str">
        <f>IF(Sheet1!D$194,IF((B63&gt;=(Sheet1!D$148+$B$17)-1)," ",B63+1),NA())</f>
        <v xml:space="preserve"> </v>
      </c>
      <c r="C64" s="91" t="str">
        <f t="shared" si="0"/>
        <v xml:space="preserve"> </v>
      </c>
      <c r="D64" s="92"/>
      <c r="E64" s="92"/>
      <c r="F64" s="92"/>
      <c r="G64" s="92"/>
      <c r="H64" s="92"/>
      <c r="I64" s="92"/>
      <c r="J64" s="92"/>
      <c r="K64" s="92"/>
      <c r="L64" s="95">
        <f>IF(Sheet1!D$194,SUM(D64:K64),NA())</f>
        <v>0</v>
      </c>
    </row>
    <row r="65" spans="1:12" ht="13.8" hidden="1" thickBot="1" x14ac:dyDescent="0.3">
      <c r="A65" s="90" t="str">
        <f>IF(Sheet1!D$194,IF((A64&gt;=(Sheet1!D$148+$A$17)-1)," ",A64+1),NA())</f>
        <v xml:space="preserve"> </v>
      </c>
      <c r="B65" s="90" t="str">
        <f>IF(Sheet1!D$194,IF((B64&gt;=(Sheet1!D$148+$B$17)-1)," ",B64+1),NA())</f>
        <v xml:space="preserve"> </v>
      </c>
      <c r="C65" s="91" t="str">
        <f t="shared" si="0"/>
        <v xml:space="preserve"> </v>
      </c>
      <c r="D65" s="92"/>
      <c r="E65" s="92"/>
      <c r="F65" s="92"/>
      <c r="G65" s="92"/>
      <c r="H65" s="92"/>
      <c r="I65" s="92"/>
      <c r="J65" s="92"/>
      <c r="K65" s="92"/>
      <c r="L65" s="95">
        <f>IF(Sheet1!D$194,SUM(D65:K65),NA())</f>
        <v>0</v>
      </c>
    </row>
    <row r="66" spans="1:12" ht="13.8" hidden="1" thickBot="1" x14ac:dyDescent="0.3">
      <c r="A66" s="90" t="str">
        <f>IF(Sheet1!D$194,IF((A65&gt;=(Sheet1!D$148+$A$17)-1)," ",A65+1),NA())</f>
        <v xml:space="preserve"> </v>
      </c>
      <c r="B66" s="90" t="str">
        <f>IF(Sheet1!D$194,IF((B65&gt;=(Sheet1!D$148+$B$17)-1)," ",B65+1),NA())</f>
        <v xml:space="preserve"> </v>
      </c>
      <c r="C66" s="91" t="str">
        <f t="shared" si="0"/>
        <v xml:space="preserve"> </v>
      </c>
      <c r="D66" s="92"/>
      <c r="E66" s="92"/>
      <c r="F66" s="92"/>
      <c r="G66" s="92"/>
      <c r="H66" s="92"/>
      <c r="I66" s="92"/>
      <c r="J66" s="92"/>
      <c r="K66" s="92"/>
      <c r="L66" s="95">
        <f>IF(Sheet1!D$194,SUM(D66:K66),NA())</f>
        <v>0</v>
      </c>
    </row>
    <row r="67" spans="1:12" ht="13.8" thickTop="1" x14ac:dyDescent="0.25">
      <c r="A67" s="91" t="s">
        <v>272</v>
      </c>
      <c r="B67" s="96"/>
      <c r="C67" s="96"/>
      <c r="D67" s="97">
        <f>IF(Sheet1!D$194,SUM(D17:D66),NA())</f>
        <v>0</v>
      </c>
      <c r="E67" s="97">
        <f>IF(Sheet1!D$194,SUM(E17:E66),NA())</f>
        <v>0</v>
      </c>
      <c r="F67" s="97">
        <f>IF(Sheet1!D$194,SUM(F17:F66),NA())</f>
        <v>0</v>
      </c>
      <c r="G67" s="97">
        <f>IF(Sheet1!D$194,SUM(G17:G66),NA())</f>
        <v>0</v>
      </c>
      <c r="H67" s="97">
        <f>IF(Sheet1!D$194,SUM(H17:H66),NA())</f>
        <v>0</v>
      </c>
      <c r="I67" s="97">
        <f>IF(Sheet1!D$194,SUM(I17:I66),NA())</f>
        <v>0</v>
      </c>
      <c r="J67" s="97">
        <f>IF(Sheet1!D$194,SUM(J17:J66),NA())</f>
        <v>0</v>
      </c>
      <c r="K67" s="97">
        <f>IF(Sheet1!D$194,SUM(K17:K66),NA())</f>
        <v>0</v>
      </c>
      <c r="L67" s="95">
        <f>IF(Sheet1!D$194,SUM(L17:L66),NA())</f>
        <v>0</v>
      </c>
    </row>
    <row r="68" spans="1:12" ht="13.2" x14ac:dyDescent="0.25">
      <c r="A68" s="91" t="s">
        <v>266</v>
      </c>
      <c r="B68" s="96"/>
      <c r="C68" s="96"/>
      <c r="D68" s="99" t="str">
        <f t="shared" ref="D68:K68" si="1">IF($L$67=0,"",D67/$L$67)</f>
        <v/>
      </c>
      <c r="E68" s="99" t="str">
        <f t="shared" si="1"/>
        <v/>
      </c>
      <c r="F68" s="99" t="str">
        <f t="shared" si="1"/>
        <v/>
      </c>
      <c r="G68" s="99" t="str">
        <f t="shared" si="1"/>
        <v/>
      </c>
      <c r="H68" s="99" t="str">
        <f t="shared" si="1"/>
        <v/>
      </c>
      <c r="I68" s="99" t="str">
        <f t="shared" si="1"/>
        <v/>
      </c>
      <c r="J68" s="99" t="str">
        <f t="shared" si="1"/>
        <v/>
      </c>
      <c r="K68" s="99" t="str">
        <f t="shared" si="1"/>
        <v/>
      </c>
      <c r="L68" s="127"/>
    </row>
    <row r="69" spans="1:12" ht="13.2" x14ac:dyDescent="0.25">
      <c r="A69" s="76"/>
      <c r="B69" s="77"/>
      <c r="C69" s="77"/>
      <c r="D69" s="138"/>
      <c r="E69" s="138"/>
      <c r="F69" s="138"/>
      <c r="G69" s="138"/>
      <c r="H69" s="138"/>
      <c r="I69" s="138"/>
      <c r="J69" s="138"/>
      <c r="K69" s="138"/>
      <c r="L69" s="138"/>
    </row>
    <row r="70" spans="1:12" ht="13.2" hidden="1" x14ac:dyDescent="0.25">
      <c r="A70" s="76"/>
      <c r="B70" s="77"/>
      <c r="C70" s="77"/>
      <c r="D70" s="138"/>
      <c r="E70" s="138"/>
      <c r="F70" s="138"/>
      <c r="G70" s="138"/>
      <c r="H70" s="138"/>
      <c r="I70" s="138"/>
      <c r="J70" s="138"/>
      <c r="K70" s="138"/>
      <c r="L70" s="138"/>
    </row>
    <row r="71" spans="1:12" ht="13.2" hidden="1" x14ac:dyDescent="0.25">
      <c r="A71" s="79" t="s">
        <v>263</v>
      </c>
      <c r="B71" s="70"/>
      <c r="C71" s="70"/>
      <c r="D71" s="80"/>
      <c r="E71" s="80"/>
      <c r="F71" s="80"/>
      <c r="G71" s="80"/>
      <c r="H71" s="80"/>
      <c r="I71" s="80"/>
      <c r="J71" s="80"/>
      <c r="K71" s="80"/>
    </row>
    <row r="72" spans="1:12" ht="14.25" hidden="1" customHeight="1" x14ac:dyDescent="0.25">
      <c r="A72" s="79" t="s">
        <v>265</v>
      </c>
      <c r="B72" s="70"/>
      <c r="C72" s="70"/>
      <c r="D72" s="80"/>
      <c r="E72" s="80"/>
      <c r="F72" s="80"/>
      <c r="G72" s="80"/>
      <c r="H72" s="80"/>
      <c r="I72" s="80"/>
      <c r="J72" s="80"/>
      <c r="K72" s="80"/>
    </row>
    <row r="73" spans="1:12" ht="3" hidden="1" customHeight="1" x14ac:dyDescent="0.25">
      <c r="A73" s="84"/>
      <c r="B73" s="77"/>
      <c r="C73" s="77"/>
      <c r="D73" s="80"/>
      <c r="E73" s="80"/>
      <c r="F73" s="80"/>
      <c r="G73" s="80"/>
      <c r="H73" s="80"/>
      <c r="I73" s="80"/>
      <c r="J73" s="80"/>
      <c r="K73" s="80"/>
    </row>
    <row r="74" spans="1:12" ht="3" hidden="1" customHeight="1" thickBot="1" x14ac:dyDescent="0.3">
      <c r="A74" s="84"/>
      <c r="B74" s="77"/>
      <c r="C74" s="77"/>
      <c r="D74" s="80"/>
      <c r="E74" s="80"/>
      <c r="F74" s="80"/>
      <c r="G74" s="80"/>
      <c r="H74" s="80"/>
      <c r="I74" s="80"/>
      <c r="J74" s="80"/>
      <c r="K74" s="80"/>
    </row>
    <row r="75" spans="1:12" ht="33" hidden="1" customHeight="1" thickTop="1" x14ac:dyDescent="0.25">
      <c r="A75" s="85" t="s">
        <v>229</v>
      </c>
      <c r="B75" s="85" t="s">
        <v>230</v>
      </c>
      <c r="C75" s="86" t="s">
        <v>231</v>
      </c>
      <c r="D75" s="87"/>
      <c r="E75" s="87"/>
      <c r="F75" s="87"/>
      <c r="G75" s="87"/>
      <c r="H75" s="87"/>
      <c r="I75" s="87"/>
      <c r="J75" s="87"/>
      <c r="K75" s="87"/>
      <c r="L75" s="104" t="s">
        <v>252</v>
      </c>
    </row>
    <row r="76" spans="1:12" ht="13.2" hidden="1" x14ac:dyDescent="0.25">
      <c r="A76" s="156">
        <f>IF(Sheet1!D$194,VLOOKUP(1,Sheet1!A148:B197,2),NA())</f>
        <v>1</v>
      </c>
      <c r="B76" s="90">
        <f>IF(Sheet1!D$194,VLOOKUP(Sheet1!D$86,Sheet1!A80:B147,2),NA())</f>
        <v>2024</v>
      </c>
      <c r="C76" s="91" t="str">
        <f t="shared" ref="C76:C82" si="2">IF(AND(OR(A76=" ",A76="#NA"),OR(D76&lt;&gt;0,E76&lt;&gt;0,F76&lt;&gt;0,G76&lt;&gt;0,H76&lt;&gt;0,I76&lt;&gt;0,J76&lt;&gt;0,K76&lt;&gt;0)),"Clear=&gt;"," ")</f>
        <v xml:space="preserve"> </v>
      </c>
      <c r="D76" s="105"/>
      <c r="E76" s="105"/>
      <c r="F76" s="105"/>
      <c r="G76" s="105"/>
      <c r="H76" s="105"/>
      <c r="I76" s="105"/>
      <c r="J76" s="105"/>
      <c r="K76" s="105"/>
      <c r="L76" s="95">
        <f>IF(Sheet1!D$194,SUM(D76:K76),NA())</f>
        <v>0</v>
      </c>
    </row>
    <row r="77" spans="1:12" ht="13.2" hidden="1" x14ac:dyDescent="0.25">
      <c r="A77" s="90" t="str">
        <f>IF(Sheet1!D$194,IF((A76&gt;=(Sheet1!D$148+$A$76)-1)," ",A76+1),NA())</f>
        <v xml:space="preserve"> </v>
      </c>
      <c r="B77" s="90" t="str">
        <f>IF(Sheet1!D$194,IF((B76&gt;=(Sheet1!D$148+$B$76)-1)," ",B76+1),NA())</f>
        <v xml:space="preserve"> </v>
      </c>
      <c r="C77" s="91" t="str">
        <f t="shared" si="2"/>
        <v xml:space="preserve"> </v>
      </c>
      <c r="D77" s="105"/>
      <c r="E77" s="105"/>
      <c r="F77" s="105"/>
      <c r="G77" s="105"/>
      <c r="H77" s="105"/>
      <c r="I77" s="105"/>
      <c r="J77" s="105"/>
      <c r="K77" s="105"/>
      <c r="L77" s="95">
        <f>IF(Sheet1!D$194,SUM(D77:K77),NA())</f>
        <v>0</v>
      </c>
    </row>
    <row r="78" spans="1:12" ht="13.2" hidden="1" x14ac:dyDescent="0.25">
      <c r="A78" s="90" t="str">
        <f>IF(Sheet1!D$194,IF((A77&gt;=(Sheet1!D$148+$A$76)-1)," ",A77+1),NA())</f>
        <v xml:space="preserve"> </v>
      </c>
      <c r="B78" s="90" t="str">
        <f>IF(Sheet1!D$194,IF((B77&gt;=(Sheet1!D$148+$B$76)-1)," ",B77+1),NA())</f>
        <v xml:space="preserve"> </v>
      </c>
      <c r="C78" s="91" t="str">
        <f t="shared" si="2"/>
        <v xml:space="preserve"> </v>
      </c>
      <c r="D78" s="105"/>
      <c r="E78" s="105"/>
      <c r="F78" s="105"/>
      <c r="G78" s="105"/>
      <c r="H78" s="105"/>
      <c r="I78" s="105"/>
      <c r="J78" s="105"/>
      <c r="K78" s="105"/>
      <c r="L78" s="95">
        <f>IF(Sheet1!D$194,SUM(D78:K78),NA())</f>
        <v>0</v>
      </c>
    </row>
    <row r="79" spans="1:12" ht="13.2" hidden="1" x14ac:dyDescent="0.25">
      <c r="A79" s="90" t="str">
        <f>IF(Sheet1!D$194,IF((A78&gt;=(Sheet1!D$148+$A$76)-1)," ",A78+1),NA())</f>
        <v xml:space="preserve"> </v>
      </c>
      <c r="B79" s="90" t="str">
        <f>IF(Sheet1!D$194,IF((B78&gt;=(Sheet1!D$148+$B$76)-1)," ",B78+1),NA())</f>
        <v xml:space="preserve"> </v>
      </c>
      <c r="C79" s="91" t="str">
        <f t="shared" si="2"/>
        <v xml:space="preserve"> </v>
      </c>
      <c r="D79" s="105"/>
      <c r="E79" s="105"/>
      <c r="F79" s="105"/>
      <c r="G79" s="105"/>
      <c r="H79" s="105"/>
      <c r="I79" s="105"/>
      <c r="J79" s="105"/>
      <c r="K79" s="105"/>
      <c r="L79" s="95">
        <f>IF(Sheet1!D$194,SUM(D79:K79),NA())</f>
        <v>0</v>
      </c>
    </row>
    <row r="80" spans="1:12" ht="13.2" hidden="1" x14ac:dyDescent="0.25">
      <c r="A80" s="90" t="str">
        <f>IF(Sheet1!D$194,IF((A79&gt;=(Sheet1!D$148+$A$76)-1)," ",A79+1),NA())</f>
        <v xml:space="preserve"> </v>
      </c>
      <c r="B80" s="90" t="str">
        <f>IF(Sheet1!D$194,IF((B79&gt;=(Sheet1!D$148+$B$76)-1)," ",B79+1),NA())</f>
        <v xml:space="preserve"> </v>
      </c>
      <c r="C80" s="91" t="str">
        <f t="shared" si="2"/>
        <v xml:space="preserve"> </v>
      </c>
      <c r="D80" s="105"/>
      <c r="E80" s="105"/>
      <c r="F80" s="105"/>
      <c r="G80" s="105"/>
      <c r="H80" s="105"/>
      <c r="I80" s="105"/>
      <c r="J80" s="105"/>
      <c r="K80" s="105"/>
      <c r="L80" s="95">
        <f>IF(Sheet1!D$194,SUM(D80:K80),NA())</f>
        <v>0</v>
      </c>
    </row>
    <row r="81" spans="1:12" ht="13.2" hidden="1" x14ac:dyDescent="0.25">
      <c r="A81" s="90" t="str">
        <f>IF(Sheet1!D$194,IF((A80&gt;=(Sheet1!D$148+$A$76)-1)," ",A80+1),NA())</f>
        <v xml:space="preserve"> </v>
      </c>
      <c r="B81" s="90" t="str">
        <f>IF(Sheet1!D$194,IF((B80&gt;=(Sheet1!D$148+$B$76)-1)," ",B80+1),NA())</f>
        <v xml:space="preserve"> </v>
      </c>
      <c r="C81" s="91" t="str">
        <f t="shared" si="2"/>
        <v xml:space="preserve"> </v>
      </c>
      <c r="D81" s="105"/>
      <c r="E81" s="105"/>
      <c r="F81" s="105"/>
      <c r="G81" s="105"/>
      <c r="H81" s="105"/>
      <c r="I81" s="105"/>
      <c r="J81" s="105"/>
      <c r="K81" s="105"/>
      <c r="L81" s="95">
        <f>IF(Sheet1!D$194,SUM(D81:K81),NA())</f>
        <v>0</v>
      </c>
    </row>
    <row r="82" spans="1:12" ht="13.2" hidden="1" x14ac:dyDescent="0.25">
      <c r="A82" s="90" t="str">
        <f>IF(Sheet1!D$194,IF((A81&gt;=(Sheet1!D$148+$A$76)-1)," ",A81+1),NA())</f>
        <v xml:space="preserve"> </v>
      </c>
      <c r="B82" s="90" t="str">
        <f>IF(Sheet1!D$194,IF((B81&gt;=(Sheet1!D$148+$B$76)-1)," ",B81+1),NA())</f>
        <v xml:space="preserve"> </v>
      </c>
      <c r="C82" s="91" t="str">
        <f t="shared" si="2"/>
        <v xml:space="preserve"> </v>
      </c>
      <c r="D82" s="105"/>
      <c r="E82" s="105"/>
      <c r="F82" s="105"/>
      <c r="G82" s="105"/>
      <c r="H82" s="105"/>
      <c r="I82" s="105"/>
      <c r="J82" s="105"/>
      <c r="K82" s="105"/>
      <c r="L82" s="95">
        <f>IF(Sheet1!D$194,SUM(D82:K82),NA())</f>
        <v>0</v>
      </c>
    </row>
    <row r="83" spans="1:12" ht="13.8" hidden="1" thickTop="1" x14ac:dyDescent="0.25">
      <c r="A83" s="91" t="s">
        <v>264</v>
      </c>
      <c r="B83" s="96"/>
      <c r="C83" s="96"/>
      <c r="D83" s="97">
        <f>IF(Sheet1!D$194,SUM(D76:D82),NA())</f>
        <v>0</v>
      </c>
      <c r="E83" s="97">
        <f>IF(Sheet1!D$194,SUM(E76:E82),NA())</f>
        <v>0</v>
      </c>
      <c r="F83" s="97">
        <f>IF(Sheet1!D$194,SUM(F76:F82),NA())</f>
        <v>0</v>
      </c>
      <c r="G83" s="97">
        <f>IF(Sheet1!D$194,SUM(G76:G82),NA())</f>
        <v>0</v>
      </c>
      <c r="H83" s="97">
        <f>IF(Sheet1!D$194,SUM(H76:H82),NA())</f>
        <v>0</v>
      </c>
      <c r="I83" s="97">
        <f>IF(Sheet1!D$194,SUM(I76:I82),NA())</f>
        <v>0</v>
      </c>
      <c r="J83" s="97">
        <f>IF(Sheet1!D$194,SUM(J76:J82),NA())</f>
        <v>0</v>
      </c>
      <c r="K83" s="97">
        <f>IF(Sheet1!D$194,SUM(K76:K82),NA())</f>
        <v>0</v>
      </c>
      <c r="L83" s="95">
        <f>IF(Sheet1!D$194,SUM(L76:L82),NA())</f>
        <v>0</v>
      </c>
    </row>
    <row r="84" spans="1:12" ht="13.2" hidden="1" x14ac:dyDescent="0.25">
      <c r="A84" s="76"/>
      <c r="B84" s="77"/>
      <c r="C84" s="77"/>
      <c r="D84" s="138"/>
      <c r="E84" s="138"/>
      <c r="F84" s="138"/>
      <c r="G84" s="138"/>
      <c r="H84" s="138"/>
      <c r="I84" s="138"/>
      <c r="J84" s="138"/>
      <c r="K84" s="138"/>
      <c r="L84" s="138"/>
    </row>
    <row r="85" spans="1:12" ht="13.2" hidden="1" x14ac:dyDescent="0.25">
      <c r="A85" s="76"/>
      <c r="B85" s="77"/>
      <c r="C85" s="77"/>
      <c r="D85" s="138"/>
      <c r="E85" s="138"/>
      <c r="F85" s="138"/>
      <c r="G85" s="138"/>
      <c r="H85" s="138"/>
      <c r="I85" s="138"/>
      <c r="J85" s="138"/>
      <c r="K85" s="138"/>
      <c r="L85" s="138"/>
    </row>
    <row r="86" spans="1:12" ht="13.2" hidden="1" x14ac:dyDescent="0.25">
      <c r="A86" s="76"/>
      <c r="B86" s="77"/>
      <c r="C86" s="77"/>
      <c r="D86" s="138"/>
      <c r="E86" s="138"/>
      <c r="F86" s="138"/>
      <c r="G86" s="138"/>
      <c r="H86" s="138"/>
      <c r="I86" s="138"/>
      <c r="J86" s="138"/>
      <c r="K86" s="138"/>
      <c r="L86" s="138"/>
    </row>
    <row r="87" spans="1:12" ht="13.2" hidden="1" x14ac:dyDescent="0.25">
      <c r="A87" s="79" t="s">
        <v>263</v>
      </c>
      <c r="B87" s="70"/>
      <c r="C87" s="70"/>
      <c r="D87" s="80"/>
      <c r="E87" s="80"/>
      <c r="F87" s="80"/>
      <c r="G87" s="80"/>
      <c r="H87" s="80"/>
      <c r="I87" s="80"/>
      <c r="J87" s="80"/>
      <c r="K87" s="80"/>
    </row>
    <row r="88" spans="1:12" ht="14.25" hidden="1" customHeight="1" x14ac:dyDescent="0.25">
      <c r="A88" s="79" t="s">
        <v>262</v>
      </c>
      <c r="B88" s="70"/>
      <c r="C88" s="70"/>
      <c r="D88" s="80"/>
      <c r="E88" s="80"/>
      <c r="F88" s="80"/>
      <c r="G88" s="80"/>
      <c r="H88" s="80"/>
      <c r="I88" s="80"/>
      <c r="J88" s="80"/>
      <c r="K88" s="80"/>
    </row>
    <row r="89" spans="1:12" ht="3" hidden="1" customHeight="1" x14ac:dyDescent="0.25">
      <c r="A89" s="84"/>
      <c r="B89" s="77"/>
      <c r="C89" s="77"/>
      <c r="D89" s="80"/>
      <c r="E89" s="80"/>
      <c r="F89" s="80"/>
      <c r="G89" s="80"/>
      <c r="H89" s="80"/>
      <c r="I89" s="80"/>
      <c r="J89" s="80"/>
      <c r="K89" s="80"/>
    </row>
    <row r="90" spans="1:12" ht="3" hidden="1" customHeight="1" thickBot="1" x14ac:dyDescent="0.3">
      <c r="A90" s="84"/>
      <c r="B90" s="77"/>
      <c r="C90" s="77"/>
      <c r="D90" s="80"/>
      <c r="E90" s="80"/>
      <c r="F90" s="80"/>
      <c r="G90" s="80"/>
      <c r="H90" s="80"/>
      <c r="I90" s="80"/>
      <c r="J90" s="80"/>
      <c r="K90" s="80"/>
    </row>
    <row r="91" spans="1:12" ht="33" hidden="1" customHeight="1" thickTop="1" x14ac:dyDescent="0.25">
      <c r="A91" s="85" t="s">
        <v>229</v>
      </c>
      <c r="B91" s="85" t="s">
        <v>230</v>
      </c>
      <c r="C91" s="86" t="s">
        <v>231</v>
      </c>
      <c r="D91" s="87"/>
      <c r="E91" s="87"/>
      <c r="F91" s="87"/>
      <c r="G91" s="87"/>
      <c r="H91" s="87"/>
      <c r="I91" s="87"/>
      <c r="J91" s="87"/>
      <c r="K91" s="87"/>
      <c r="L91" s="104" t="s">
        <v>252</v>
      </c>
    </row>
    <row r="92" spans="1:12" ht="13.2" hidden="1" x14ac:dyDescent="0.25">
      <c r="A92" s="156">
        <f>IF(Sheet1!D$194,VLOOKUP(1,Sheet1!A148:B197,2),NA())</f>
        <v>1</v>
      </c>
      <c r="B92" s="90">
        <f>IF(Sheet1!D$194,VLOOKUP(Sheet1!D$86,Sheet1!A80:B147,2),NA())</f>
        <v>2024</v>
      </c>
      <c r="C92" s="91" t="str">
        <f t="shared" ref="C92:C98" si="3">IF(AND(OR(A92=" ",A92="#NA"),OR(D92&lt;&gt;0,E92&lt;&gt;0,F92&lt;&gt;0,G92&lt;&gt;0,H92&lt;&gt;0,I92&lt;&gt;0,J92&lt;&gt;0,K92&lt;&gt;0)),"Clear=&gt;"," ")</f>
        <v xml:space="preserve"> </v>
      </c>
      <c r="D92" s="105"/>
      <c r="E92" s="105"/>
      <c r="F92" s="105"/>
      <c r="G92" s="105"/>
      <c r="H92" s="105"/>
      <c r="I92" s="105"/>
      <c r="J92" s="105"/>
      <c r="K92" s="105"/>
      <c r="L92" s="95">
        <f>IF(Sheet1!D$194,SUM(D92:K92),NA())</f>
        <v>0</v>
      </c>
    </row>
    <row r="93" spans="1:12" ht="13.2" hidden="1" x14ac:dyDescent="0.25">
      <c r="A93" s="90" t="str">
        <f>IF(Sheet1!D$194,IF((A92&gt;=(Sheet1!D$148+$A$92)-1)," ",A92+1),NA())</f>
        <v xml:space="preserve"> </v>
      </c>
      <c r="B93" s="90" t="str">
        <f>IF(Sheet1!D$194,IF((B92&gt;=(Sheet1!D$148+$B$92)-1)," ",B92+1),NA())</f>
        <v xml:space="preserve"> </v>
      </c>
      <c r="C93" s="91" t="str">
        <f t="shared" si="3"/>
        <v xml:space="preserve"> </v>
      </c>
      <c r="D93" s="105"/>
      <c r="E93" s="105"/>
      <c r="F93" s="105"/>
      <c r="G93" s="105"/>
      <c r="H93" s="105"/>
      <c r="I93" s="105"/>
      <c r="J93" s="105"/>
      <c r="K93" s="105"/>
      <c r="L93" s="95">
        <f>IF(Sheet1!D$194,SUM(D93:K93),NA())</f>
        <v>0</v>
      </c>
    </row>
    <row r="94" spans="1:12" ht="13.2" hidden="1" x14ac:dyDescent="0.25">
      <c r="A94" s="90" t="str">
        <f>IF(Sheet1!D$194,IF((A93&gt;=(Sheet1!D$148+$A$92)-1)," ",A93+1),NA())</f>
        <v xml:space="preserve"> </v>
      </c>
      <c r="B94" s="90" t="str">
        <f>IF(Sheet1!D$194,IF((B93&gt;=(Sheet1!D$148+$B$92)-1)," ",B93+1),NA())</f>
        <v xml:space="preserve"> </v>
      </c>
      <c r="C94" s="91" t="str">
        <f t="shared" si="3"/>
        <v xml:space="preserve"> </v>
      </c>
      <c r="D94" s="105"/>
      <c r="E94" s="105"/>
      <c r="F94" s="105"/>
      <c r="G94" s="105"/>
      <c r="H94" s="105"/>
      <c r="I94" s="105"/>
      <c r="J94" s="105"/>
      <c r="K94" s="105"/>
      <c r="L94" s="95">
        <f>IF(Sheet1!D$194,SUM(D94:K94),NA())</f>
        <v>0</v>
      </c>
    </row>
    <row r="95" spans="1:12" ht="13.2" hidden="1" x14ac:dyDescent="0.25">
      <c r="A95" s="90" t="str">
        <f>IF(Sheet1!D$194,IF((A94&gt;=(Sheet1!D$148+$A$92)-1)," ",A94+1),NA())</f>
        <v xml:space="preserve"> </v>
      </c>
      <c r="B95" s="90" t="str">
        <f>IF(Sheet1!D$194,IF((B94&gt;=(Sheet1!D$148+$B$92)-1)," ",B94+1),NA())</f>
        <v xml:space="preserve"> </v>
      </c>
      <c r="C95" s="91" t="str">
        <f t="shared" si="3"/>
        <v xml:space="preserve"> </v>
      </c>
      <c r="D95" s="105"/>
      <c r="E95" s="105"/>
      <c r="F95" s="105"/>
      <c r="G95" s="105"/>
      <c r="H95" s="105"/>
      <c r="I95" s="105"/>
      <c r="J95" s="105"/>
      <c r="K95" s="105"/>
      <c r="L95" s="95">
        <f>IF(Sheet1!D$194,SUM(D95:K95),NA())</f>
        <v>0</v>
      </c>
    </row>
    <row r="96" spans="1:12" ht="13.2" hidden="1" x14ac:dyDescent="0.25">
      <c r="A96" s="90" t="str">
        <f>IF(Sheet1!D$194,IF((A95&gt;=(Sheet1!D$148+$A$92)-1)," ",A95+1),NA())</f>
        <v xml:space="preserve"> </v>
      </c>
      <c r="B96" s="90" t="str">
        <f>IF(Sheet1!D$194,IF((B95&gt;=(Sheet1!D$148+$B$92)-1)," ",B95+1),NA())</f>
        <v xml:space="preserve"> </v>
      </c>
      <c r="C96" s="91" t="str">
        <f t="shared" si="3"/>
        <v xml:space="preserve"> </v>
      </c>
      <c r="D96" s="105"/>
      <c r="E96" s="105"/>
      <c r="F96" s="105"/>
      <c r="G96" s="105"/>
      <c r="H96" s="105"/>
      <c r="I96" s="105"/>
      <c r="J96" s="105"/>
      <c r="K96" s="105"/>
      <c r="L96" s="95">
        <f>IF(Sheet1!D$194,SUM(D96:K96),NA())</f>
        <v>0</v>
      </c>
    </row>
    <row r="97" spans="1:13" ht="13.2" hidden="1" x14ac:dyDescent="0.25">
      <c r="A97" s="90" t="str">
        <f>IF(Sheet1!D$194,IF((A96&gt;=(Sheet1!D$148+$A$92)-1)," ",A96+1),NA())</f>
        <v xml:space="preserve"> </v>
      </c>
      <c r="B97" s="90" t="str">
        <f>IF(Sheet1!D$194,IF((B96&gt;=(Sheet1!D$148+$B$92)-1)," ",B96+1),NA())</f>
        <v xml:space="preserve"> </v>
      </c>
      <c r="C97" s="91" t="str">
        <f t="shared" si="3"/>
        <v xml:space="preserve"> </v>
      </c>
      <c r="D97" s="105"/>
      <c r="E97" s="105"/>
      <c r="F97" s="105"/>
      <c r="G97" s="105"/>
      <c r="H97" s="105"/>
      <c r="I97" s="105"/>
      <c r="J97" s="105"/>
      <c r="K97" s="105"/>
      <c r="L97" s="95">
        <f>IF(Sheet1!D$194,SUM(D97:K97),NA())</f>
        <v>0</v>
      </c>
    </row>
    <row r="98" spans="1:13" ht="13.2" hidden="1" x14ac:dyDescent="0.25">
      <c r="A98" s="90" t="str">
        <f>IF(Sheet1!D$194,IF((A97&gt;=(Sheet1!D$148+$A$92)-1)," ",A97+1),NA())</f>
        <v xml:space="preserve"> </v>
      </c>
      <c r="B98" s="90" t="str">
        <f>IF(Sheet1!D$194,IF((B97&gt;=(Sheet1!D$148+$B$92)-1)," ",B97+1),NA())</f>
        <v xml:space="preserve"> </v>
      </c>
      <c r="C98" s="91" t="str">
        <f t="shared" si="3"/>
        <v xml:space="preserve"> </v>
      </c>
      <c r="D98" s="105"/>
      <c r="E98" s="105"/>
      <c r="F98" s="105"/>
      <c r="G98" s="105"/>
      <c r="H98" s="105"/>
      <c r="I98" s="105"/>
      <c r="J98" s="105"/>
      <c r="K98" s="105"/>
      <c r="L98" s="95">
        <f>IF(Sheet1!D$194,SUM(D98:K98),NA())</f>
        <v>0</v>
      </c>
    </row>
    <row r="99" spans="1:13" ht="13.8" hidden="1" thickTop="1" x14ac:dyDescent="0.25">
      <c r="A99" s="91" t="s">
        <v>261</v>
      </c>
      <c r="B99" s="96"/>
      <c r="C99" s="96"/>
      <c r="D99" s="97">
        <f>IF(Sheet1!D$194,SUM(D92:D98),NA())</f>
        <v>0</v>
      </c>
      <c r="E99" s="97">
        <f>IF(Sheet1!D$194,SUM(E92:E98),NA())</f>
        <v>0</v>
      </c>
      <c r="F99" s="97">
        <f>IF(Sheet1!D$194,SUM(F92:F98),NA())</f>
        <v>0</v>
      </c>
      <c r="G99" s="97">
        <f>IF(Sheet1!D$194,SUM(G92:G98),NA())</f>
        <v>0</v>
      </c>
      <c r="H99" s="97">
        <f>IF(Sheet1!D$194,SUM(H92:H98),NA())</f>
        <v>0</v>
      </c>
      <c r="I99" s="97">
        <f>IF(Sheet1!D$194,SUM(I92:I98),NA())</f>
        <v>0</v>
      </c>
      <c r="J99" s="97">
        <f>IF(Sheet1!D$194,SUM(J92:J98),NA())</f>
        <v>0</v>
      </c>
      <c r="K99" s="97">
        <f>IF(Sheet1!D$194,SUM(K92:K98),NA())</f>
        <v>0</v>
      </c>
      <c r="L99" s="95">
        <f>IF(Sheet1!D$194,SUM(L92:L98),NA())</f>
        <v>0</v>
      </c>
    </row>
    <row r="100" spans="1:13" ht="13.2" hidden="1" x14ac:dyDescent="0.25">
      <c r="A100" s="76"/>
      <c r="B100" s="77"/>
      <c r="C100" s="77"/>
      <c r="D100" s="138"/>
      <c r="E100" s="138"/>
      <c r="F100" s="138"/>
      <c r="G100" s="138"/>
      <c r="H100" s="138"/>
      <c r="I100" s="138"/>
      <c r="J100" s="138"/>
      <c r="K100" s="138"/>
      <c r="L100" s="138"/>
    </row>
    <row r="101" spans="1:13" ht="13.2" hidden="1" x14ac:dyDescent="0.25">
      <c r="A101" s="76"/>
      <c r="B101" s="77"/>
      <c r="C101" s="77"/>
      <c r="D101" s="138"/>
      <c r="E101" s="138"/>
      <c r="F101" s="138"/>
      <c r="G101" s="138"/>
      <c r="H101" s="138"/>
      <c r="I101" s="138"/>
      <c r="J101" s="138"/>
      <c r="K101" s="138"/>
      <c r="L101" s="138"/>
    </row>
    <row r="102" spans="1:13" ht="13.2" x14ac:dyDescent="0.25">
      <c r="A102" s="76"/>
      <c r="B102" s="77"/>
      <c r="C102" s="77"/>
      <c r="D102" s="138"/>
      <c r="E102" s="138"/>
      <c r="F102" s="138"/>
      <c r="G102" s="138"/>
      <c r="H102" s="138"/>
      <c r="I102" s="138"/>
      <c r="J102" s="138"/>
      <c r="K102" s="138"/>
      <c r="L102" s="138"/>
    </row>
    <row r="103" spans="1:13" ht="13.2" x14ac:dyDescent="0.25">
      <c r="A103" s="79" t="s">
        <v>225</v>
      </c>
      <c r="B103" s="70"/>
      <c r="C103" s="70"/>
      <c r="D103" s="80"/>
      <c r="E103" s="80"/>
      <c r="F103" s="80"/>
      <c r="G103" s="80"/>
      <c r="H103" s="80"/>
      <c r="I103" s="80"/>
      <c r="J103" s="80"/>
      <c r="K103" s="80"/>
    </row>
    <row r="104" spans="1:13" ht="13.2" x14ac:dyDescent="0.25">
      <c r="A104" s="81" t="s">
        <v>273</v>
      </c>
      <c r="B104" s="70"/>
      <c r="C104" s="70"/>
      <c r="D104" s="80"/>
      <c r="E104" s="80"/>
      <c r="F104" s="80"/>
      <c r="G104" s="80"/>
      <c r="H104" s="80"/>
      <c r="I104" s="80"/>
      <c r="J104" s="80"/>
      <c r="K104" s="80"/>
    </row>
    <row r="105" spans="1:13" ht="16.5" customHeight="1" x14ac:dyDescent="0.25">
      <c r="A105" s="82" t="s">
        <v>274</v>
      </c>
      <c r="B105" s="83"/>
      <c r="C105" s="83"/>
      <c r="D105" s="80"/>
      <c r="E105" s="80"/>
      <c r="F105" s="80"/>
      <c r="G105" s="80"/>
      <c r="H105" s="80"/>
      <c r="I105" s="80"/>
      <c r="J105" s="80"/>
      <c r="K105" s="80"/>
    </row>
    <row r="106" spans="1:13" ht="16.5" customHeight="1" x14ac:dyDescent="0.25">
      <c r="A106" s="157" t="s">
        <v>275</v>
      </c>
      <c r="B106" s="158"/>
      <c r="C106" s="83"/>
      <c r="D106" s="80"/>
      <c r="E106" s="80"/>
      <c r="F106" s="80"/>
      <c r="G106" s="80"/>
      <c r="H106" s="80"/>
      <c r="I106" s="80"/>
      <c r="J106" s="80"/>
      <c r="K106" s="80"/>
    </row>
    <row r="107" spans="1:13" ht="3" customHeight="1" x14ac:dyDescent="0.25">
      <c r="A107" s="84"/>
      <c r="B107" s="77"/>
      <c r="C107" s="77"/>
      <c r="D107" s="80"/>
      <c r="E107" s="80"/>
      <c r="F107" s="80"/>
      <c r="G107" s="80"/>
      <c r="H107" s="80"/>
      <c r="I107" s="80"/>
      <c r="J107" s="80"/>
      <c r="K107" s="80"/>
    </row>
    <row r="108" spans="1:13" ht="3" customHeight="1" thickBot="1" x14ac:dyDescent="0.3">
      <c r="A108" s="84"/>
      <c r="B108" s="77"/>
      <c r="C108" s="77"/>
      <c r="D108" s="80"/>
      <c r="E108" s="80"/>
      <c r="F108" s="80"/>
      <c r="G108" s="80"/>
      <c r="H108" s="80"/>
      <c r="I108" s="80"/>
      <c r="J108" s="80"/>
      <c r="K108" s="80"/>
    </row>
    <row r="109" spans="1:13" ht="33" customHeight="1" thickTop="1" x14ac:dyDescent="0.25">
      <c r="A109" s="85" t="s">
        <v>229</v>
      </c>
      <c r="B109" s="85" t="s">
        <v>230</v>
      </c>
      <c r="C109" s="86" t="s">
        <v>231</v>
      </c>
      <c r="D109" s="87"/>
      <c r="E109" s="87"/>
      <c r="F109" s="87"/>
      <c r="G109" s="87"/>
      <c r="H109" s="87"/>
      <c r="I109" s="87"/>
      <c r="J109" s="87"/>
      <c r="K109" s="87"/>
      <c r="L109" s="88" t="s">
        <v>258</v>
      </c>
      <c r="M109" s="89" t="s">
        <v>276</v>
      </c>
    </row>
    <row r="110" spans="1:13" ht="13.2" x14ac:dyDescent="0.25">
      <c r="A110" s="90">
        <f>IF(Sheet1!D$194,VLOOKUP(1,Sheet1!A148:B197,2),NA())</f>
        <v>1</v>
      </c>
      <c r="B110" s="90">
        <f>IF(Sheet1!D$194,VLOOKUP(Sheet1!D$86,Sheet1!A80:B147,2),NA())</f>
        <v>2024</v>
      </c>
      <c r="C110" s="91" t="str">
        <f t="shared" ref="C110:C159" si="4">IF(AND(OR(A110=" ",A110="#NA"),OR(D110&lt;&gt;0,E110&lt;&gt;0,F110&lt;&gt;0,G110&lt;&gt;0,H110&lt;&gt;0,I110&lt;&gt;0,J110&lt;&gt;0,K110&lt;&gt;0)),"Clear=&gt;"," ")</f>
        <v xml:space="preserve"> </v>
      </c>
      <c r="D110" s="92"/>
      <c r="E110" s="92"/>
      <c r="F110" s="92"/>
      <c r="G110" s="92"/>
      <c r="H110" s="92"/>
      <c r="I110" s="92"/>
      <c r="J110" s="92"/>
      <c r="K110" s="92"/>
      <c r="L110" s="95">
        <f>IF(Sheet1!D$194,SUM(D110:K110),NA())</f>
        <v>0</v>
      </c>
      <c r="M110" s="94" t="e">
        <f>IF(Sheet1!D$194,SUM(D191:K191),NA())</f>
        <v>#VALUE!</v>
      </c>
    </row>
    <row r="111" spans="1:13" ht="13.2" x14ac:dyDescent="0.25">
      <c r="A111" s="90" t="str">
        <f>IF(Sheet1!D$194,IF((A110&gt;=(Sheet1!D$148+$A$110)-1)," ",A110+1),NA())</f>
        <v xml:space="preserve"> </v>
      </c>
      <c r="B111" s="90" t="str">
        <f>IF(Sheet1!D$194,IF((B110&gt;=(Sheet1!D$148+$B$110)-1)," ",B110+1),NA())</f>
        <v xml:space="preserve"> </v>
      </c>
      <c r="C111" s="91" t="str">
        <f t="shared" si="4"/>
        <v xml:space="preserve"> </v>
      </c>
      <c r="D111" s="92"/>
      <c r="E111" s="92"/>
      <c r="F111" s="92"/>
      <c r="G111" s="92"/>
      <c r="H111" s="92"/>
      <c r="I111" s="92"/>
      <c r="J111" s="92"/>
      <c r="K111" s="92"/>
      <c r="L111" s="95">
        <f>IF(Sheet1!D$194,SUM(D111:K111),NA())</f>
        <v>0</v>
      </c>
      <c r="M111" s="94" t="e">
        <f>IF(Sheet1!D$194,SUM(D192:K192),NA())</f>
        <v>#VALUE!</v>
      </c>
    </row>
    <row r="112" spans="1:13" ht="13.2" x14ac:dyDescent="0.25">
      <c r="A112" s="90" t="str">
        <f>IF(Sheet1!D$194,IF((A111&gt;=(Sheet1!D$148+$A$110)-1)," ",A111+1),NA())</f>
        <v xml:space="preserve"> </v>
      </c>
      <c r="B112" s="90" t="str">
        <f>IF(Sheet1!D$194,IF((B111&gt;=(Sheet1!D$148+$B$110)-1)," ",B111+1),NA())</f>
        <v xml:space="preserve"> </v>
      </c>
      <c r="C112" s="91" t="str">
        <f t="shared" si="4"/>
        <v xml:space="preserve"> </v>
      </c>
      <c r="D112" s="92"/>
      <c r="E112" s="92"/>
      <c r="F112" s="92"/>
      <c r="G112" s="92"/>
      <c r="H112" s="92"/>
      <c r="I112" s="92"/>
      <c r="J112" s="92"/>
      <c r="K112" s="92"/>
      <c r="L112" s="95">
        <f>IF(Sheet1!D$194,SUM(D112:K112),NA())</f>
        <v>0</v>
      </c>
      <c r="M112" s="94" t="e">
        <f>IF(Sheet1!D$194,SUM(D193:K193),NA())</f>
        <v>#VALUE!</v>
      </c>
    </row>
    <row r="113" spans="1:13" ht="13.2" x14ac:dyDescent="0.25">
      <c r="A113" s="90" t="str">
        <f>IF(Sheet1!D$194,IF((A112&gt;=(Sheet1!D$148+$A$110)-1)," ",A112+1),NA())</f>
        <v xml:space="preserve"> </v>
      </c>
      <c r="B113" s="90" t="str">
        <f>IF(Sheet1!D$194,IF((B112&gt;=(Sheet1!D$148+$B$110)-1)," ",B112+1),NA())</f>
        <v xml:space="preserve"> </v>
      </c>
      <c r="C113" s="91" t="str">
        <f t="shared" si="4"/>
        <v xml:space="preserve"> </v>
      </c>
      <c r="D113" s="92"/>
      <c r="E113" s="92"/>
      <c r="F113" s="92"/>
      <c r="G113" s="92"/>
      <c r="H113" s="92"/>
      <c r="I113" s="92"/>
      <c r="J113" s="92"/>
      <c r="K113" s="92"/>
      <c r="L113" s="95">
        <f>IF(Sheet1!D$194,SUM(D113:K113),NA())</f>
        <v>0</v>
      </c>
      <c r="M113" s="94" t="e">
        <f>IF(Sheet1!D$194,SUM(D194:K194),NA())</f>
        <v>#VALUE!</v>
      </c>
    </row>
    <row r="114" spans="1:13" ht="13.2" x14ac:dyDescent="0.25">
      <c r="A114" s="90" t="str">
        <f>IF(Sheet1!D$194,IF((A113&gt;=(Sheet1!D$148+$A$110)-1)," ",A113+1),NA())</f>
        <v xml:space="preserve"> </v>
      </c>
      <c r="B114" s="90" t="str">
        <f>IF(Sheet1!D$194,IF((B113&gt;=(Sheet1!D$148+$B$110)-1)," ",B113+1),NA())</f>
        <v xml:space="preserve"> </v>
      </c>
      <c r="C114" s="91" t="str">
        <f t="shared" si="4"/>
        <v xml:space="preserve"> </v>
      </c>
      <c r="D114" s="92"/>
      <c r="E114" s="92"/>
      <c r="F114" s="92"/>
      <c r="G114" s="92"/>
      <c r="H114" s="92"/>
      <c r="I114" s="92"/>
      <c r="J114" s="92"/>
      <c r="K114" s="92"/>
      <c r="L114" s="95">
        <f>IF(Sheet1!D$194,SUM(D114:K114),NA())</f>
        <v>0</v>
      </c>
      <c r="M114" s="94" t="e">
        <f>IF(Sheet1!D$194,SUM(D195:K195),NA())</f>
        <v>#VALUE!</v>
      </c>
    </row>
    <row r="115" spans="1:13" ht="13.2" x14ac:dyDescent="0.25">
      <c r="A115" s="90" t="str">
        <f>IF(Sheet1!D$194,IF((A114&gt;=(Sheet1!D$148+$A$110)-1)," ",A114+1),NA())</f>
        <v xml:space="preserve"> </v>
      </c>
      <c r="B115" s="90" t="str">
        <f>IF(Sheet1!D$194,IF((B114&gt;=(Sheet1!D$148+$B$110)-1)," ",B114+1),NA())</f>
        <v xml:space="preserve"> </v>
      </c>
      <c r="C115" s="91" t="str">
        <f t="shared" si="4"/>
        <v xml:space="preserve"> </v>
      </c>
      <c r="D115" s="92"/>
      <c r="E115" s="92"/>
      <c r="F115" s="92"/>
      <c r="G115" s="92"/>
      <c r="H115" s="92"/>
      <c r="I115" s="92"/>
      <c r="J115" s="92"/>
      <c r="K115" s="92"/>
      <c r="L115" s="95">
        <f>IF(Sheet1!D$194,SUM(D115:K115),NA())</f>
        <v>0</v>
      </c>
      <c r="M115" s="94" t="e">
        <f>IF(Sheet1!D$194,SUM(D196:K196),NA())</f>
        <v>#VALUE!</v>
      </c>
    </row>
    <row r="116" spans="1:13" ht="13.2" x14ac:dyDescent="0.25">
      <c r="A116" s="90" t="str">
        <f>IF(Sheet1!D$194,IF((A115&gt;=(Sheet1!D$148+$A$110)-1)," ",A115+1),NA())</f>
        <v xml:space="preserve"> </v>
      </c>
      <c r="B116" s="90" t="str">
        <f>IF(Sheet1!D$194,IF((B115&gt;=(Sheet1!D$148+$B$110)-1)," ",B115+1),NA())</f>
        <v xml:space="preserve"> </v>
      </c>
      <c r="C116" s="91" t="str">
        <f t="shared" si="4"/>
        <v xml:space="preserve"> </v>
      </c>
      <c r="D116" s="92"/>
      <c r="E116" s="92"/>
      <c r="F116" s="92"/>
      <c r="G116" s="92"/>
      <c r="H116" s="92"/>
      <c r="I116" s="92"/>
      <c r="J116" s="92"/>
      <c r="K116" s="92"/>
      <c r="L116" s="95">
        <f>IF(Sheet1!D$194,SUM(D116:K116),NA())</f>
        <v>0</v>
      </c>
      <c r="M116" s="94" t="e">
        <f>IF(Sheet1!D$194,SUM(D197:K197),NA())</f>
        <v>#VALUE!</v>
      </c>
    </row>
    <row r="117" spans="1:13" ht="13.2" x14ac:dyDescent="0.25">
      <c r="A117" s="90" t="str">
        <f>IF(Sheet1!D$194,IF((A116&gt;=(Sheet1!D$148+$A$110)-1)," ",A116+1),NA())</f>
        <v xml:space="preserve"> </v>
      </c>
      <c r="B117" s="90" t="str">
        <f>IF(Sheet1!D$194,IF((B116&gt;=(Sheet1!D$148+$B$110)-1)," ",B116+1),NA())</f>
        <v xml:space="preserve"> </v>
      </c>
      <c r="C117" s="91" t="str">
        <f t="shared" si="4"/>
        <v xml:space="preserve"> </v>
      </c>
      <c r="D117" s="92"/>
      <c r="E117" s="92"/>
      <c r="F117" s="92"/>
      <c r="G117" s="92"/>
      <c r="H117" s="92"/>
      <c r="I117" s="92"/>
      <c r="J117" s="92"/>
      <c r="K117" s="92"/>
      <c r="L117" s="95">
        <f>IF(Sheet1!D$194,SUM(D117:K117),NA())</f>
        <v>0</v>
      </c>
      <c r="M117" s="94" t="e">
        <f>IF(Sheet1!D$194,SUM(D198:K198),NA())</f>
        <v>#VALUE!</v>
      </c>
    </row>
    <row r="118" spans="1:13" ht="13.2" x14ac:dyDescent="0.25">
      <c r="A118" s="90" t="str">
        <f>IF(Sheet1!D$194,IF((A117&gt;=(Sheet1!D$148+$A$110)-1)," ",A117+1),NA())</f>
        <v xml:space="preserve"> </v>
      </c>
      <c r="B118" s="90" t="str">
        <f>IF(Sheet1!D$194,IF((B117&gt;=(Sheet1!D$148+$B$110)-1)," ",B117+1),NA())</f>
        <v xml:space="preserve"> </v>
      </c>
      <c r="C118" s="91" t="str">
        <f t="shared" si="4"/>
        <v xml:space="preserve"> </v>
      </c>
      <c r="D118" s="92"/>
      <c r="E118" s="92"/>
      <c r="F118" s="92"/>
      <c r="G118" s="92"/>
      <c r="H118" s="92"/>
      <c r="I118" s="92"/>
      <c r="J118" s="92"/>
      <c r="K118" s="92"/>
      <c r="L118" s="95">
        <f>IF(Sheet1!D$194,SUM(D118:K118),NA())</f>
        <v>0</v>
      </c>
      <c r="M118" s="94" t="e">
        <f>IF(Sheet1!D$194,SUM(D199:K199),NA())</f>
        <v>#VALUE!</v>
      </c>
    </row>
    <row r="119" spans="1:13" ht="13.2" x14ac:dyDescent="0.25">
      <c r="A119" s="90" t="str">
        <f>IF(Sheet1!D$194,IF((A118&gt;=(Sheet1!D$148+$A$110)-1)," ",A118+1),NA())</f>
        <v xml:space="preserve"> </v>
      </c>
      <c r="B119" s="90" t="str">
        <f>IF(Sheet1!D$194,IF((B118&gt;=(Sheet1!D$148+$B$110)-1)," ",B118+1),NA())</f>
        <v xml:space="preserve"> </v>
      </c>
      <c r="C119" s="91" t="str">
        <f t="shared" si="4"/>
        <v xml:space="preserve"> </v>
      </c>
      <c r="D119" s="92"/>
      <c r="E119" s="92"/>
      <c r="F119" s="92"/>
      <c r="G119" s="92"/>
      <c r="H119" s="92"/>
      <c r="I119" s="92"/>
      <c r="J119" s="92"/>
      <c r="K119" s="92"/>
      <c r="L119" s="95">
        <f>IF(Sheet1!D$194,SUM(D119:K119),NA())</f>
        <v>0</v>
      </c>
      <c r="M119" s="94" t="e">
        <f>IF(Sheet1!D$194,SUM(D200:K200),NA())</f>
        <v>#VALUE!</v>
      </c>
    </row>
    <row r="120" spans="1:13" ht="13.2" x14ac:dyDescent="0.25">
      <c r="A120" s="90" t="str">
        <f>IF(Sheet1!D$194,IF((A119&gt;=(Sheet1!D$148+$A$110)-1)," ",A119+1),NA())</f>
        <v xml:space="preserve"> </v>
      </c>
      <c r="B120" s="90" t="str">
        <f>IF(Sheet1!D$194,IF((B119&gt;=(Sheet1!D$148+$B$110)-1)," ",B119+1),NA())</f>
        <v xml:space="preserve"> </v>
      </c>
      <c r="C120" s="91" t="str">
        <f t="shared" si="4"/>
        <v xml:space="preserve"> </v>
      </c>
      <c r="D120" s="92"/>
      <c r="E120" s="92"/>
      <c r="F120" s="92"/>
      <c r="G120" s="92"/>
      <c r="H120" s="92"/>
      <c r="I120" s="92"/>
      <c r="J120" s="92"/>
      <c r="K120" s="92"/>
      <c r="L120" s="95">
        <f>IF(Sheet1!D$194,SUM(D120:K120),NA())</f>
        <v>0</v>
      </c>
      <c r="M120" s="94" t="e">
        <f>IF(Sheet1!D$194,SUM(D201:K201),NA())</f>
        <v>#VALUE!</v>
      </c>
    </row>
    <row r="121" spans="1:13" ht="13.2" x14ac:dyDescent="0.25">
      <c r="A121" s="90" t="str">
        <f>IF(Sheet1!D$194,IF((A120&gt;=(Sheet1!D$148+$A$110)-1)," ",A120+1),NA())</f>
        <v xml:space="preserve"> </v>
      </c>
      <c r="B121" s="90" t="str">
        <f>IF(Sheet1!D$194,IF((B120&gt;=(Sheet1!D$148+$B$110)-1)," ",B120+1),NA())</f>
        <v xml:space="preserve"> </v>
      </c>
      <c r="C121" s="91" t="str">
        <f t="shared" si="4"/>
        <v xml:space="preserve"> </v>
      </c>
      <c r="D121" s="92"/>
      <c r="E121" s="92"/>
      <c r="F121" s="92"/>
      <c r="G121" s="92"/>
      <c r="H121" s="92"/>
      <c r="I121" s="92"/>
      <c r="J121" s="92"/>
      <c r="K121" s="92"/>
      <c r="L121" s="95">
        <f>IF(Sheet1!D$194,SUM(D121:K121),NA())</f>
        <v>0</v>
      </c>
      <c r="M121" s="94" t="e">
        <f>IF(Sheet1!D$194,SUM(D202:K202),NA())</f>
        <v>#VALUE!</v>
      </c>
    </row>
    <row r="122" spans="1:13" ht="13.2" x14ac:dyDescent="0.25">
      <c r="A122" s="90" t="str">
        <f>IF(Sheet1!D$194,IF((A121&gt;=(Sheet1!D$148+$A$110)-1)," ",A121+1),NA())</f>
        <v xml:space="preserve"> </v>
      </c>
      <c r="B122" s="90" t="str">
        <f>IF(Sheet1!D$194,IF((B121&gt;=(Sheet1!D$148+$B$110)-1)," ",B121+1),NA())</f>
        <v xml:space="preserve"> </v>
      </c>
      <c r="C122" s="91" t="str">
        <f t="shared" si="4"/>
        <v xml:space="preserve"> </v>
      </c>
      <c r="D122" s="92"/>
      <c r="E122" s="92"/>
      <c r="F122" s="92"/>
      <c r="G122" s="92"/>
      <c r="H122" s="92"/>
      <c r="I122" s="92"/>
      <c r="J122" s="92"/>
      <c r="K122" s="92"/>
      <c r="L122" s="95">
        <f>IF(Sheet1!D$194,SUM(D122:K122),NA())</f>
        <v>0</v>
      </c>
      <c r="M122" s="94" t="e">
        <f>IF(Sheet1!D$194,SUM(D203:K203),NA())</f>
        <v>#VALUE!</v>
      </c>
    </row>
    <row r="123" spans="1:13" ht="13.2" x14ac:dyDescent="0.25">
      <c r="A123" s="90" t="str">
        <f>IF(Sheet1!D$194,IF((A122&gt;=(Sheet1!D$148+$A$110)-1)," ",A122+1),NA())</f>
        <v xml:space="preserve"> </v>
      </c>
      <c r="B123" s="90" t="str">
        <f>IF(Sheet1!D$194,IF((B122&gt;=(Sheet1!D$148+$B$110)-1)," ",B122+1),NA())</f>
        <v xml:space="preserve"> </v>
      </c>
      <c r="C123" s="91" t="str">
        <f t="shared" si="4"/>
        <v xml:space="preserve"> </v>
      </c>
      <c r="D123" s="92"/>
      <c r="E123" s="92"/>
      <c r="F123" s="92"/>
      <c r="G123" s="92"/>
      <c r="H123" s="92"/>
      <c r="I123" s="92"/>
      <c r="J123" s="92"/>
      <c r="K123" s="92"/>
      <c r="L123" s="95">
        <f>IF(Sheet1!D$194,SUM(D123:K123),NA())</f>
        <v>0</v>
      </c>
      <c r="M123" s="94" t="e">
        <f>IF(Sheet1!D$194,SUM(D204:K204),NA())</f>
        <v>#VALUE!</v>
      </c>
    </row>
    <row r="124" spans="1:13" ht="13.2" x14ac:dyDescent="0.25">
      <c r="A124" s="90" t="str">
        <f>IF(Sheet1!D$194,IF((A123&gt;=(Sheet1!D$148+$A$110)-1)," ",A123+1),NA())</f>
        <v xml:space="preserve"> </v>
      </c>
      <c r="B124" s="90" t="str">
        <f>IF(Sheet1!D$194,IF((B123&gt;=(Sheet1!D$148+$B$110)-1)," ",B123+1),NA())</f>
        <v xml:space="preserve"> </v>
      </c>
      <c r="C124" s="91" t="str">
        <f t="shared" si="4"/>
        <v xml:space="preserve"> </v>
      </c>
      <c r="D124" s="92"/>
      <c r="E124" s="92"/>
      <c r="F124" s="92"/>
      <c r="G124" s="92"/>
      <c r="H124" s="92"/>
      <c r="I124" s="92"/>
      <c r="J124" s="92"/>
      <c r="K124" s="92"/>
      <c r="L124" s="95">
        <f>IF(Sheet1!D$194,SUM(D124:K124),NA())</f>
        <v>0</v>
      </c>
      <c r="M124" s="94" t="e">
        <f>IF(Sheet1!D$194,SUM(D205:K205),NA())</f>
        <v>#VALUE!</v>
      </c>
    </row>
    <row r="125" spans="1:13" ht="13.2" x14ac:dyDescent="0.25">
      <c r="A125" s="90" t="str">
        <f>IF(Sheet1!D$194,IF((A124&gt;=(Sheet1!D$148+$A$110)-1)," ",A124+1),NA())</f>
        <v xml:space="preserve"> </v>
      </c>
      <c r="B125" s="90" t="str">
        <f>IF(Sheet1!D$194,IF((B124&gt;=(Sheet1!D$148+$B$110)-1)," ",B124+1),NA())</f>
        <v xml:space="preserve"> </v>
      </c>
      <c r="C125" s="91" t="str">
        <f t="shared" si="4"/>
        <v xml:space="preserve"> </v>
      </c>
      <c r="D125" s="92"/>
      <c r="E125" s="92"/>
      <c r="F125" s="92"/>
      <c r="G125" s="92"/>
      <c r="H125" s="92"/>
      <c r="I125" s="92"/>
      <c r="J125" s="92"/>
      <c r="K125" s="92"/>
      <c r="L125" s="95">
        <f>IF(Sheet1!D$194,SUM(D125:K125),NA())</f>
        <v>0</v>
      </c>
      <c r="M125" s="94" t="e">
        <f>IF(Sheet1!D$194,SUM(D206:K206),NA())</f>
        <v>#VALUE!</v>
      </c>
    </row>
    <row r="126" spans="1:13" ht="13.2" x14ac:dyDescent="0.25">
      <c r="A126" s="90" t="str">
        <f>IF(Sheet1!D$194,IF((A125&gt;=(Sheet1!D$148+$A$110)-1)," ",A125+1),NA())</f>
        <v xml:space="preserve"> </v>
      </c>
      <c r="B126" s="90" t="str">
        <f>IF(Sheet1!D$194,IF((B125&gt;=(Sheet1!D$148+$B$110)-1)," ",B125+1),NA())</f>
        <v xml:space="preserve"> </v>
      </c>
      <c r="C126" s="91" t="str">
        <f t="shared" si="4"/>
        <v xml:space="preserve"> </v>
      </c>
      <c r="D126" s="92"/>
      <c r="E126" s="92"/>
      <c r="F126" s="92"/>
      <c r="G126" s="92"/>
      <c r="H126" s="92"/>
      <c r="I126" s="92"/>
      <c r="J126" s="92"/>
      <c r="K126" s="92"/>
      <c r="L126" s="95">
        <f>IF(Sheet1!D$194,SUM(D126:K126),NA())</f>
        <v>0</v>
      </c>
      <c r="M126" s="94" t="e">
        <f>IF(Sheet1!D$194,SUM(D207:K207),NA())</f>
        <v>#VALUE!</v>
      </c>
    </row>
    <row r="127" spans="1:13" ht="13.2" x14ac:dyDescent="0.25">
      <c r="A127" s="90" t="str">
        <f>IF(Sheet1!D$194,IF((A126&gt;=(Sheet1!D$148+$A$110)-1)," ",A126+1),NA())</f>
        <v xml:space="preserve"> </v>
      </c>
      <c r="B127" s="90" t="str">
        <f>IF(Sheet1!D$194,IF((B126&gt;=(Sheet1!D$148+$B$110)-1)," ",B126+1),NA())</f>
        <v xml:space="preserve"> </v>
      </c>
      <c r="C127" s="91" t="str">
        <f t="shared" si="4"/>
        <v xml:space="preserve"> </v>
      </c>
      <c r="D127" s="92"/>
      <c r="E127" s="92"/>
      <c r="F127" s="92"/>
      <c r="G127" s="92"/>
      <c r="H127" s="92"/>
      <c r="I127" s="92"/>
      <c r="J127" s="92"/>
      <c r="K127" s="92"/>
      <c r="L127" s="95">
        <f>IF(Sheet1!D$194,SUM(D127:K127),NA())</f>
        <v>0</v>
      </c>
      <c r="M127" s="94" t="e">
        <f>IF(Sheet1!D$194,SUM(D208:K208),NA())</f>
        <v>#VALUE!</v>
      </c>
    </row>
    <row r="128" spans="1:13" ht="13.2" x14ac:dyDescent="0.25">
      <c r="A128" s="90" t="str">
        <f>IF(Sheet1!D$194,IF((A127&gt;=(Sheet1!D$148+$A$110)-1)," ",A127+1),NA())</f>
        <v xml:space="preserve"> </v>
      </c>
      <c r="B128" s="90" t="str">
        <f>IF(Sheet1!D$194,IF((B127&gt;=(Sheet1!D$148+$B$110)-1)," ",B127+1),NA())</f>
        <v xml:space="preserve"> </v>
      </c>
      <c r="C128" s="91" t="str">
        <f t="shared" si="4"/>
        <v xml:space="preserve"> </v>
      </c>
      <c r="D128" s="92"/>
      <c r="E128" s="92"/>
      <c r="F128" s="92"/>
      <c r="G128" s="92"/>
      <c r="H128" s="92"/>
      <c r="I128" s="92"/>
      <c r="J128" s="92"/>
      <c r="K128" s="92"/>
      <c r="L128" s="95">
        <f>IF(Sheet1!D$194,SUM(D128:K128),NA())</f>
        <v>0</v>
      </c>
      <c r="M128" s="94" t="e">
        <f>IF(Sheet1!D$194,SUM(D209:K209),NA())</f>
        <v>#VALUE!</v>
      </c>
    </row>
    <row r="129" spans="1:13" ht="13.2" x14ac:dyDescent="0.25">
      <c r="A129" s="90" t="str">
        <f>IF(Sheet1!D$194,IF((A128&gt;=(Sheet1!D$148+$A$110)-1)," ",A128+1),NA())</f>
        <v xml:space="preserve"> </v>
      </c>
      <c r="B129" s="90" t="str">
        <f>IF(Sheet1!D$194,IF((B128&gt;=(Sheet1!D$148+$B$110)-1)," ",B128+1),NA())</f>
        <v xml:space="preserve"> </v>
      </c>
      <c r="C129" s="91" t="str">
        <f t="shared" si="4"/>
        <v xml:space="preserve"> </v>
      </c>
      <c r="D129" s="92"/>
      <c r="E129" s="92"/>
      <c r="F129" s="92"/>
      <c r="G129" s="92"/>
      <c r="H129" s="92"/>
      <c r="I129" s="92"/>
      <c r="J129" s="92"/>
      <c r="K129" s="92"/>
      <c r="L129" s="95">
        <f>IF(Sheet1!D$194,SUM(D129:K129),NA())</f>
        <v>0</v>
      </c>
      <c r="M129" s="94" t="e">
        <f>IF(Sheet1!D$194,SUM(D210:K210),NA())</f>
        <v>#VALUE!</v>
      </c>
    </row>
    <row r="130" spans="1:13" ht="13.2" x14ac:dyDescent="0.25">
      <c r="A130" s="90" t="str">
        <f>IF(Sheet1!D$194,IF((A129&gt;=(Sheet1!D$148+$A$110)-1)," ",A129+1),NA())</f>
        <v xml:space="preserve"> </v>
      </c>
      <c r="B130" s="90" t="str">
        <f>IF(Sheet1!D$194,IF((B129&gt;=(Sheet1!D$148+$B$110)-1)," ",B129+1),NA())</f>
        <v xml:space="preserve"> </v>
      </c>
      <c r="C130" s="91" t="str">
        <f t="shared" si="4"/>
        <v xml:space="preserve"> </v>
      </c>
      <c r="D130" s="92"/>
      <c r="E130" s="92"/>
      <c r="F130" s="92"/>
      <c r="G130" s="92"/>
      <c r="H130" s="92"/>
      <c r="I130" s="92"/>
      <c r="J130" s="92"/>
      <c r="K130" s="92"/>
      <c r="L130" s="95">
        <f>IF(Sheet1!D$194,SUM(D130:K130),NA())</f>
        <v>0</v>
      </c>
      <c r="M130" s="94" t="e">
        <f>IF(Sheet1!D$194,SUM(D211:K211),NA())</f>
        <v>#VALUE!</v>
      </c>
    </row>
    <row r="131" spans="1:13" ht="13.2" x14ac:dyDescent="0.25">
      <c r="A131" s="90" t="str">
        <f>IF(Sheet1!D$194,IF((A130&gt;=(Sheet1!D$148+$A$110)-1)," ",A130+1),NA())</f>
        <v xml:space="preserve"> </v>
      </c>
      <c r="B131" s="90" t="str">
        <f>IF(Sheet1!D$194,IF((B130&gt;=(Sheet1!D$148+$B$110)-1)," ",B130+1),NA())</f>
        <v xml:space="preserve"> </v>
      </c>
      <c r="C131" s="91" t="str">
        <f t="shared" si="4"/>
        <v xml:space="preserve"> </v>
      </c>
      <c r="D131" s="92"/>
      <c r="E131" s="92"/>
      <c r="F131" s="92"/>
      <c r="G131" s="92"/>
      <c r="H131" s="92"/>
      <c r="I131" s="92"/>
      <c r="J131" s="92"/>
      <c r="K131" s="92"/>
      <c r="L131" s="95">
        <f>IF(Sheet1!D$194,SUM(D131:K131),NA())</f>
        <v>0</v>
      </c>
      <c r="M131" s="94" t="e">
        <f>IF(Sheet1!D$194,SUM(D212:K212),NA())</f>
        <v>#VALUE!</v>
      </c>
    </row>
    <row r="132" spans="1:13" ht="13.2" x14ac:dyDescent="0.25">
      <c r="A132" s="90" t="str">
        <f>IF(Sheet1!D$194,IF((A131&gt;=(Sheet1!D$148+$A$110)-1)," ",A131+1),NA())</f>
        <v xml:space="preserve"> </v>
      </c>
      <c r="B132" s="90" t="str">
        <f>IF(Sheet1!D$194,IF((B131&gt;=(Sheet1!D$148+$B$110)-1)," ",B131+1),NA())</f>
        <v xml:space="preserve"> </v>
      </c>
      <c r="C132" s="91" t="str">
        <f t="shared" si="4"/>
        <v xml:space="preserve"> </v>
      </c>
      <c r="D132" s="92"/>
      <c r="E132" s="92"/>
      <c r="F132" s="92"/>
      <c r="G132" s="92"/>
      <c r="H132" s="92"/>
      <c r="I132" s="92"/>
      <c r="J132" s="92"/>
      <c r="K132" s="92"/>
      <c r="L132" s="95">
        <f>IF(Sheet1!D$194,SUM(D132:K132),NA())</f>
        <v>0</v>
      </c>
      <c r="M132" s="94" t="e">
        <f>IF(Sheet1!D$194,SUM(D213:K213),NA())</f>
        <v>#VALUE!</v>
      </c>
    </row>
    <row r="133" spans="1:13" ht="13.2" x14ac:dyDescent="0.25">
      <c r="A133" s="90" t="str">
        <f>IF(Sheet1!D$194,IF((A132&gt;=(Sheet1!D$148+$A$110)-1)," ",A132+1),NA())</f>
        <v xml:space="preserve"> </v>
      </c>
      <c r="B133" s="90" t="str">
        <f>IF(Sheet1!D$194,IF((B132&gt;=(Sheet1!D$148+$B$110)-1)," ",B132+1),NA())</f>
        <v xml:space="preserve"> </v>
      </c>
      <c r="C133" s="91" t="str">
        <f t="shared" si="4"/>
        <v xml:space="preserve"> </v>
      </c>
      <c r="D133" s="92"/>
      <c r="E133" s="92"/>
      <c r="F133" s="92"/>
      <c r="G133" s="92"/>
      <c r="H133" s="92"/>
      <c r="I133" s="92"/>
      <c r="J133" s="92"/>
      <c r="K133" s="92"/>
      <c r="L133" s="95">
        <f>IF(Sheet1!D$194,SUM(D133:K133),NA())</f>
        <v>0</v>
      </c>
      <c r="M133" s="94" t="e">
        <f>IF(Sheet1!D$194,SUM(D214:K214),NA())</f>
        <v>#VALUE!</v>
      </c>
    </row>
    <row r="134" spans="1:13" ht="13.2" x14ac:dyDescent="0.25">
      <c r="A134" s="90" t="str">
        <f>IF(Sheet1!D$194,IF((A133&gt;=(Sheet1!D$148+$A$110)-1)," ",A133+1),NA())</f>
        <v xml:space="preserve"> </v>
      </c>
      <c r="B134" s="90" t="str">
        <f>IF(Sheet1!D$194,IF((B133&gt;=(Sheet1!D$148+$B$110)-1)," ",B133+1),NA())</f>
        <v xml:space="preserve"> </v>
      </c>
      <c r="C134" s="91" t="str">
        <f t="shared" si="4"/>
        <v xml:space="preserve"> </v>
      </c>
      <c r="D134" s="92"/>
      <c r="E134" s="92"/>
      <c r="F134" s="92"/>
      <c r="G134" s="92"/>
      <c r="H134" s="92"/>
      <c r="I134" s="92"/>
      <c r="J134" s="92"/>
      <c r="K134" s="92"/>
      <c r="L134" s="95">
        <f>IF(Sheet1!D$194,SUM(D134:K134),NA())</f>
        <v>0</v>
      </c>
      <c r="M134" s="94" t="e">
        <f>IF(Sheet1!D$194,SUM(D215:K215),NA())</f>
        <v>#VALUE!</v>
      </c>
    </row>
    <row r="135" spans="1:13" ht="13.2" x14ac:dyDescent="0.25">
      <c r="A135" s="90" t="str">
        <f>IF(Sheet1!D$194,IF((A134&gt;=(Sheet1!D$148+$A$110)-1)," ",A134+1),NA())</f>
        <v xml:space="preserve"> </v>
      </c>
      <c r="B135" s="90" t="str">
        <f>IF(Sheet1!D$194,IF((B134&gt;=(Sheet1!D$148+$B$110)-1)," ",B134+1),NA())</f>
        <v xml:space="preserve"> </v>
      </c>
      <c r="C135" s="91" t="str">
        <f t="shared" si="4"/>
        <v xml:space="preserve"> </v>
      </c>
      <c r="D135" s="92"/>
      <c r="E135" s="92"/>
      <c r="F135" s="92"/>
      <c r="G135" s="92"/>
      <c r="H135" s="92"/>
      <c r="I135" s="92"/>
      <c r="J135" s="92"/>
      <c r="K135" s="92"/>
      <c r="L135" s="95">
        <f>IF(Sheet1!D$194,SUM(D135:K135),NA())</f>
        <v>0</v>
      </c>
      <c r="M135" s="94" t="e">
        <f>IF(Sheet1!D$194,SUM(D216:K216),NA())</f>
        <v>#VALUE!</v>
      </c>
    </row>
    <row r="136" spans="1:13" ht="13.2" x14ac:dyDescent="0.25">
      <c r="A136" s="90" t="str">
        <f>IF(Sheet1!D$194,IF((A135&gt;=(Sheet1!D$148+$A$110)-1)," ",A135+1),NA())</f>
        <v xml:space="preserve"> </v>
      </c>
      <c r="B136" s="90" t="str">
        <f>IF(Sheet1!D$194,IF((B135&gt;=(Sheet1!D$148+$B$110)-1)," ",B135+1),NA())</f>
        <v xml:space="preserve"> </v>
      </c>
      <c r="C136" s="91" t="str">
        <f t="shared" si="4"/>
        <v xml:space="preserve"> </v>
      </c>
      <c r="D136" s="92"/>
      <c r="E136" s="92"/>
      <c r="F136" s="92"/>
      <c r="G136" s="92"/>
      <c r="H136" s="92"/>
      <c r="I136" s="92"/>
      <c r="J136" s="92"/>
      <c r="K136" s="92"/>
      <c r="L136" s="95">
        <f>IF(Sheet1!D$194,SUM(D136:K136),NA())</f>
        <v>0</v>
      </c>
      <c r="M136" s="94" t="e">
        <f>IF(Sheet1!D$194,SUM(D217:K217),NA())</f>
        <v>#VALUE!</v>
      </c>
    </row>
    <row r="137" spans="1:13" ht="13.2" x14ac:dyDescent="0.25">
      <c r="A137" s="90" t="str">
        <f>IF(Sheet1!D$194,IF((A136&gt;=(Sheet1!D$148+$A$110)-1)," ",A136+1),NA())</f>
        <v xml:space="preserve"> </v>
      </c>
      <c r="B137" s="90" t="str">
        <f>IF(Sheet1!D$194,IF((B136&gt;=(Sheet1!D$148+$B$110)-1)," ",B136+1),NA())</f>
        <v xml:space="preserve"> </v>
      </c>
      <c r="C137" s="91" t="str">
        <f t="shared" si="4"/>
        <v xml:space="preserve"> </v>
      </c>
      <c r="D137" s="92"/>
      <c r="E137" s="92"/>
      <c r="F137" s="92"/>
      <c r="G137" s="92"/>
      <c r="H137" s="92"/>
      <c r="I137" s="92"/>
      <c r="J137" s="92"/>
      <c r="K137" s="92"/>
      <c r="L137" s="95">
        <f>IF(Sheet1!D$194,SUM(D137:K137),NA())</f>
        <v>0</v>
      </c>
      <c r="M137" s="94" t="e">
        <f>IF(Sheet1!D$194,SUM(D218:K218),NA())</f>
        <v>#VALUE!</v>
      </c>
    </row>
    <row r="138" spans="1:13" ht="13.2" x14ac:dyDescent="0.25">
      <c r="A138" s="90" t="str">
        <f>IF(Sheet1!D$194,IF((A137&gt;=(Sheet1!D$148+$A$110)-1)," ",A137+1),NA())</f>
        <v xml:space="preserve"> </v>
      </c>
      <c r="B138" s="90" t="str">
        <f>IF(Sheet1!D$194,IF((B137&gt;=(Sheet1!D$148+$B$110)-1)," ",B137+1),NA())</f>
        <v xml:space="preserve"> </v>
      </c>
      <c r="C138" s="91" t="str">
        <f t="shared" si="4"/>
        <v xml:space="preserve"> </v>
      </c>
      <c r="D138" s="92"/>
      <c r="E138" s="92"/>
      <c r="F138" s="92"/>
      <c r="G138" s="92"/>
      <c r="H138" s="92"/>
      <c r="I138" s="92"/>
      <c r="J138" s="92"/>
      <c r="K138" s="92"/>
      <c r="L138" s="95">
        <f>IF(Sheet1!D$194,SUM(D138:K138),NA())</f>
        <v>0</v>
      </c>
      <c r="M138" s="94" t="e">
        <f>IF(Sheet1!D$194,SUM(D219:K219),NA())</f>
        <v>#VALUE!</v>
      </c>
    </row>
    <row r="139" spans="1:13" ht="13.2" x14ac:dyDescent="0.25">
      <c r="A139" s="90" t="str">
        <f>IF(Sheet1!D$194,IF((A138&gt;=(Sheet1!D$148+$A$110)-1)," ",A138+1),NA())</f>
        <v xml:space="preserve"> </v>
      </c>
      <c r="B139" s="90" t="str">
        <f>IF(Sheet1!D$194,IF((B138&gt;=(Sheet1!D$148+$B$110)-1)," ",B138+1),NA())</f>
        <v xml:space="preserve"> </v>
      </c>
      <c r="C139" s="91" t="str">
        <f t="shared" si="4"/>
        <v xml:space="preserve"> </v>
      </c>
      <c r="D139" s="92"/>
      <c r="E139" s="92"/>
      <c r="F139" s="92"/>
      <c r="G139" s="92"/>
      <c r="H139" s="92"/>
      <c r="I139" s="92"/>
      <c r="J139" s="92"/>
      <c r="K139" s="92"/>
      <c r="L139" s="95">
        <f>IF(Sheet1!D$194,SUM(D139:K139),NA())</f>
        <v>0</v>
      </c>
      <c r="M139" s="94" t="e">
        <f>IF(Sheet1!D$194,SUM(D220:K220),NA())</f>
        <v>#VALUE!</v>
      </c>
    </row>
    <row r="140" spans="1:13" ht="13.2" x14ac:dyDescent="0.25">
      <c r="A140" s="90" t="str">
        <f>IF(Sheet1!D$194,IF((A139&gt;=(Sheet1!D$148+$A$110)-1)," ",A139+1),NA())</f>
        <v xml:space="preserve"> </v>
      </c>
      <c r="B140" s="90" t="str">
        <f>IF(Sheet1!D$194,IF((B139&gt;=(Sheet1!D$148+$B$110)-1)," ",B139+1),NA())</f>
        <v xml:space="preserve"> </v>
      </c>
      <c r="C140" s="91" t="str">
        <f t="shared" si="4"/>
        <v xml:space="preserve"> </v>
      </c>
      <c r="D140" s="92"/>
      <c r="E140" s="92"/>
      <c r="F140" s="92"/>
      <c r="G140" s="92"/>
      <c r="H140" s="92"/>
      <c r="I140" s="92"/>
      <c r="J140" s="92"/>
      <c r="K140" s="92"/>
      <c r="L140" s="95">
        <f>IF(Sheet1!D$194,SUM(D140:K140),NA())</f>
        <v>0</v>
      </c>
      <c r="M140" s="94" t="e">
        <f>IF(Sheet1!D$194,SUM(D221:K221),NA())</f>
        <v>#VALUE!</v>
      </c>
    </row>
    <row r="141" spans="1:13" ht="13.2" x14ac:dyDescent="0.25">
      <c r="A141" s="90" t="str">
        <f>IF(Sheet1!D$194,IF((A140&gt;=(Sheet1!D$148+$A$110)-1)," ",A140+1),NA())</f>
        <v xml:space="preserve"> </v>
      </c>
      <c r="B141" s="90" t="str">
        <f>IF(Sheet1!D$194,IF((B140&gt;=(Sheet1!D$148+$B$110)-1)," ",B140+1),NA())</f>
        <v xml:space="preserve"> </v>
      </c>
      <c r="C141" s="91" t="str">
        <f t="shared" si="4"/>
        <v xml:space="preserve"> </v>
      </c>
      <c r="D141" s="92"/>
      <c r="E141" s="92"/>
      <c r="F141" s="92"/>
      <c r="G141" s="92"/>
      <c r="H141" s="92"/>
      <c r="I141" s="92"/>
      <c r="J141" s="92"/>
      <c r="K141" s="92"/>
      <c r="L141" s="95">
        <f>IF(Sheet1!D$194,SUM(D141:K141),NA())</f>
        <v>0</v>
      </c>
      <c r="M141" s="94" t="e">
        <f>IF(Sheet1!D$194,SUM(D222:K222),NA())</f>
        <v>#VALUE!</v>
      </c>
    </row>
    <row r="142" spans="1:13" ht="13.2" x14ac:dyDescent="0.25">
      <c r="A142" s="90" t="str">
        <f>IF(Sheet1!D$194,IF((A141&gt;=(Sheet1!D$148+$A$110)-1)," ",A141+1),NA())</f>
        <v xml:space="preserve"> </v>
      </c>
      <c r="B142" s="90" t="str">
        <f>IF(Sheet1!D$194,IF((B141&gt;=(Sheet1!D$148+$B$110)-1)," ",B141+1),NA())</f>
        <v xml:space="preserve"> </v>
      </c>
      <c r="C142" s="91" t="str">
        <f t="shared" si="4"/>
        <v xml:space="preserve"> </v>
      </c>
      <c r="D142" s="92"/>
      <c r="E142" s="92"/>
      <c r="F142" s="92"/>
      <c r="G142" s="92"/>
      <c r="H142" s="92"/>
      <c r="I142" s="92"/>
      <c r="J142" s="92"/>
      <c r="K142" s="92"/>
      <c r="L142" s="95">
        <f>IF(Sheet1!D$194,SUM(D142:K142),NA())</f>
        <v>0</v>
      </c>
      <c r="M142" s="94" t="e">
        <f>IF(Sheet1!D$194,SUM(D223:K223),NA())</f>
        <v>#VALUE!</v>
      </c>
    </row>
    <row r="143" spans="1:13" ht="13.2" x14ac:dyDescent="0.25">
      <c r="A143" s="90" t="str">
        <f>IF(Sheet1!D$194,IF((A142&gt;=(Sheet1!D$148+$A$110)-1)," ",A142+1),NA())</f>
        <v xml:space="preserve"> </v>
      </c>
      <c r="B143" s="90" t="str">
        <f>IF(Sheet1!D$194,IF((B142&gt;=(Sheet1!D$148+$B$110)-1)," ",B142+1),NA())</f>
        <v xml:space="preserve"> </v>
      </c>
      <c r="C143" s="91" t="str">
        <f t="shared" si="4"/>
        <v xml:space="preserve"> </v>
      </c>
      <c r="D143" s="92"/>
      <c r="E143" s="92"/>
      <c r="F143" s="92"/>
      <c r="G143" s="92"/>
      <c r="H143" s="92"/>
      <c r="I143" s="92"/>
      <c r="J143" s="92"/>
      <c r="K143" s="92"/>
      <c r="L143" s="95">
        <f>IF(Sheet1!D$194,SUM(D143:K143),NA())</f>
        <v>0</v>
      </c>
      <c r="M143" s="94" t="e">
        <f>IF(Sheet1!D$194,SUM(D224:K224),NA())</f>
        <v>#VALUE!</v>
      </c>
    </row>
    <row r="144" spans="1:13" ht="13.2" x14ac:dyDescent="0.25">
      <c r="A144" s="90" t="str">
        <f>IF(Sheet1!D$194,IF((A143&gt;=(Sheet1!D$148+$A$110)-1)," ",A143+1),NA())</f>
        <v xml:space="preserve"> </v>
      </c>
      <c r="B144" s="90" t="str">
        <f>IF(Sheet1!D$194,IF((B143&gt;=(Sheet1!D$148+$B$110)-1)," ",B143+1),NA())</f>
        <v xml:space="preserve"> </v>
      </c>
      <c r="C144" s="91" t="str">
        <f t="shared" si="4"/>
        <v xml:space="preserve"> </v>
      </c>
      <c r="D144" s="92"/>
      <c r="E144" s="92"/>
      <c r="F144" s="92"/>
      <c r="G144" s="92"/>
      <c r="H144" s="92"/>
      <c r="I144" s="92"/>
      <c r="J144" s="92"/>
      <c r="K144" s="92"/>
      <c r="L144" s="95">
        <f>IF(Sheet1!D$194,SUM(D144:K144),NA())</f>
        <v>0</v>
      </c>
      <c r="M144" s="94" t="e">
        <f>IF(Sheet1!D$194,SUM(D225:K225),NA())</f>
        <v>#VALUE!</v>
      </c>
    </row>
    <row r="145" spans="1:13" ht="13.2" x14ac:dyDescent="0.25">
      <c r="A145" s="90" t="str">
        <f>IF(Sheet1!D$194,IF((A144&gt;=(Sheet1!D$148+$A$110)-1)," ",A144+1),NA())</f>
        <v xml:space="preserve"> </v>
      </c>
      <c r="B145" s="90" t="str">
        <f>IF(Sheet1!D$194,IF((B144&gt;=(Sheet1!D$148+$B$110)-1)," ",B144+1),NA())</f>
        <v xml:space="preserve"> </v>
      </c>
      <c r="C145" s="91" t="str">
        <f t="shared" si="4"/>
        <v xml:space="preserve"> </v>
      </c>
      <c r="D145" s="92"/>
      <c r="E145" s="92"/>
      <c r="F145" s="92"/>
      <c r="G145" s="92"/>
      <c r="H145" s="92"/>
      <c r="I145" s="92"/>
      <c r="J145" s="92"/>
      <c r="K145" s="92"/>
      <c r="L145" s="95">
        <f>IF(Sheet1!D$194,SUM(D145:K145),NA())</f>
        <v>0</v>
      </c>
      <c r="M145" s="94" t="e">
        <f>IF(Sheet1!D$194,SUM(D226:K226),NA())</f>
        <v>#VALUE!</v>
      </c>
    </row>
    <row r="146" spans="1:13" ht="13.2" x14ac:dyDescent="0.25">
      <c r="A146" s="90" t="str">
        <f>IF(Sheet1!D$194,IF((A145&gt;=(Sheet1!D$148+$A$110)-1)," ",A145+1),NA())</f>
        <v xml:space="preserve"> </v>
      </c>
      <c r="B146" s="90" t="str">
        <f>IF(Sheet1!D$194,IF((B145&gt;=(Sheet1!D$148+$B$110)-1)," ",B145+1),NA())</f>
        <v xml:space="preserve"> </v>
      </c>
      <c r="C146" s="91" t="str">
        <f t="shared" si="4"/>
        <v xml:space="preserve"> </v>
      </c>
      <c r="D146" s="92"/>
      <c r="E146" s="92"/>
      <c r="F146" s="92"/>
      <c r="G146" s="92"/>
      <c r="H146" s="92"/>
      <c r="I146" s="92"/>
      <c r="J146" s="92"/>
      <c r="K146" s="92"/>
      <c r="L146" s="95">
        <f>IF(Sheet1!D$194,SUM(D146:K146),NA())</f>
        <v>0</v>
      </c>
      <c r="M146" s="94" t="e">
        <f>IF(Sheet1!D$194,SUM(D227:K227),NA())</f>
        <v>#VALUE!</v>
      </c>
    </row>
    <row r="147" spans="1:13" ht="13.2" x14ac:dyDescent="0.25">
      <c r="A147" s="90" t="str">
        <f>IF(Sheet1!D$194,IF((A146&gt;=(Sheet1!D$148+$A$110)-1)," ",A146+1),NA())</f>
        <v xml:space="preserve"> </v>
      </c>
      <c r="B147" s="90" t="str">
        <f>IF(Sheet1!D$194,IF((B146&gt;=(Sheet1!D$148+$B$110)-1)," ",B146+1),NA())</f>
        <v xml:space="preserve"> </v>
      </c>
      <c r="C147" s="91" t="str">
        <f t="shared" si="4"/>
        <v xml:space="preserve"> </v>
      </c>
      <c r="D147" s="92"/>
      <c r="E147" s="92"/>
      <c r="F147" s="92"/>
      <c r="G147" s="92"/>
      <c r="H147" s="92"/>
      <c r="I147" s="92"/>
      <c r="J147" s="92"/>
      <c r="K147" s="92"/>
      <c r="L147" s="95">
        <f>IF(Sheet1!D$194,SUM(D147:K147),NA())</f>
        <v>0</v>
      </c>
      <c r="M147" s="94" t="e">
        <f>IF(Sheet1!D$194,SUM(D228:K228),NA())</f>
        <v>#VALUE!</v>
      </c>
    </row>
    <row r="148" spans="1:13" ht="13.2" x14ac:dyDescent="0.25">
      <c r="A148" s="90" t="str">
        <f>IF(Sheet1!D$194,IF((A147&gt;=(Sheet1!D$148+$A$110)-1)," ",A147+1),NA())</f>
        <v xml:space="preserve"> </v>
      </c>
      <c r="B148" s="90" t="str">
        <f>IF(Sheet1!D$194,IF((B147&gt;=(Sheet1!D$148+$B$110)-1)," ",B147+1),NA())</f>
        <v xml:space="preserve"> </v>
      </c>
      <c r="C148" s="91" t="str">
        <f t="shared" si="4"/>
        <v xml:space="preserve"> </v>
      </c>
      <c r="D148" s="92"/>
      <c r="E148" s="92"/>
      <c r="F148" s="92"/>
      <c r="G148" s="92"/>
      <c r="H148" s="92"/>
      <c r="I148" s="92"/>
      <c r="J148" s="92"/>
      <c r="K148" s="92"/>
      <c r="L148" s="95">
        <f>IF(Sheet1!D$194,SUM(D148:K148),NA())</f>
        <v>0</v>
      </c>
      <c r="M148" s="94" t="e">
        <f>IF(Sheet1!D$194,SUM(D229:K229),NA())</f>
        <v>#VALUE!</v>
      </c>
    </row>
    <row r="149" spans="1:13" ht="13.2" x14ac:dyDescent="0.25">
      <c r="A149" s="90" t="str">
        <f>IF(Sheet1!D$194,IF((A148&gt;=(Sheet1!D$148+$A$110)-1)," ",A148+1),NA())</f>
        <v xml:space="preserve"> </v>
      </c>
      <c r="B149" s="90" t="str">
        <f>IF(Sheet1!D$194,IF((B148&gt;=(Sheet1!D$148+$B$110)-1)," ",B148+1),NA())</f>
        <v xml:space="preserve"> </v>
      </c>
      <c r="C149" s="91" t="str">
        <f t="shared" si="4"/>
        <v xml:space="preserve"> </v>
      </c>
      <c r="D149" s="92"/>
      <c r="E149" s="92"/>
      <c r="F149" s="92"/>
      <c r="G149" s="92"/>
      <c r="H149" s="92"/>
      <c r="I149" s="92"/>
      <c r="J149" s="92"/>
      <c r="K149" s="92"/>
      <c r="L149" s="95">
        <f>IF(Sheet1!D$194,SUM(D149:K149),NA())</f>
        <v>0</v>
      </c>
      <c r="M149" s="94" t="e">
        <f>IF(Sheet1!D$194,SUM(D230:K230),NA())</f>
        <v>#VALUE!</v>
      </c>
    </row>
    <row r="150" spans="1:13" ht="13.2" x14ac:dyDescent="0.25">
      <c r="A150" s="90" t="str">
        <f>IF(Sheet1!D$194,IF((A149&gt;=(Sheet1!D$148+$A$110)-1)," ",A149+1),NA())</f>
        <v xml:space="preserve"> </v>
      </c>
      <c r="B150" s="90" t="str">
        <f>IF(Sheet1!D$194,IF((B149&gt;=(Sheet1!D$148+$B$110)-1)," ",B149+1),NA())</f>
        <v xml:space="preserve"> </v>
      </c>
      <c r="C150" s="91" t="str">
        <f t="shared" si="4"/>
        <v xml:space="preserve"> </v>
      </c>
      <c r="D150" s="92"/>
      <c r="E150" s="92"/>
      <c r="F150" s="92"/>
      <c r="G150" s="92"/>
      <c r="H150" s="92"/>
      <c r="I150" s="92"/>
      <c r="J150" s="92"/>
      <c r="K150" s="92"/>
      <c r="L150" s="95">
        <f>IF(Sheet1!D$194,SUM(D150:K150),NA())</f>
        <v>0</v>
      </c>
      <c r="M150" s="94" t="e">
        <f>IF(Sheet1!D$194,SUM(D231:K231),NA())</f>
        <v>#VALUE!</v>
      </c>
    </row>
    <row r="151" spans="1:13" ht="13.2" x14ac:dyDescent="0.25">
      <c r="A151" s="90" t="str">
        <f>IF(Sheet1!D$194,IF((A150&gt;=(Sheet1!D$148+$A$110)-1)," ",A150+1),NA())</f>
        <v xml:space="preserve"> </v>
      </c>
      <c r="B151" s="90" t="str">
        <f>IF(Sheet1!D$194,IF((B150&gt;=(Sheet1!D$148+$B$110)-1)," ",B150+1),NA())</f>
        <v xml:space="preserve"> </v>
      </c>
      <c r="C151" s="91" t="str">
        <f t="shared" si="4"/>
        <v xml:space="preserve"> </v>
      </c>
      <c r="D151" s="92"/>
      <c r="E151" s="92"/>
      <c r="F151" s="92"/>
      <c r="G151" s="92"/>
      <c r="H151" s="92"/>
      <c r="I151" s="92"/>
      <c r="J151" s="92"/>
      <c r="K151" s="92"/>
      <c r="L151" s="95">
        <f>IF(Sheet1!D$194,SUM(D151:K151),NA())</f>
        <v>0</v>
      </c>
      <c r="M151" s="94" t="e">
        <f>IF(Sheet1!D$194,SUM(D232:K232),NA())</f>
        <v>#VALUE!</v>
      </c>
    </row>
    <row r="152" spans="1:13" ht="13.2" x14ac:dyDescent="0.25">
      <c r="A152" s="90" t="str">
        <f>IF(Sheet1!D$194,IF((A151&gt;=(Sheet1!D$148+$A$110)-1)," ",A151+1),NA())</f>
        <v xml:space="preserve"> </v>
      </c>
      <c r="B152" s="90" t="str">
        <f>IF(Sheet1!D$194,IF((B151&gt;=(Sheet1!D$148+$B$110)-1)," ",B151+1),NA())</f>
        <v xml:space="preserve"> </v>
      </c>
      <c r="C152" s="91" t="str">
        <f t="shared" si="4"/>
        <v xml:space="preserve"> </v>
      </c>
      <c r="D152" s="92"/>
      <c r="E152" s="92"/>
      <c r="F152" s="92"/>
      <c r="G152" s="92"/>
      <c r="H152" s="92"/>
      <c r="I152" s="92"/>
      <c r="J152" s="92"/>
      <c r="K152" s="92"/>
      <c r="L152" s="95">
        <f>IF(Sheet1!D$194,SUM(D152:K152),NA())</f>
        <v>0</v>
      </c>
      <c r="M152" s="94" t="e">
        <f>IF(Sheet1!D$194,SUM(D233:K233),NA())</f>
        <v>#VALUE!</v>
      </c>
    </row>
    <row r="153" spans="1:13" ht="13.2" x14ac:dyDescent="0.25">
      <c r="A153" s="90" t="str">
        <f>IF(Sheet1!D$194,IF((A152&gt;=(Sheet1!D$148+$A$110)-1)," ",A152+1),NA())</f>
        <v xml:space="preserve"> </v>
      </c>
      <c r="B153" s="90" t="str">
        <f>IF(Sheet1!D$194,IF((B152&gt;=(Sheet1!D$148+$B$110)-1)," ",B152+1),NA())</f>
        <v xml:space="preserve"> </v>
      </c>
      <c r="C153" s="91" t="str">
        <f t="shared" si="4"/>
        <v xml:space="preserve"> </v>
      </c>
      <c r="D153" s="92"/>
      <c r="E153" s="92"/>
      <c r="F153" s="92"/>
      <c r="G153" s="92"/>
      <c r="H153" s="92"/>
      <c r="I153" s="92"/>
      <c r="J153" s="92"/>
      <c r="K153" s="92"/>
      <c r="L153" s="95">
        <f>IF(Sheet1!D$194,SUM(D153:K153),NA())</f>
        <v>0</v>
      </c>
      <c r="M153" s="94" t="e">
        <f>IF(Sheet1!D$194,SUM(D234:K234),NA())</f>
        <v>#VALUE!</v>
      </c>
    </row>
    <row r="154" spans="1:13" ht="13.2" x14ac:dyDescent="0.25">
      <c r="A154" s="90" t="str">
        <f>IF(Sheet1!D$194,IF((A153&gt;=(Sheet1!D$148+$A$110)-1)," ",A153+1),NA())</f>
        <v xml:space="preserve"> </v>
      </c>
      <c r="B154" s="90" t="str">
        <f>IF(Sheet1!D$194,IF((B153&gt;=(Sheet1!D$148+$B$110)-1)," ",B153+1),NA())</f>
        <v xml:space="preserve"> </v>
      </c>
      <c r="C154" s="91" t="str">
        <f t="shared" si="4"/>
        <v xml:space="preserve"> </v>
      </c>
      <c r="D154" s="92"/>
      <c r="E154" s="92"/>
      <c r="F154" s="92"/>
      <c r="G154" s="92"/>
      <c r="H154" s="92"/>
      <c r="I154" s="92"/>
      <c r="J154" s="92"/>
      <c r="K154" s="92"/>
      <c r="L154" s="95">
        <f>IF(Sheet1!D$194,SUM(D154:K154),NA())</f>
        <v>0</v>
      </c>
      <c r="M154" s="94" t="e">
        <f>IF(Sheet1!D$194,SUM(D235:K235),NA())</f>
        <v>#VALUE!</v>
      </c>
    </row>
    <row r="155" spans="1:13" ht="13.2" x14ac:dyDescent="0.25">
      <c r="A155" s="90" t="str">
        <f>IF(Sheet1!D$194,IF((A154&gt;=(Sheet1!D$148+$A$110)-1)," ",A154+1),NA())</f>
        <v xml:space="preserve"> </v>
      </c>
      <c r="B155" s="90" t="str">
        <f>IF(Sheet1!D$194,IF((B154&gt;=(Sheet1!D$148+$B$110)-1)," ",B154+1),NA())</f>
        <v xml:space="preserve"> </v>
      </c>
      <c r="C155" s="91" t="str">
        <f t="shared" si="4"/>
        <v xml:space="preserve"> </v>
      </c>
      <c r="D155" s="92"/>
      <c r="E155" s="92"/>
      <c r="F155" s="92"/>
      <c r="G155" s="92"/>
      <c r="H155" s="92"/>
      <c r="I155" s="92"/>
      <c r="J155" s="92"/>
      <c r="K155" s="92"/>
      <c r="L155" s="95">
        <f>IF(Sheet1!D$194,SUM(D155:K155),NA())</f>
        <v>0</v>
      </c>
      <c r="M155" s="94" t="e">
        <f>IF(Sheet1!D$194,SUM(D236:K236),NA())</f>
        <v>#VALUE!</v>
      </c>
    </row>
    <row r="156" spans="1:13" ht="13.8" thickBot="1" x14ac:dyDescent="0.3">
      <c r="A156" s="90" t="str">
        <f>IF(Sheet1!D$194,IF((A155&gt;=(Sheet1!D$148+$A$110)-1)," ",A155+1),NA())</f>
        <v xml:space="preserve"> </v>
      </c>
      <c r="B156" s="90" t="str">
        <f>IF(Sheet1!D$194,IF((B155&gt;=(Sheet1!D$148+$B$110)-1)," ",B155+1),NA())</f>
        <v xml:space="preserve"> </v>
      </c>
      <c r="C156" s="91" t="str">
        <f t="shared" si="4"/>
        <v xml:space="preserve"> </v>
      </c>
      <c r="D156" s="92"/>
      <c r="E156" s="92"/>
      <c r="F156" s="92"/>
      <c r="G156" s="92"/>
      <c r="H156" s="92"/>
      <c r="I156" s="92"/>
      <c r="J156" s="92"/>
      <c r="K156" s="92"/>
      <c r="L156" s="95">
        <f>IF(Sheet1!D$194,SUM(D156:K156),NA())</f>
        <v>0</v>
      </c>
      <c r="M156" s="94" t="e">
        <f>IF(Sheet1!D$194,SUM(D237:K237),NA())</f>
        <v>#VALUE!</v>
      </c>
    </row>
    <row r="157" spans="1:13" ht="13.8" hidden="1" thickBot="1" x14ac:dyDescent="0.3">
      <c r="A157" s="90" t="str">
        <f>IF(Sheet1!D$194,IF((A156&gt;=(Sheet1!D$148+$A$110)-1)," ",A156+1),NA())</f>
        <v xml:space="preserve"> </v>
      </c>
      <c r="B157" s="90" t="str">
        <f>IF(Sheet1!D$194,IF((B156&gt;=(Sheet1!D$148+$B$110)-1)," ",B156+1),NA())</f>
        <v xml:space="preserve"> </v>
      </c>
      <c r="C157" s="91" t="str">
        <f t="shared" si="4"/>
        <v xml:space="preserve"> </v>
      </c>
      <c r="D157" s="92"/>
      <c r="E157" s="92"/>
      <c r="F157" s="92"/>
      <c r="G157" s="92"/>
      <c r="H157" s="92"/>
      <c r="I157" s="92"/>
      <c r="J157" s="92"/>
      <c r="K157" s="92"/>
      <c r="L157" s="95">
        <f>IF(Sheet1!D$194,SUM(D157:K157),NA())</f>
        <v>0</v>
      </c>
      <c r="M157" s="94" t="e">
        <f>IF(Sheet1!D$194,SUM(D238:K238),NA())</f>
        <v>#VALUE!</v>
      </c>
    </row>
    <row r="158" spans="1:13" ht="13.8" hidden="1" thickBot="1" x14ac:dyDescent="0.3">
      <c r="A158" s="90" t="str">
        <f>IF(Sheet1!D$194,IF((A157&gt;=(Sheet1!D$148+$A$110)-1)," ",A157+1),NA())</f>
        <v xml:space="preserve"> </v>
      </c>
      <c r="B158" s="90" t="str">
        <f>IF(Sheet1!D$194,IF((B157&gt;=(Sheet1!D$148+$B$110)-1)," ",B157+1),NA())</f>
        <v xml:space="preserve"> </v>
      </c>
      <c r="C158" s="91" t="str">
        <f t="shared" si="4"/>
        <v xml:space="preserve"> </v>
      </c>
      <c r="D158" s="92"/>
      <c r="E158" s="92"/>
      <c r="F158" s="92"/>
      <c r="G158" s="92"/>
      <c r="H158" s="92"/>
      <c r="I158" s="92"/>
      <c r="J158" s="92"/>
      <c r="K158" s="92"/>
      <c r="L158" s="95">
        <f>IF(Sheet1!D$194,SUM(D158:K158),NA())</f>
        <v>0</v>
      </c>
      <c r="M158" s="94" t="e">
        <f>IF(Sheet1!D$194,SUM(D239:K239),NA())</f>
        <v>#VALUE!</v>
      </c>
    </row>
    <row r="159" spans="1:13" ht="13.8" hidden="1" thickBot="1" x14ac:dyDescent="0.3">
      <c r="A159" s="90" t="str">
        <f>IF(Sheet1!D$194,IF((A158&gt;=(Sheet1!D$148+$A$110)-1)," ",A158+1),NA())</f>
        <v xml:space="preserve"> </v>
      </c>
      <c r="B159" s="90" t="str">
        <f>IF(Sheet1!D$194,IF((B158&gt;=(Sheet1!D$148+$B$110)-1)," ",B158+1),NA())</f>
        <v xml:space="preserve"> </v>
      </c>
      <c r="C159" s="91" t="str">
        <f t="shared" si="4"/>
        <v xml:space="preserve"> </v>
      </c>
      <c r="D159" s="92"/>
      <c r="E159" s="92"/>
      <c r="F159" s="92"/>
      <c r="G159" s="92"/>
      <c r="H159" s="92"/>
      <c r="I159" s="92"/>
      <c r="J159" s="92"/>
      <c r="K159" s="92"/>
      <c r="L159" s="95">
        <f>IF(Sheet1!D$194,SUM(D159:K159),NA())</f>
        <v>0</v>
      </c>
      <c r="M159" s="94" t="e">
        <f>IF(Sheet1!D$194,SUM(D240:K240),NA())</f>
        <v>#VALUE!</v>
      </c>
    </row>
    <row r="160" spans="1:13" ht="13.8" thickTop="1" x14ac:dyDescent="0.25">
      <c r="A160" s="91" t="s">
        <v>272</v>
      </c>
      <c r="B160" s="96"/>
      <c r="C160" s="96"/>
      <c r="D160" s="97">
        <f>IF(Sheet1!D$194,SUM(D110:D159),NA())</f>
        <v>0</v>
      </c>
      <c r="E160" s="97">
        <f>IF(Sheet1!D$194,SUM(E110:E159),NA())</f>
        <v>0</v>
      </c>
      <c r="F160" s="97">
        <f>IF(Sheet1!D$194,SUM(F110:F159),NA())</f>
        <v>0</v>
      </c>
      <c r="G160" s="97">
        <f>IF(Sheet1!D$194,SUM(G110:G159),NA())</f>
        <v>0</v>
      </c>
      <c r="H160" s="97">
        <f>IF(Sheet1!D$194,SUM(H110:H159),NA())</f>
        <v>0</v>
      </c>
      <c r="I160" s="97">
        <f>IF(Sheet1!D$194,SUM(I110:I159),NA())</f>
        <v>0</v>
      </c>
      <c r="J160" s="97">
        <f>IF(Sheet1!D$194,SUM(J110:J159),NA())</f>
        <v>0</v>
      </c>
      <c r="K160" s="97">
        <f>IF(Sheet1!D$194,SUM(K110:K159),NA())</f>
        <v>0</v>
      </c>
      <c r="L160" s="95">
        <f>IF(Sheet1!D$194,SUM(L110:L159),NA())</f>
        <v>0</v>
      </c>
      <c r="M160" s="95" t="e">
        <f>IF(Sheet1!D$194,SUM(M110:M159),NA())</f>
        <v>#VALUE!</v>
      </c>
    </row>
    <row r="161" spans="1:13" ht="13.2" x14ac:dyDescent="0.25">
      <c r="A161" s="91" t="s">
        <v>235</v>
      </c>
      <c r="B161" s="96"/>
      <c r="C161" s="96"/>
      <c r="D161" s="98" t="str">
        <f t="shared" ref="D161:K161" si="5">IF($L$160=0,"",D160/$L$160)</f>
        <v/>
      </c>
      <c r="E161" s="99" t="str">
        <f t="shared" si="5"/>
        <v/>
      </c>
      <c r="F161" s="99" t="str">
        <f t="shared" si="5"/>
        <v/>
      </c>
      <c r="G161" s="99" t="str">
        <f t="shared" si="5"/>
        <v/>
      </c>
      <c r="H161" s="99" t="str">
        <f t="shared" si="5"/>
        <v/>
      </c>
      <c r="I161" s="99" t="str">
        <f t="shared" si="5"/>
        <v/>
      </c>
      <c r="J161" s="99" t="str">
        <f t="shared" si="5"/>
        <v/>
      </c>
      <c r="K161" s="99" t="str">
        <f t="shared" si="5"/>
        <v/>
      </c>
      <c r="L161" s="149"/>
      <c r="M161" s="128"/>
    </row>
    <row r="162" spans="1:13" ht="13.2" x14ac:dyDescent="0.25">
      <c r="A162" s="91" t="s">
        <v>255</v>
      </c>
      <c r="B162" s="96"/>
      <c r="C162" s="96"/>
      <c r="D162" s="98" t="e">
        <f t="shared" ref="D162:K162" si="6">IF($M$160=0,"",D241/$M$160)</f>
        <v>#VALUE!</v>
      </c>
      <c r="E162" s="98" t="e">
        <f t="shared" si="6"/>
        <v>#VALUE!</v>
      </c>
      <c r="F162" s="98" t="e">
        <f t="shared" si="6"/>
        <v>#VALUE!</v>
      </c>
      <c r="G162" s="98" t="e">
        <f t="shared" si="6"/>
        <v>#VALUE!</v>
      </c>
      <c r="H162" s="98" t="e">
        <f t="shared" si="6"/>
        <v>#VALUE!</v>
      </c>
      <c r="I162" s="98" t="e">
        <f t="shared" si="6"/>
        <v>#VALUE!</v>
      </c>
      <c r="J162" s="98" t="e">
        <f t="shared" si="6"/>
        <v>#VALUE!</v>
      </c>
      <c r="K162" s="98" t="e">
        <f t="shared" si="6"/>
        <v>#VALUE!</v>
      </c>
      <c r="L162" s="149"/>
      <c r="M162" s="128"/>
    </row>
    <row r="163" spans="1:13" ht="13.2" x14ac:dyDescent="0.25">
      <c r="A163" s="96"/>
      <c r="B163" s="96"/>
      <c r="C163" s="96"/>
      <c r="D163" s="149"/>
      <c r="E163" s="149"/>
      <c r="F163" s="149"/>
      <c r="G163" s="149"/>
      <c r="H163" s="149"/>
      <c r="I163" s="149"/>
      <c r="J163" s="149"/>
      <c r="K163" s="149"/>
      <c r="L163" s="149"/>
      <c r="M163" s="128"/>
    </row>
    <row r="164" spans="1:13" ht="13.2" x14ac:dyDescent="0.25">
      <c r="A164" s="79" t="s">
        <v>254</v>
      </c>
      <c r="B164" s="70"/>
      <c r="C164" s="70"/>
      <c r="D164" s="101"/>
      <c r="E164" s="101"/>
      <c r="F164" s="101"/>
      <c r="G164" s="101"/>
      <c r="H164" s="101"/>
      <c r="I164" s="101"/>
      <c r="J164" s="101"/>
      <c r="K164" s="101"/>
      <c r="L164" s="101"/>
    </row>
    <row r="165" spans="1:13" ht="14.25" customHeight="1" x14ac:dyDescent="0.25">
      <c r="A165" s="81" t="s">
        <v>253</v>
      </c>
      <c r="B165" s="70"/>
      <c r="C165" s="70"/>
      <c r="D165" s="159"/>
      <c r="E165" s="159"/>
      <c r="F165" s="159"/>
      <c r="G165" s="159"/>
      <c r="H165" s="159"/>
      <c r="I165" s="159"/>
      <c r="J165" s="159"/>
      <c r="K165" s="159"/>
      <c r="L165" s="101"/>
    </row>
    <row r="166" spans="1:13" ht="2.25" customHeight="1" x14ac:dyDescent="0.25">
      <c r="A166" s="91"/>
      <c r="B166" s="77"/>
      <c r="C166" s="77"/>
      <c r="D166" s="101"/>
      <c r="E166" s="101"/>
      <c r="F166" s="101"/>
      <c r="G166" s="101"/>
      <c r="H166" s="101"/>
      <c r="I166" s="101"/>
      <c r="J166" s="101"/>
      <c r="K166" s="101"/>
      <c r="L166" s="101"/>
    </row>
    <row r="167" spans="1:13" ht="33" customHeight="1" x14ac:dyDescent="0.25">
      <c r="A167" s="85" t="s">
        <v>229</v>
      </c>
      <c r="B167" s="85" t="s">
        <v>230</v>
      </c>
      <c r="C167" s="77"/>
      <c r="D167" s="103" t="s">
        <v>239</v>
      </c>
      <c r="E167" s="103" t="s">
        <v>239</v>
      </c>
      <c r="F167" s="103" t="s">
        <v>239</v>
      </c>
      <c r="G167" s="103" t="s">
        <v>239</v>
      </c>
      <c r="H167" s="103" t="s">
        <v>239</v>
      </c>
      <c r="I167" s="103" t="s">
        <v>239</v>
      </c>
      <c r="J167" s="103" t="s">
        <v>239</v>
      </c>
      <c r="K167" s="103" t="s">
        <v>239</v>
      </c>
      <c r="L167" s="104" t="s">
        <v>252</v>
      </c>
    </row>
    <row r="168" spans="1:13" ht="13.8" thickBot="1" x14ac:dyDescent="0.3">
      <c r="A168" s="90">
        <f>IF(Sheet1!D$194,IF(Sheet1!D148=50,51,VLOOKUP(Sheet1!D148+1,Sheet1!A148:B195,2)),NA())</f>
        <v>2</v>
      </c>
      <c r="B168" s="90">
        <f>IF(Sheet1!D$194,B110+Sheet1!D148,NA())</f>
        <v>2025</v>
      </c>
      <c r="C168" s="91" t="str">
        <f>IF(AND(OR(A168=" ",A168="#NA"),OR(D168&lt;&gt;0,E168&lt;&gt;0,F168&lt;&gt;0,G168&lt;&gt;0,H168&lt;&gt;0,I168&lt;&gt;0,J168&lt;&gt;0,K168&lt;&gt;0)),"Clear=&gt;"," ")</f>
        <v xml:space="preserve"> </v>
      </c>
      <c r="D168" s="105"/>
      <c r="E168" s="105"/>
      <c r="F168" s="105"/>
      <c r="G168" s="105"/>
      <c r="H168" s="105"/>
      <c r="I168" s="105"/>
      <c r="J168" s="105"/>
      <c r="K168" s="105"/>
      <c r="L168" s="95">
        <f>IF(Sheet1!D$194,SUM(D168:K168),NA())</f>
        <v>0</v>
      </c>
    </row>
    <row r="169" spans="1:13" ht="13.8" thickTop="1" x14ac:dyDescent="0.25">
      <c r="A169" s="77"/>
      <c r="B169" s="160"/>
      <c r="C169" s="77"/>
      <c r="D169" s="107"/>
      <c r="E169" s="107"/>
      <c r="F169" s="107"/>
      <c r="G169" s="107"/>
      <c r="H169" s="107"/>
      <c r="I169" s="107"/>
      <c r="J169" s="107"/>
      <c r="K169" s="107"/>
      <c r="L169" s="101"/>
    </row>
    <row r="170" spans="1:13" ht="13.2" x14ac:dyDescent="0.25">
      <c r="A170" s="77"/>
      <c r="B170" s="160"/>
      <c r="C170" s="77"/>
      <c r="D170" s="101"/>
      <c r="E170" s="101"/>
      <c r="F170" s="101"/>
      <c r="G170" s="101"/>
      <c r="H170" s="101"/>
      <c r="I170" s="101"/>
      <c r="J170" s="101"/>
      <c r="K170" s="101"/>
      <c r="L170" s="101"/>
    </row>
    <row r="171" spans="1:13" ht="13.2" x14ac:dyDescent="0.25">
      <c r="A171" s="79" t="s">
        <v>251</v>
      </c>
      <c r="B171" s="70"/>
      <c r="C171" s="70"/>
      <c r="D171" s="101"/>
      <c r="E171" s="101"/>
      <c r="F171" s="101"/>
      <c r="G171" s="101"/>
      <c r="H171" s="101"/>
      <c r="I171" s="101"/>
      <c r="J171" s="101"/>
      <c r="K171" s="101"/>
      <c r="L171" s="101"/>
    </row>
    <row r="172" spans="1:13" ht="13.2" x14ac:dyDescent="0.25">
      <c r="A172" s="81" t="s">
        <v>250</v>
      </c>
      <c r="B172" s="70"/>
      <c r="C172" s="70"/>
      <c r="D172" s="101"/>
      <c r="E172" s="101"/>
      <c r="F172" s="101"/>
      <c r="G172" s="101"/>
      <c r="H172" s="101"/>
      <c r="I172" s="101"/>
      <c r="J172" s="101"/>
      <c r="K172" s="101"/>
      <c r="L172" s="101"/>
    </row>
    <row r="173" spans="1:13" ht="4.5" customHeight="1" x14ac:dyDescent="0.25">
      <c r="A173" s="161"/>
      <c r="B173" s="77"/>
      <c r="C173" s="77"/>
      <c r="D173" s="101"/>
      <c r="E173" s="101"/>
      <c r="F173" s="101"/>
      <c r="G173" s="101"/>
      <c r="H173" s="101"/>
      <c r="I173" s="101"/>
      <c r="J173" s="101"/>
      <c r="K173" s="101"/>
      <c r="L173" s="101"/>
    </row>
    <row r="174" spans="1:13" ht="13.2" x14ac:dyDescent="0.25">
      <c r="A174" s="161" t="s">
        <v>249</v>
      </c>
      <c r="B174" s="77"/>
      <c r="C174" s="77"/>
      <c r="D174" s="139" t="s">
        <v>248</v>
      </c>
    </row>
    <row r="175" spans="1:13" ht="15.75" customHeight="1" x14ac:dyDescent="0.25">
      <c r="A175" s="161"/>
      <c r="B175" s="77"/>
      <c r="C175" s="77"/>
      <c r="D175" s="139" t="s">
        <v>247</v>
      </c>
      <c r="E175" s="139"/>
      <c r="F175" s="139"/>
      <c r="G175" s="139"/>
      <c r="H175" s="139"/>
      <c r="I175" s="139"/>
      <c r="J175" s="139"/>
    </row>
    <row r="176" spans="1:13" ht="13.5" customHeight="1" x14ac:dyDescent="0.25">
      <c r="A176" s="161"/>
      <c r="B176" s="77"/>
      <c r="C176" s="77"/>
      <c r="D176" s="139" t="s">
        <v>246</v>
      </c>
    </row>
    <row r="177" spans="1:11" ht="12.75" customHeight="1" x14ac:dyDescent="0.25">
      <c r="A177" s="161"/>
      <c r="B177" s="77"/>
      <c r="C177" s="77"/>
      <c r="D177" s="139" t="s">
        <v>245</v>
      </c>
    </row>
    <row r="178" spans="1:11" ht="13.2" x14ac:dyDescent="0.25">
      <c r="A178" s="161"/>
      <c r="B178" s="77"/>
      <c r="C178" s="77"/>
      <c r="D178" s="139" t="s">
        <v>244</v>
      </c>
    </row>
    <row r="179" spans="1:11" ht="13.2" x14ac:dyDescent="0.25">
      <c r="A179" s="161"/>
      <c r="B179" s="77"/>
      <c r="C179" s="77"/>
    </row>
    <row r="180" spans="1:11" ht="13.2" x14ac:dyDescent="0.25">
      <c r="A180" s="161"/>
      <c r="B180" s="77"/>
      <c r="C180" s="77"/>
    </row>
    <row r="181" spans="1:11" ht="13.2" x14ac:dyDescent="0.25">
      <c r="A181" s="161"/>
      <c r="B181" s="77"/>
      <c r="C181" s="77"/>
    </row>
    <row r="182" spans="1:11" ht="12.75" customHeight="1" x14ac:dyDescent="0.25">
      <c r="A182" s="161"/>
      <c r="B182" s="77"/>
      <c r="C182" s="77"/>
    </row>
    <row r="183" spans="1:11" ht="18" customHeight="1" x14ac:dyDescent="0.25">
      <c r="A183" s="161"/>
      <c r="B183" s="77"/>
      <c r="C183" s="77"/>
      <c r="D183" s="139"/>
      <c r="E183" s="139"/>
      <c r="F183" s="139"/>
      <c r="G183" s="139"/>
      <c r="H183" s="139"/>
      <c r="I183" s="139"/>
      <c r="J183" s="139"/>
    </row>
    <row r="184" spans="1:11" ht="13.2" x14ac:dyDescent="0.25">
      <c r="A184" s="161"/>
      <c r="B184" s="77"/>
      <c r="C184" s="77"/>
      <c r="D184" s="139"/>
      <c r="E184" s="139"/>
      <c r="F184" s="139"/>
      <c r="G184" s="139"/>
      <c r="H184" s="139"/>
      <c r="I184" s="139"/>
      <c r="J184" s="139"/>
    </row>
    <row r="185" spans="1:11" ht="13.2" x14ac:dyDescent="0.25">
      <c r="A185" s="108"/>
      <c r="B185" s="66"/>
      <c r="C185" s="66"/>
      <c r="D185" s="139"/>
      <c r="E185" s="139"/>
      <c r="F185" s="139"/>
      <c r="G185" s="139"/>
      <c r="H185" s="139"/>
      <c r="I185" s="139"/>
      <c r="J185" s="139"/>
    </row>
    <row r="186" spans="1:11" ht="13.2" x14ac:dyDescent="0.25">
      <c r="A186" s="108"/>
      <c r="B186" s="66"/>
      <c r="C186" s="66"/>
      <c r="D186" s="139"/>
      <c r="E186" s="139"/>
      <c r="F186" s="139"/>
      <c r="G186" s="139"/>
      <c r="H186" s="139"/>
      <c r="I186" s="139"/>
      <c r="J186" s="139"/>
    </row>
    <row r="187" spans="1:11" ht="13.2" x14ac:dyDescent="0.25">
      <c r="A187" s="66"/>
      <c r="B187" s="66"/>
      <c r="C187" s="66"/>
      <c r="D187" s="139"/>
    </row>
    <row r="188" spans="1:11" ht="12.6" hidden="1" customHeight="1" x14ac:dyDescent="0.25"/>
    <row r="189" spans="1:11" ht="13.2" hidden="1" x14ac:dyDescent="0.25">
      <c r="A189" s="126" t="s">
        <v>241</v>
      </c>
      <c r="B189" s="125"/>
      <c r="C189" s="125"/>
      <c r="D189" s="125"/>
      <c r="E189" s="125"/>
      <c r="F189" s="125"/>
      <c r="G189" s="125"/>
      <c r="H189" s="125"/>
      <c r="I189" s="125"/>
      <c r="J189" s="125"/>
      <c r="K189" s="124"/>
    </row>
    <row r="190" spans="1:11" ht="13.8" hidden="1" thickBot="1" x14ac:dyDescent="0.3"/>
    <row r="191" spans="1:11" ht="13.2" hidden="1" x14ac:dyDescent="0.25">
      <c r="B191" s="128">
        <f>IF(Sheet1!D$194,B110,NA())</f>
        <v>2024</v>
      </c>
      <c r="C191" s="128"/>
      <c r="D191" s="137" t="e">
        <f>IF(Sheet1!$D$194,CHOOSE(Sheet1!D$266,"",IF($C110="Clear=&gt;","",D110)),NA())</f>
        <v>#VALUE!</v>
      </c>
      <c r="E191" s="136" t="e">
        <f>IF(Sheet1!$D$194,CHOOSE(Sheet1!E$266,"",IF($C110="Clear=&gt;","",E110)),NA())</f>
        <v>#VALUE!</v>
      </c>
      <c r="F191" s="136" t="e">
        <f>IF(Sheet1!$D$194,CHOOSE(Sheet1!F$266,"",IF($C110="Clear=&gt;","",F110)),NA())</f>
        <v>#VALUE!</v>
      </c>
      <c r="G191" s="136" t="e">
        <f>IF(Sheet1!$D$194,CHOOSE(Sheet1!G$266,"",IF($C110="Clear=&gt;","",G110)),NA())</f>
        <v>#VALUE!</v>
      </c>
      <c r="H191" s="136" t="e">
        <f>IF(Sheet1!$D$194,CHOOSE(Sheet1!H$266,"",IF($C110="Clear=&gt;","",H110)),NA())</f>
        <v>#VALUE!</v>
      </c>
      <c r="I191" s="136" t="e">
        <f>IF(Sheet1!$D$194,CHOOSE(Sheet1!I$266,"",IF($C110="Clear=&gt;","",I110)),NA())</f>
        <v>#VALUE!</v>
      </c>
      <c r="J191" s="136" t="e">
        <f>IF(Sheet1!$D$194,CHOOSE(Sheet1!J$266,"",IF($C110="Clear=&gt;","",J110)),NA())</f>
        <v>#VALUE!</v>
      </c>
      <c r="K191" s="135" t="e">
        <f>IF(Sheet1!$D$194,CHOOSE(Sheet1!K$266,"",IF($C110="Clear=&gt;","",K110)),NA())</f>
        <v>#VALUE!</v>
      </c>
    </row>
    <row r="192" spans="1:11" ht="13.2" hidden="1" x14ac:dyDescent="0.25">
      <c r="B192" s="128" t="str">
        <f>IF(Sheet1!D$194,B111,NA())</f>
        <v xml:space="preserve"> </v>
      </c>
      <c r="C192" s="128"/>
      <c r="D192" s="131" t="e">
        <f>IF(Sheet1!$D$194,CHOOSE(Sheet1!D$266,"",IF($C111="Clear=&gt;","",D111)),NA())</f>
        <v>#VALUE!</v>
      </c>
      <c r="E192" s="130" t="e">
        <f>IF(Sheet1!$D$194,CHOOSE(Sheet1!E$266,"",IF($C111="Clear=&gt;","",E111)),NA())</f>
        <v>#VALUE!</v>
      </c>
      <c r="F192" s="130" t="e">
        <f>IF(Sheet1!$D$194,CHOOSE(Sheet1!F$266,"",IF($C111="Clear=&gt;","",F111)),NA())</f>
        <v>#VALUE!</v>
      </c>
      <c r="G192" s="130" t="e">
        <f>IF(Sheet1!$D$194,CHOOSE(Sheet1!G$266,"",IF($C111="Clear=&gt;","",G111)),NA())</f>
        <v>#VALUE!</v>
      </c>
      <c r="H192" s="130" t="e">
        <f>IF(Sheet1!$D$194,CHOOSE(Sheet1!H$266,"",IF($C111="Clear=&gt;","",H111)),NA())</f>
        <v>#VALUE!</v>
      </c>
      <c r="I192" s="130" t="e">
        <f>IF(Sheet1!$D$194,CHOOSE(Sheet1!I$266,"",IF($C111="Clear=&gt;","",I111)),NA())</f>
        <v>#VALUE!</v>
      </c>
      <c r="J192" s="130" t="e">
        <f>IF(Sheet1!$D$194,CHOOSE(Sheet1!J$266,"",IF($C111="Clear=&gt;","",J111)),NA())</f>
        <v>#VALUE!</v>
      </c>
      <c r="K192" s="129" t="e">
        <f>IF(Sheet1!$D$194,CHOOSE(Sheet1!K$266,"",IF($C111="Clear=&gt;","",K111)),NA())</f>
        <v>#VALUE!</v>
      </c>
    </row>
    <row r="193" spans="2:11" ht="13.2" hidden="1" x14ac:dyDescent="0.25">
      <c r="B193" s="128" t="str">
        <f>IF(Sheet1!D$194,B112,NA())</f>
        <v xml:space="preserve"> </v>
      </c>
      <c r="C193" s="128"/>
      <c r="D193" s="131" t="e">
        <f>IF(Sheet1!$D$194,CHOOSE(Sheet1!D$266,"",IF($C112="Clear=&gt;","",D112)),NA())</f>
        <v>#VALUE!</v>
      </c>
      <c r="E193" s="130" t="e">
        <f>IF(Sheet1!$D$194,CHOOSE(Sheet1!E$266,"",IF($C112="Clear=&gt;","",E112)),NA())</f>
        <v>#VALUE!</v>
      </c>
      <c r="F193" s="130" t="e">
        <f>IF(Sheet1!$D$194,CHOOSE(Sheet1!F$266,"",IF($C112="Clear=&gt;","",F112)),NA())</f>
        <v>#VALUE!</v>
      </c>
      <c r="G193" s="130" t="e">
        <f>IF(Sheet1!$D$194,CHOOSE(Sheet1!G$266,"",IF($C112="Clear=&gt;","",G112)),NA())</f>
        <v>#VALUE!</v>
      </c>
      <c r="H193" s="130" t="e">
        <f>IF(Sheet1!$D$194,CHOOSE(Sheet1!H$266,"",IF($C112="Clear=&gt;","",H112)),NA())</f>
        <v>#VALUE!</v>
      </c>
      <c r="I193" s="130" t="e">
        <f>IF(Sheet1!$D$194,CHOOSE(Sheet1!I$266,"",IF($C112="Clear=&gt;","",I112)),NA())</f>
        <v>#VALUE!</v>
      </c>
      <c r="J193" s="130" t="e">
        <f>IF(Sheet1!$D$194,CHOOSE(Sheet1!J$266,"",IF($C112="Clear=&gt;","",J112)),NA())</f>
        <v>#VALUE!</v>
      </c>
      <c r="K193" s="129" t="e">
        <f>IF(Sheet1!$D$194,CHOOSE(Sheet1!K$266,"",IF($C112="Clear=&gt;","",K112)),NA())</f>
        <v>#VALUE!</v>
      </c>
    </row>
    <row r="194" spans="2:11" ht="13.2" hidden="1" x14ac:dyDescent="0.25">
      <c r="B194" s="128" t="str">
        <f>IF(Sheet1!D$194,B113,NA())</f>
        <v xml:space="preserve"> </v>
      </c>
      <c r="C194" s="128"/>
      <c r="D194" s="131" t="e">
        <f>IF(Sheet1!$D$194,CHOOSE(Sheet1!D$266,"",IF($C113="Clear=&gt;","",D113)),NA())</f>
        <v>#VALUE!</v>
      </c>
      <c r="E194" s="130" t="e">
        <f>IF(Sheet1!$D$194,CHOOSE(Sheet1!E$266,"",IF($C113="Clear=&gt;","",E113)),NA())</f>
        <v>#VALUE!</v>
      </c>
      <c r="F194" s="130" t="e">
        <f>IF(Sheet1!$D$194,CHOOSE(Sheet1!F$266,"",IF($C113="Clear=&gt;","",F113)),NA())</f>
        <v>#VALUE!</v>
      </c>
      <c r="G194" s="130" t="e">
        <f>IF(Sheet1!$D$194,CHOOSE(Sheet1!G$266,"",IF($C113="Clear=&gt;","",G113)),NA())</f>
        <v>#VALUE!</v>
      </c>
      <c r="H194" s="130" t="e">
        <f>IF(Sheet1!$D$194,CHOOSE(Sheet1!H$266,"",IF($C113="Clear=&gt;","",H113)),NA())</f>
        <v>#VALUE!</v>
      </c>
      <c r="I194" s="130" t="e">
        <f>IF(Sheet1!$D$194,CHOOSE(Sheet1!I$266,"",IF($C113="Clear=&gt;","",I113)),NA())</f>
        <v>#VALUE!</v>
      </c>
      <c r="J194" s="130" t="e">
        <f>IF(Sheet1!$D$194,CHOOSE(Sheet1!J$266,"",IF($C113="Clear=&gt;","",J113)),NA())</f>
        <v>#VALUE!</v>
      </c>
      <c r="K194" s="129" t="e">
        <f>IF(Sheet1!$D$194,CHOOSE(Sheet1!K$266,"",IF($C113="Clear=&gt;","",K113)),NA())</f>
        <v>#VALUE!</v>
      </c>
    </row>
    <row r="195" spans="2:11" ht="13.2" hidden="1" x14ac:dyDescent="0.25">
      <c r="B195" s="128" t="str">
        <f>IF(Sheet1!D$194,B114,NA())</f>
        <v xml:space="preserve"> </v>
      </c>
      <c r="C195" s="128"/>
      <c r="D195" s="131" t="e">
        <f>IF(Sheet1!$D$194,CHOOSE(Sheet1!D$266,"",IF($C114="Clear=&gt;","",D114)),NA())</f>
        <v>#VALUE!</v>
      </c>
      <c r="E195" s="130" t="e">
        <f>IF(Sheet1!$D$194,CHOOSE(Sheet1!E$266,"",IF($C114="Clear=&gt;","",E114)),NA())</f>
        <v>#VALUE!</v>
      </c>
      <c r="F195" s="130" t="e">
        <f>IF(Sheet1!$D$194,CHOOSE(Sheet1!F$266,"",IF($C114="Clear=&gt;","",F114)),NA())</f>
        <v>#VALUE!</v>
      </c>
      <c r="G195" s="130" t="e">
        <f>IF(Sheet1!$D$194,CHOOSE(Sheet1!G$266,"",IF($C114="Clear=&gt;","",G114)),NA())</f>
        <v>#VALUE!</v>
      </c>
      <c r="H195" s="130" t="e">
        <f>IF(Sheet1!$D$194,CHOOSE(Sheet1!H$266,"",IF($C114="Clear=&gt;","",H114)),NA())</f>
        <v>#VALUE!</v>
      </c>
      <c r="I195" s="130" t="e">
        <f>IF(Sheet1!$D$194,CHOOSE(Sheet1!I$266,"",IF($C114="Clear=&gt;","",I114)),NA())</f>
        <v>#VALUE!</v>
      </c>
      <c r="J195" s="130" t="e">
        <f>IF(Sheet1!$D$194,CHOOSE(Sheet1!J$266,"",IF($C114="Clear=&gt;","",J114)),NA())</f>
        <v>#VALUE!</v>
      </c>
      <c r="K195" s="129" t="e">
        <f>IF(Sheet1!$D$194,CHOOSE(Sheet1!K$266,"",IF($C114="Clear=&gt;","",K114)),NA())</f>
        <v>#VALUE!</v>
      </c>
    </row>
    <row r="196" spans="2:11" ht="13.2" hidden="1" x14ac:dyDescent="0.25">
      <c r="B196" s="128" t="str">
        <f>IF(Sheet1!D$194,B115,NA())</f>
        <v xml:space="preserve"> </v>
      </c>
      <c r="C196" s="128"/>
      <c r="D196" s="131" t="e">
        <f>IF(Sheet1!$D$194,CHOOSE(Sheet1!D$266,"",IF($C115="Clear=&gt;","",D115)),NA())</f>
        <v>#VALUE!</v>
      </c>
      <c r="E196" s="130" t="e">
        <f>IF(Sheet1!$D$194,CHOOSE(Sheet1!E$266,"",IF($C115="Clear=&gt;","",E115)),NA())</f>
        <v>#VALUE!</v>
      </c>
      <c r="F196" s="130" t="e">
        <f>IF(Sheet1!$D$194,CHOOSE(Sheet1!F$266,"",IF($C115="Clear=&gt;","",F115)),NA())</f>
        <v>#VALUE!</v>
      </c>
      <c r="G196" s="130" t="e">
        <f>IF(Sheet1!$D$194,CHOOSE(Sheet1!G$266,"",IF($C115="Clear=&gt;","",G115)),NA())</f>
        <v>#VALUE!</v>
      </c>
      <c r="H196" s="130" t="e">
        <f>IF(Sheet1!$D$194,CHOOSE(Sheet1!H$266,"",IF($C115="Clear=&gt;","",H115)),NA())</f>
        <v>#VALUE!</v>
      </c>
      <c r="I196" s="130" t="e">
        <f>IF(Sheet1!$D$194,CHOOSE(Sheet1!I$266,"",IF($C115="Clear=&gt;","",I115)),NA())</f>
        <v>#VALUE!</v>
      </c>
      <c r="J196" s="130" t="e">
        <f>IF(Sheet1!$D$194,CHOOSE(Sheet1!J$266,"",IF($C115="Clear=&gt;","",J115)),NA())</f>
        <v>#VALUE!</v>
      </c>
      <c r="K196" s="129" t="e">
        <f>IF(Sheet1!$D$194,CHOOSE(Sheet1!K$266,"",IF($C115="Clear=&gt;","",K115)),NA())</f>
        <v>#VALUE!</v>
      </c>
    </row>
    <row r="197" spans="2:11" ht="13.2" hidden="1" x14ac:dyDescent="0.25">
      <c r="B197" s="128" t="str">
        <f>IF(Sheet1!D$194,B116,NA())</f>
        <v xml:space="preserve"> </v>
      </c>
      <c r="C197" s="128"/>
      <c r="D197" s="131" t="e">
        <f>IF(Sheet1!$D$194,CHOOSE(Sheet1!D$266,"",IF($C116="Clear=&gt;","",D116)),NA())</f>
        <v>#VALUE!</v>
      </c>
      <c r="E197" s="130" t="e">
        <f>IF(Sheet1!$D$194,CHOOSE(Sheet1!E$266,"",IF($C116="Clear=&gt;","",E116)),NA())</f>
        <v>#VALUE!</v>
      </c>
      <c r="F197" s="130" t="e">
        <f>IF(Sheet1!$D$194,CHOOSE(Sheet1!F$266,"",IF($C116="Clear=&gt;","",F116)),NA())</f>
        <v>#VALUE!</v>
      </c>
      <c r="G197" s="130" t="e">
        <f>IF(Sheet1!$D$194,CHOOSE(Sheet1!G$266,"",IF($C116="Clear=&gt;","",G116)),NA())</f>
        <v>#VALUE!</v>
      </c>
      <c r="H197" s="130" t="e">
        <f>IF(Sheet1!$D$194,CHOOSE(Sheet1!H$266,"",IF($C116="Clear=&gt;","",H116)),NA())</f>
        <v>#VALUE!</v>
      </c>
      <c r="I197" s="130" t="e">
        <f>IF(Sheet1!$D$194,CHOOSE(Sheet1!I$266,"",IF($C116="Clear=&gt;","",I116)),NA())</f>
        <v>#VALUE!</v>
      </c>
      <c r="J197" s="130" t="e">
        <f>IF(Sheet1!$D$194,CHOOSE(Sheet1!J$266,"",IF($C116="Clear=&gt;","",J116)),NA())</f>
        <v>#VALUE!</v>
      </c>
      <c r="K197" s="129" t="e">
        <f>IF(Sheet1!$D$194,CHOOSE(Sheet1!K$266,"",IF($C116="Clear=&gt;","",K116)),NA())</f>
        <v>#VALUE!</v>
      </c>
    </row>
    <row r="198" spans="2:11" ht="13.2" hidden="1" x14ac:dyDescent="0.25">
      <c r="B198" s="128" t="str">
        <f>IF(Sheet1!D$194,B117,NA())</f>
        <v xml:space="preserve"> </v>
      </c>
      <c r="C198" s="128"/>
      <c r="D198" s="131" t="e">
        <f>IF(Sheet1!$D$194,CHOOSE(Sheet1!D$266,"",IF($C117="Clear=&gt;","",D117)),NA())</f>
        <v>#VALUE!</v>
      </c>
      <c r="E198" s="130" t="e">
        <f>IF(Sheet1!$D$194,CHOOSE(Sheet1!E$266,"",IF($C117="Clear=&gt;","",E117)),NA())</f>
        <v>#VALUE!</v>
      </c>
      <c r="F198" s="130" t="e">
        <f>IF(Sheet1!$D$194,CHOOSE(Sheet1!F$266,"",IF($C117="Clear=&gt;","",F117)),NA())</f>
        <v>#VALUE!</v>
      </c>
      <c r="G198" s="130" t="e">
        <f>IF(Sheet1!$D$194,CHOOSE(Sheet1!G$266,"",IF($C117="Clear=&gt;","",G117)),NA())</f>
        <v>#VALUE!</v>
      </c>
      <c r="H198" s="130" t="e">
        <f>IF(Sheet1!$D$194,CHOOSE(Sheet1!H$266,"",IF($C117="Clear=&gt;","",H117)),NA())</f>
        <v>#VALUE!</v>
      </c>
      <c r="I198" s="130" t="e">
        <f>IF(Sheet1!$D$194,CHOOSE(Sheet1!I$266,"",IF($C117="Clear=&gt;","",I117)),NA())</f>
        <v>#VALUE!</v>
      </c>
      <c r="J198" s="130" t="e">
        <f>IF(Sheet1!$D$194,CHOOSE(Sheet1!J$266,"",IF($C117="Clear=&gt;","",J117)),NA())</f>
        <v>#VALUE!</v>
      </c>
      <c r="K198" s="129" t="e">
        <f>IF(Sheet1!$D$194,CHOOSE(Sheet1!K$266,"",IF($C117="Clear=&gt;","",K117)),NA())</f>
        <v>#VALUE!</v>
      </c>
    </row>
    <row r="199" spans="2:11" ht="13.2" hidden="1" x14ac:dyDescent="0.25">
      <c r="B199" s="128" t="str">
        <f>IF(Sheet1!D$194,B118,NA())</f>
        <v xml:space="preserve"> </v>
      </c>
      <c r="C199" s="128"/>
      <c r="D199" s="131" t="e">
        <f>IF(Sheet1!$D$194,CHOOSE(Sheet1!D$266,"",IF($C118="Clear=&gt;","",D118)),NA())</f>
        <v>#VALUE!</v>
      </c>
      <c r="E199" s="130" t="e">
        <f>IF(Sheet1!$D$194,CHOOSE(Sheet1!E$266,"",IF($C118="Clear=&gt;","",E118)),NA())</f>
        <v>#VALUE!</v>
      </c>
      <c r="F199" s="130" t="e">
        <f>IF(Sheet1!$D$194,CHOOSE(Sheet1!F$266,"",IF($C118="Clear=&gt;","",F118)),NA())</f>
        <v>#VALUE!</v>
      </c>
      <c r="G199" s="130" t="e">
        <f>IF(Sheet1!$D$194,CHOOSE(Sheet1!G$266,"",IF($C118="Clear=&gt;","",G118)),NA())</f>
        <v>#VALUE!</v>
      </c>
      <c r="H199" s="130" t="e">
        <f>IF(Sheet1!$D$194,CHOOSE(Sheet1!H$266,"",IF($C118="Clear=&gt;","",H118)),NA())</f>
        <v>#VALUE!</v>
      </c>
      <c r="I199" s="130" t="e">
        <f>IF(Sheet1!$D$194,CHOOSE(Sheet1!I$266,"",IF($C118="Clear=&gt;","",I118)),NA())</f>
        <v>#VALUE!</v>
      </c>
      <c r="J199" s="130" t="e">
        <f>IF(Sheet1!$D$194,CHOOSE(Sheet1!J$266,"",IF($C118="Clear=&gt;","",J118)),NA())</f>
        <v>#VALUE!</v>
      </c>
      <c r="K199" s="129" t="e">
        <f>IF(Sheet1!$D$194,CHOOSE(Sheet1!K$266,"",IF($C118="Clear=&gt;","",K118)),NA())</f>
        <v>#VALUE!</v>
      </c>
    </row>
    <row r="200" spans="2:11" ht="13.2" hidden="1" x14ac:dyDescent="0.25">
      <c r="B200" s="128" t="str">
        <f>IF(Sheet1!D$194,B119,NA())</f>
        <v xml:space="preserve"> </v>
      </c>
      <c r="C200" s="128"/>
      <c r="D200" s="131" t="e">
        <f>IF(Sheet1!$D$194,CHOOSE(Sheet1!D$266,"",IF($C119="Clear=&gt;","",D119)),NA())</f>
        <v>#VALUE!</v>
      </c>
      <c r="E200" s="130" t="e">
        <f>IF(Sheet1!$D$194,CHOOSE(Sheet1!E$266,"",IF($C119="Clear=&gt;","",E119)),NA())</f>
        <v>#VALUE!</v>
      </c>
      <c r="F200" s="130" t="e">
        <f>IF(Sheet1!$D$194,CHOOSE(Sheet1!F$266,"",IF($C119="Clear=&gt;","",F119)),NA())</f>
        <v>#VALUE!</v>
      </c>
      <c r="G200" s="130" t="e">
        <f>IF(Sheet1!$D$194,CHOOSE(Sheet1!G$266,"",IF($C119="Clear=&gt;","",G119)),NA())</f>
        <v>#VALUE!</v>
      </c>
      <c r="H200" s="130" t="e">
        <f>IF(Sheet1!$D$194,CHOOSE(Sheet1!H$266,"",IF($C119="Clear=&gt;","",H119)),NA())</f>
        <v>#VALUE!</v>
      </c>
      <c r="I200" s="130" t="e">
        <f>IF(Sheet1!$D$194,CHOOSE(Sheet1!I$266,"",IF($C119="Clear=&gt;","",I119)),NA())</f>
        <v>#VALUE!</v>
      </c>
      <c r="J200" s="130" t="e">
        <f>IF(Sheet1!$D$194,CHOOSE(Sheet1!J$266,"",IF($C119="Clear=&gt;","",J119)),NA())</f>
        <v>#VALUE!</v>
      </c>
      <c r="K200" s="129" t="e">
        <f>IF(Sheet1!$D$194,CHOOSE(Sheet1!K$266,"",IF($C119="Clear=&gt;","",K119)),NA())</f>
        <v>#VALUE!</v>
      </c>
    </row>
    <row r="201" spans="2:11" ht="13.2" hidden="1" x14ac:dyDescent="0.25">
      <c r="B201" s="128" t="str">
        <f>IF(Sheet1!D$194,B120,NA())</f>
        <v xml:space="preserve"> </v>
      </c>
      <c r="C201" s="128"/>
      <c r="D201" s="131" t="e">
        <f>IF(Sheet1!$D$194,CHOOSE(Sheet1!D$266,"",IF($C120="Clear=&gt;","",D120)),NA())</f>
        <v>#VALUE!</v>
      </c>
      <c r="E201" s="130" t="e">
        <f>IF(Sheet1!$D$194,CHOOSE(Sheet1!E$266,"",IF($C120="Clear=&gt;","",E120)),NA())</f>
        <v>#VALUE!</v>
      </c>
      <c r="F201" s="130" t="e">
        <f>IF(Sheet1!$D$194,CHOOSE(Sheet1!F$266,"",IF($C120="Clear=&gt;","",F120)),NA())</f>
        <v>#VALUE!</v>
      </c>
      <c r="G201" s="130" t="e">
        <f>IF(Sheet1!$D$194,CHOOSE(Sheet1!G$266,"",IF($C120="Clear=&gt;","",G120)),NA())</f>
        <v>#VALUE!</v>
      </c>
      <c r="H201" s="130" t="e">
        <f>IF(Sheet1!$D$194,CHOOSE(Sheet1!H$266,"",IF($C120="Clear=&gt;","",H120)),NA())</f>
        <v>#VALUE!</v>
      </c>
      <c r="I201" s="130" t="e">
        <f>IF(Sheet1!$D$194,CHOOSE(Sheet1!I$266,"",IF($C120="Clear=&gt;","",I120)),NA())</f>
        <v>#VALUE!</v>
      </c>
      <c r="J201" s="130" t="e">
        <f>IF(Sheet1!$D$194,CHOOSE(Sheet1!J$266,"",IF($C120="Clear=&gt;","",J120)),NA())</f>
        <v>#VALUE!</v>
      </c>
      <c r="K201" s="129" t="e">
        <f>IF(Sheet1!$D$194,CHOOSE(Sheet1!K$266,"",IF($C120="Clear=&gt;","",K120)),NA())</f>
        <v>#VALUE!</v>
      </c>
    </row>
    <row r="202" spans="2:11" ht="13.2" hidden="1" x14ac:dyDescent="0.25">
      <c r="B202" s="128" t="str">
        <f>IF(Sheet1!D$194,B121,NA())</f>
        <v xml:space="preserve"> </v>
      </c>
      <c r="C202" s="128"/>
      <c r="D202" s="131" t="e">
        <f>IF(Sheet1!$D$194,CHOOSE(Sheet1!D$266,"",IF($C121="Clear=&gt;","",D121)),NA())</f>
        <v>#VALUE!</v>
      </c>
      <c r="E202" s="130" t="e">
        <f>IF(Sheet1!$D$194,CHOOSE(Sheet1!E$266,"",IF($C121="Clear=&gt;","",E121)),NA())</f>
        <v>#VALUE!</v>
      </c>
      <c r="F202" s="130" t="e">
        <f>IF(Sheet1!$D$194,CHOOSE(Sheet1!F$266,"",IF($C121="Clear=&gt;","",F121)),NA())</f>
        <v>#VALUE!</v>
      </c>
      <c r="G202" s="130" t="e">
        <f>IF(Sheet1!$D$194,CHOOSE(Sheet1!G$266,"",IF($C121="Clear=&gt;","",G121)),NA())</f>
        <v>#VALUE!</v>
      </c>
      <c r="H202" s="130" t="e">
        <f>IF(Sheet1!$D$194,CHOOSE(Sheet1!H$266,"",IF($C121="Clear=&gt;","",H121)),NA())</f>
        <v>#VALUE!</v>
      </c>
      <c r="I202" s="130" t="e">
        <f>IF(Sheet1!$D$194,CHOOSE(Sheet1!I$266,"",IF($C121="Clear=&gt;","",I121)),NA())</f>
        <v>#VALUE!</v>
      </c>
      <c r="J202" s="130" t="e">
        <f>IF(Sheet1!$D$194,CHOOSE(Sheet1!J$266,"",IF($C121="Clear=&gt;","",J121)),NA())</f>
        <v>#VALUE!</v>
      </c>
      <c r="K202" s="129" t="e">
        <f>IF(Sheet1!$D$194,CHOOSE(Sheet1!K$266,"",IF($C121="Clear=&gt;","",K121)),NA())</f>
        <v>#VALUE!</v>
      </c>
    </row>
    <row r="203" spans="2:11" ht="13.2" hidden="1" x14ac:dyDescent="0.25">
      <c r="B203" s="128" t="str">
        <f>IF(Sheet1!D$194,B122,NA())</f>
        <v xml:space="preserve"> </v>
      </c>
      <c r="C203" s="128"/>
      <c r="D203" s="131" t="e">
        <f>IF(Sheet1!$D$194,CHOOSE(Sheet1!D$266,"",IF($C122="Clear=&gt;","",D122)),NA())</f>
        <v>#VALUE!</v>
      </c>
      <c r="E203" s="130" t="e">
        <f>IF(Sheet1!$D$194,CHOOSE(Sheet1!E$266,"",IF($C122="Clear=&gt;","",E122)),NA())</f>
        <v>#VALUE!</v>
      </c>
      <c r="F203" s="130" t="e">
        <f>IF(Sheet1!$D$194,CHOOSE(Sheet1!F$266,"",IF($C122="Clear=&gt;","",F122)),NA())</f>
        <v>#VALUE!</v>
      </c>
      <c r="G203" s="130" t="e">
        <f>IF(Sheet1!$D$194,CHOOSE(Sheet1!G$266,"",IF($C122="Clear=&gt;","",G122)),NA())</f>
        <v>#VALUE!</v>
      </c>
      <c r="H203" s="130" t="e">
        <f>IF(Sheet1!$D$194,CHOOSE(Sheet1!H$266,"",IF($C122="Clear=&gt;","",H122)),NA())</f>
        <v>#VALUE!</v>
      </c>
      <c r="I203" s="130" t="e">
        <f>IF(Sheet1!$D$194,CHOOSE(Sheet1!I$266,"",IF($C122="Clear=&gt;","",I122)),NA())</f>
        <v>#VALUE!</v>
      </c>
      <c r="J203" s="130" t="e">
        <f>IF(Sheet1!$D$194,CHOOSE(Sheet1!J$266,"",IF($C122="Clear=&gt;","",J122)),NA())</f>
        <v>#VALUE!</v>
      </c>
      <c r="K203" s="129" t="e">
        <f>IF(Sheet1!$D$194,CHOOSE(Sheet1!K$266,"",IF($C122="Clear=&gt;","",K122)),NA())</f>
        <v>#VALUE!</v>
      </c>
    </row>
    <row r="204" spans="2:11" ht="13.2" hidden="1" x14ac:dyDescent="0.25">
      <c r="B204" s="128" t="str">
        <f>IF(Sheet1!D$194,B123,NA())</f>
        <v xml:space="preserve"> </v>
      </c>
      <c r="C204" s="128"/>
      <c r="D204" s="131" t="e">
        <f>IF(Sheet1!$D$194,CHOOSE(Sheet1!D$266,"",IF($C123="Clear=&gt;","",D123)),NA())</f>
        <v>#VALUE!</v>
      </c>
      <c r="E204" s="130" t="e">
        <f>IF(Sheet1!$D$194,CHOOSE(Sheet1!E$266,"",IF($C123="Clear=&gt;","",E123)),NA())</f>
        <v>#VALUE!</v>
      </c>
      <c r="F204" s="130" t="e">
        <f>IF(Sheet1!$D$194,CHOOSE(Sheet1!F$266,"",IF($C123="Clear=&gt;","",F123)),NA())</f>
        <v>#VALUE!</v>
      </c>
      <c r="G204" s="130" t="e">
        <f>IF(Sheet1!$D$194,CHOOSE(Sheet1!G$266,"",IF($C123="Clear=&gt;","",G123)),NA())</f>
        <v>#VALUE!</v>
      </c>
      <c r="H204" s="130" t="e">
        <f>IF(Sheet1!$D$194,CHOOSE(Sheet1!H$266,"",IF($C123="Clear=&gt;","",H123)),NA())</f>
        <v>#VALUE!</v>
      </c>
      <c r="I204" s="130" t="e">
        <f>IF(Sheet1!$D$194,CHOOSE(Sheet1!I$266,"",IF($C123="Clear=&gt;","",I123)),NA())</f>
        <v>#VALUE!</v>
      </c>
      <c r="J204" s="130" t="e">
        <f>IF(Sheet1!$D$194,CHOOSE(Sheet1!J$266,"",IF($C123="Clear=&gt;","",J123)),NA())</f>
        <v>#VALUE!</v>
      </c>
      <c r="K204" s="129" t="e">
        <f>IF(Sheet1!$D$194,CHOOSE(Sheet1!K$266,"",IF($C123="Clear=&gt;","",K123)),NA())</f>
        <v>#VALUE!</v>
      </c>
    </row>
    <row r="205" spans="2:11" ht="13.2" hidden="1" x14ac:dyDescent="0.25">
      <c r="B205" s="128" t="str">
        <f>IF(Sheet1!D$194,B124,NA())</f>
        <v xml:space="preserve"> </v>
      </c>
      <c r="C205" s="128"/>
      <c r="D205" s="131" t="e">
        <f>IF(Sheet1!$D$194,CHOOSE(Sheet1!D$266,"",IF($C124="Clear=&gt;","",D124)),NA())</f>
        <v>#VALUE!</v>
      </c>
      <c r="E205" s="130" t="e">
        <f>IF(Sheet1!$D$194,CHOOSE(Sheet1!E$266,"",IF($C124="Clear=&gt;","",E124)),NA())</f>
        <v>#VALUE!</v>
      </c>
      <c r="F205" s="130" t="e">
        <f>IF(Sheet1!$D$194,CHOOSE(Sheet1!F$266,"",IF($C124="Clear=&gt;","",F124)),NA())</f>
        <v>#VALUE!</v>
      </c>
      <c r="G205" s="130" t="e">
        <f>IF(Sheet1!$D$194,CHOOSE(Sheet1!G$266,"",IF($C124="Clear=&gt;","",G124)),NA())</f>
        <v>#VALUE!</v>
      </c>
      <c r="H205" s="130" t="e">
        <f>IF(Sheet1!$D$194,CHOOSE(Sheet1!H$266,"",IF($C124="Clear=&gt;","",H124)),NA())</f>
        <v>#VALUE!</v>
      </c>
      <c r="I205" s="130" t="e">
        <f>IF(Sheet1!$D$194,CHOOSE(Sheet1!I$266,"",IF($C124="Clear=&gt;","",I124)),NA())</f>
        <v>#VALUE!</v>
      </c>
      <c r="J205" s="130" t="e">
        <f>IF(Sheet1!$D$194,CHOOSE(Sheet1!J$266,"",IF($C124="Clear=&gt;","",J124)),NA())</f>
        <v>#VALUE!</v>
      </c>
      <c r="K205" s="129" t="e">
        <f>IF(Sheet1!$D$194,CHOOSE(Sheet1!K$266,"",IF($C124="Clear=&gt;","",K124)),NA())</f>
        <v>#VALUE!</v>
      </c>
    </row>
    <row r="206" spans="2:11" ht="13.2" hidden="1" x14ac:dyDescent="0.25">
      <c r="B206" s="128" t="str">
        <f>IF(Sheet1!D$194,B125,NA())</f>
        <v xml:space="preserve"> </v>
      </c>
      <c r="C206" s="128"/>
      <c r="D206" s="131" t="e">
        <f>IF(Sheet1!$D$194,CHOOSE(Sheet1!D$266,"",IF($C125="Clear=&gt;","",D125)),NA())</f>
        <v>#VALUE!</v>
      </c>
      <c r="E206" s="130" t="e">
        <f>IF(Sheet1!$D$194,CHOOSE(Sheet1!E$266,"",IF($C125="Clear=&gt;","",E125)),NA())</f>
        <v>#VALUE!</v>
      </c>
      <c r="F206" s="130" t="e">
        <f>IF(Sheet1!$D$194,CHOOSE(Sheet1!F$266,"",IF($C125="Clear=&gt;","",F125)),NA())</f>
        <v>#VALUE!</v>
      </c>
      <c r="G206" s="130" t="e">
        <f>IF(Sheet1!$D$194,CHOOSE(Sheet1!G$266,"",IF($C125="Clear=&gt;","",G125)),NA())</f>
        <v>#VALUE!</v>
      </c>
      <c r="H206" s="130" t="e">
        <f>IF(Sheet1!$D$194,CHOOSE(Sheet1!H$266,"",IF($C125="Clear=&gt;","",H125)),NA())</f>
        <v>#VALUE!</v>
      </c>
      <c r="I206" s="130" t="e">
        <f>IF(Sheet1!$D$194,CHOOSE(Sheet1!I$266,"",IF($C125="Clear=&gt;","",I125)),NA())</f>
        <v>#VALUE!</v>
      </c>
      <c r="J206" s="130" t="e">
        <f>IF(Sheet1!$D$194,CHOOSE(Sheet1!J$266,"",IF($C125="Clear=&gt;","",J125)),NA())</f>
        <v>#VALUE!</v>
      </c>
      <c r="K206" s="129" t="e">
        <f>IF(Sheet1!$D$194,CHOOSE(Sheet1!K$266,"",IF($C125="Clear=&gt;","",K125)),NA())</f>
        <v>#VALUE!</v>
      </c>
    </row>
    <row r="207" spans="2:11" ht="13.2" hidden="1" x14ac:dyDescent="0.25">
      <c r="B207" s="128" t="str">
        <f>IF(Sheet1!D$194,B126,NA())</f>
        <v xml:space="preserve"> </v>
      </c>
      <c r="C207" s="128"/>
      <c r="D207" s="131" t="e">
        <f>IF(Sheet1!$D$194,CHOOSE(Sheet1!D$266,"",IF($C126="Clear=&gt;","",D126)),NA())</f>
        <v>#VALUE!</v>
      </c>
      <c r="E207" s="130" t="e">
        <f>IF(Sheet1!$D$194,CHOOSE(Sheet1!E$266,"",IF($C126="Clear=&gt;","",E126)),NA())</f>
        <v>#VALUE!</v>
      </c>
      <c r="F207" s="130" t="e">
        <f>IF(Sheet1!$D$194,CHOOSE(Sheet1!F$266,"",IF($C126="Clear=&gt;","",F126)),NA())</f>
        <v>#VALUE!</v>
      </c>
      <c r="G207" s="130" t="e">
        <f>IF(Sheet1!$D$194,CHOOSE(Sheet1!G$266,"",IF($C126="Clear=&gt;","",G126)),NA())</f>
        <v>#VALUE!</v>
      </c>
      <c r="H207" s="130" t="e">
        <f>IF(Sheet1!$D$194,CHOOSE(Sheet1!H$266,"",IF($C126="Clear=&gt;","",H126)),NA())</f>
        <v>#VALUE!</v>
      </c>
      <c r="I207" s="130" t="e">
        <f>IF(Sheet1!$D$194,CHOOSE(Sheet1!I$266,"",IF($C126="Clear=&gt;","",I126)),NA())</f>
        <v>#VALUE!</v>
      </c>
      <c r="J207" s="130" t="e">
        <f>IF(Sheet1!$D$194,CHOOSE(Sheet1!J$266,"",IF($C126="Clear=&gt;","",J126)),NA())</f>
        <v>#VALUE!</v>
      </c>
      <c r="K207" s="129" t="e">
        <f>IF(Sheet1!$D$194,CHOOSE(Sheet1!K$266,"",IF($C126="Clear=&gt;","",K126)),NA())</f>
        <v>#VALUE!</v>
      </c>
    </row>
    <row r="208" spans="2:11" ht="13.2" hidden="1" x14ac:dyDescent="0.25">
      <c r="B208" s="128" t="str">
        <f>IF(Sheet1!D$194,B127,NA())</f>
        <v xml:space="preserve"> </v>
      </c>
      <c r="C208" s="128"/>
      <c r="D208" s="131" t="e">
        <f>IF(Sheet1!$D$194,CHOOSE(Sheet1!D$266,"",IF($C127="Clear=&gt;","",D127)),NA())</f>
        <v>#VALUE!</v>
      </c>
      <c r="E208" s="130" t="e">
        <f>IF(Sheet1!$D$194,CHOOSE(Sheet1!E$266,"",IF($C127="Clear=&gt;","",E127)),NA())</f>
        <v>#VALUE!</v>
      </c>
      <c r="F208" s="130" t="e">
        <f>IF(Sheet1!$D$194,CHOOSE(Sheet1!F$266,"",IF($C127="Clear=&gt;","",F127)),NA())</f>
        <v>#VALUE!</v>
      </c>
      <c r="G208" s="130" t="e">
        <f>IF(Sheet1!$D$194,CHOOSE(Sheet1!G$266,"",IF($C127="Clear=&gt;","",G127)),NA())</f>
        <v>#VALUE!</v>
      </c>
      <c r="H208" s="130" t="e">
        <f>IF(Sheet1!$D$194,CHOOSE(Sheet1!H$266,"",IF($C127="Clear=&gt;","",H127)),NA())</f>
        <v>#VALUE!</v>
      </c>
      <c r="I208" s="130" t="e">
        <f>IF(Sheet1!$D$194,CHOOSE(Sheet1!I$266,"",IF($C127="Clear=&gt;","",I127)),NA())</f>
        <v>#VALUE!</v>
      </c>
      <c r="J208" s="130" t="e">
        <f>IF(Sheet1!$D$194,CHOOSE(Sheet1!J$266,"",IF($C127="Clear=&gt;","",J127)),NA())</f>
        <v>#VALUE!</v>
      </c>
      <c r="K208" s="129" t="e">
        <f>IF(Sheet1!$D$194,CHOOSE(Sheet1!K$266,"",IF($C127="Clear=&gt;","",K127)),NA())</f>
        <v>#VALUE!</v>
      </c>
    </row>
    <row r="209" spans="2:11" ht="13.2" hidden="1" x14ac:dyDescent="0.25">
      <c r="B209" s="128" t="str">
        <f>IF(Sheet1!D$194,B128,NA())</f>
        <v xml:space="preserve"> </v>
      </c>
      <c r="C209" s="128"/>
      <c r="D209" s="131" t="e">
        <f>IF(Sheet1!$D$194,CHOOSE(Sheet1!D$266,"",IF($C128="Clear=&gt;","",D128)),NA())</f>
        <v>#VALUE!</v>
      </c>
      <c r="E209" s="130" t="e">
        <f>IF(Sheet1!$D$194,CHOOSE(Sheet1!E$266,"",IF($C128="Clear=&gt;","",E128)),NA())</f>
        <v>#VALUE!</v>
      </c>
      <c r="F209" s="130" t="e">
        <f>IF(Sheet1!$D$194,CHOOSE(Sheet1!F$266,"",IF($C128="Clear=&gt;","",F128)),NA())</f>
        <v>#VALUE!</v>
      </c>
      <c r="G209" s="130" t="e">
        <f>IF(Sheet1!$D$194,CHOOSE(Sheet1!G$266,"",IF($C128="Clear=&gt;","",G128)),NA())</f>
        <v>#VALUE!</v>
      </c>
      <c r="H209" s="130" t="e">
        <f>IF(Sheet1!$D$194,CHOOSE(Sheet1!H$266,"",IF($C128="Clear=&gt;","",H128)),NA())</f>
        <v>#VALUE!</v>
      </c>
      <c r="I209" s="130" t="e">
        <f>IF(Sheet1!$D$194,CHOOSE(Sheet1!I$266,"",IF($C128="Clear=&gt;","",I128)),NA())</f>
        <v>#VALUE!</v>
      </c>
      <c r="J209" s="130" t="e">
        <f>IF(Sheet1!$D$194,CHOOSE(Sheet1!J$266,"",IF($C128="Clear=&gt;","",J128)),NA())</f>
        <v>#VALUE!</v>
      </c>
      <c r="K209" s="129" t="e">
        <f>IF(Sheet1!$D$194,CHOOSE(Sheet1!K$266,"",IF($C128="Clear=&gt;","",K128)),NA())</f>
        <v>#VALUE!</v>
      </c>
    </row>
    <row r="210" spans="2:11" ht="13.2" hidden="1" x14ac:dyDescent="0.25">
      <c r="B210" s="128" t="str">
        <f>IF(Sheet1!D$194,B129,NA())</f>
        <v xml:space="preserve"> </v>
      </c>
      <c r="C210" s="128"/>
      <c r="D210" s="131" t="e">
        <f>IF(Sheet1!$D$194,CHOOSE(Sheet1!D$266,"",IF($C129="Clear=&gt;","",D129)),NA())</f>
        <v>#VALUE!</v>
      </c>
      <c r="E210" s="130" t="e">
        <f>IF(Sheet1!$D$194,CHOOSE(Sheet1!E$266,"",IF($C129="Clear=&gt;","",E129)),NA())</f>
        <v>#VALUE!</v>
      </c>
      <c r="F210" s="130" t="e">
        <f>IF(Sheet1!$D$194,CHOOSE(Sheet1!F$266,"",IF($C129="Clear=&gt;","",F129)),NA())</f>
        <v>#VALUE!</v>
      </c>
      <c r="G210" s="130" t="e">
        <f>IF(Sheet1!$D$194,CHOOSE(Sheet1!G$266,"",IF($C129="Clear=&gt;","",G129)),NA())</f>
        <v>#VALUE!</v>
      </c>
      <c r="H210" s="130" t="e">
        <f>IF(Sheet1!$D$194,CHOOSE(Sheet1!H$266,"",IF($C129="Clear=&gt;","",H129)),NA())</f>
        <v>#VALUE!</v>
      </c>
      <c r="I210" s="130" t="e">
        <f>IF(Sheet1!$D$194,CHOOSE(Sheet1!I$266,"",IF($C129="Clear=&gt;","",I129)),NA())</f>
        <v>#VALUE!</v>
      </c>
      <c r="J210" s="130" t="e">
        <f>IF(Sheet1!$D$194,CHOOSE(Sheet1!J$266,"",IF($C129="Clear=&gt;","",J129)),NA())</f>
        <v>#VALUE!</v>
      </c>
      <c r="K210" s="129" t="e">
        <f>IF(Sheet1!$D$194,CHOOSE(Sheet1!K$266,"",IF($C129="Clear=&gt;","",K129)),NA())</f>
        <v>#VALUE!</v>
      </c>
    </row>
    <row r="211" spans="2:11" ht="13.2" hidden="1" x14ac:dyDescent="0.25">
      <c r="B211" s="128" t="str">
        <f>IF(Sheet1!D$194,B130,NA())</f>
        <v xml:space="preserve"> </v>
      </c>
      <c r="C211" s="128"/>
      <c r="D211" s="131" t="e">
        <f>IF(Sheet1!$D$194,CHOOSE(Sheet1!D$266,"",IF($C130="Clear=&gt;","",D130)),NA())</f>
        <v>#VALUE!</v>
      </c>
      <c r="E211" s="130" t="e">
        <f>IF(Sheet1!$D$194,CHOOSE(Sheet1!E$266,"",IF($C130="Clear=&gt;","",E130)),NA())</f>
        <v>#VALUE!</v>
      </c>
      <c r="F211" s="130" t="e">
        <f>IF(Sheet1!$D$194,CHOOSE(Sheet1!F$266,"",IF($C130="Clear=&gt;","",F130)),NA())</f>
        <v>#VALUE!</v>
      </c>
      <c r="G211" s="130" t="e">
        <f>IF(Sheet1!$D$194,CHOOSE(Sheet1!G$266,"",IF($C130="Clear=&gt;","",G130)),NA())</f>
        <v>#VALUE!</v>
      </c>
      <c r="H211" s="130" t="e">
        <f>IF(Sheet1!$D$194,CHOOSE(Sheet1!H$266,"",IF($C130="Clear=&gt;","",H130)),NA())</f>
        <v>#VALUE!</v>
      </c>
      <c r="I211" s="130" t="e">
        <f>IF(Sheet1!$D$194,CHOOSE(Sheet1!I$266,"",IF($C130="Clear=&gt;","",I130)),NA())</f>
        <v>#VALUE!</v>
      </c>
      <c r="J211" s="130" t="e">
        <f>IF(Sheet1!$D$194,CHOOSE(Sheet1!J$266,"",IF($C130="Clear=&gt;","",J130)),NA())</f>
        <v>#VALUE!</v>
      </c>
      <c r="K211" s="129" t="e">
        <f>IF(Sheet1!$D$194,CHOOSE(Sheet1!K$266,"",IF($C130="Clear=&gt;","",K130)),NA())</f>
        <v>#VALUE!</v>
      </c>
    </row>
    <row r="212" spans="2:11" ht="13.2" hidden="1" x14ac:dyDescent="0.25">
      <c r="B212" s="128" t="str">
        <f>IF(Sheet1!D$194,B131,NA())</f>
        <v xml:space="preserve"> </v>
      </c>
      <c r="C212" s="128"/>
      <c r="D212" s="131" t="e">
        <f>IF(Sheet1!$D$194,CHOOSE(Sheet1!D$266,"",IF($C131="Clear=&gt;","",D131)),NA())</f>
        <v>#VALUE!</v>
      </c>
      <c r="E212" s="130" t="e">
        <f>IF(Sheet1!$D$194,CHOOSE(Sheet1!E$266,"",IF($C131="Clear=&gt;","",E131)),NA())</f>
        <v>#VALUE!</v>
      </c>
      <c r="F212" s="130" t="e">
        <f>IF(Sheet1!$D$194,CHOOSE(Sheet1!F$266,"",IF($C131="Clear=&gt;","",F131)),NA())</f>
        <v>#VALUE!</v>
      </c>
      <c r="G212" s="130" t="e">
        <f>IF(Sheet1!$D$194,CHOOSE(Sheet1!G$266,"",IF($C131="Clear=&gt;","",G131)),NA())</f>
        <v>#VALUE!</v>
      </c>
      <c r="H212" s="130" t="e">
        <f>IF(Sheet1!$D$194,CHOOSE(Sheet1!H$266,"",IF($C131="Clear=&gt;","",H131)),NA())</f>
        <v>#VALUE!</v>
      </c>
      <c r="I212" s="130" t="e">
        <f>IF(Sheet1!$D$194,CHOOSE(Sheet1!I$266,"",IF($C131="Clear=&gt;","",I131)),NA())</f>
        <v>#VALUE!</v>
      </c>
      <c r="J212" s="130" t="e">
        <f>IF(Sheet1!$D$194,CHOOSE(Sheet1!J$266,"",IF($C131="Clear=&gt;","",J131)),NA())</f>
        <v>#VALUE!</v>
      </c>
      <c r="K212" s="129" t="e">
        <f>IF(Sheet1!$D$194,CHOOSE(Sheet1!K$266,"",IF($C131="Clear=&gt;","",K131)),NA())</f>
        <v>#VALUE!</v>
      </c>
    </row>
    <row r="213" spans="2:11" ht="13.2" hidden="1" x14ac:dyDescent="0.25">
      <c r="B213" s="128" t="str">
        <f>IF(Sheet1!D$194,B132,NA())</f>
        <v xml:space="preserve"> </v>
      </c>
      <c r="C213" s="128"/>
      <c r="D213" s="131" t="e">
        <f>IF(Sheet1!$D$194,CHOOSE(Sheet1!D$266,"",IF($C132="Clear=&gt;","",D132)),NA())</f>
        <v>#VALUE!</v>
      </c>
      <c r="E213" s="130" t="e">
        <f>IF(Sheet1!$D$194,CHOOSE(Sheet1!E$266,"",IF($C132="Clear=&gt;","",E132)),NA())</f>
        <v>#VALUE!</v>
      </c>
      <c r="F213" s="130" t="e">
        <f>IF(Sheet1!$D$194,CHOOSE(Sheet1!F$266,"",IF($C132="Clear=&gt;","",F132)),NA())</f>
        <v>#VALUE!</v>
      </c>
      <c r="G213" s="130" t="e">
        <f>IF(Sheet1!$D$194,CHOOSE(Sheet1!G$266,"",IF($C132="Clear=&gt;","",G132)),NA())</f>
        <v>#VALUE!</v>
      </c>
      <c r="H213" s="130" t="e">
        <f>IF(Sheet1!$D$194,CHOOSE(Sheet1!H$266,"",IF($C132="Clear=&gt;","",H132)),NA())</f>
        <v>#VALUE!</v>
      </c>
      <c r="I213" s="130" t="e">
        <f>IF(Sheet1!$D$194,CHOOSE(Sheet1!I$266,"",IF($C132="Clear=&gt;","",I132)),NA())</f>
        <v>#VALUE!</v>
      </c>
      <c r="J213" s="130" t="e">
        <f>IF(Sheet1!$D$194,CHOOSE(Sheet1!J$266,"",IF($C132="Clear=&gt;","",J132)),NA())</f>
        <v>#VALUE!</v>
      </c>
      <c r="K213" s="129" t="e">
        <f>IF(Sheet1!$D$194,CHOOSE(Sheet1!K$266,"",IF($C132="Clear=&gt;","",K132)),NA())</f>
        <v>#VALUE!</v>
      </c>
    </row>
    <row r="214" spans="2:11" ht="13.2" hidden="1" x14ac:dyDescent="0.25">
      <c r="B214" s="128" t="str">
        <f>IF(Sheet1!D$194,B133,NA())</f>
        <v xml:space="preserve"> </v>
      </c>
      <c r="C214" s="128"/>
      <c r="D214" s="131" t="e">
        <f>IF(Sheet1!$D$194,CHOOSE(Sheet1!D$266,"",IF($C133="Clear=&gt;","",D133)),NA())</f>
        <v>#VALUE!</v>
      </c>
      <c r="E214" s="130" t="e">
        <f>IF(Sheet1!$D$194,CHOOSE(Sheet1!E$266,"",IF($C133="Clear=&gt;","",E133)),NA())</f>
        <v>#VALUE!</v>
      </c>
      <c r="F214" s="130" t="e">
        <f>IF(Sheet1!$D$194,CHOOSE(Sheet1!F$266,"",IF($C133="Clear=&gt;","",F133)),NA())</f>
        <v>#VALUE!</v>
      </c>
      <c r="G214" s="130" t="e">
        <f>IF(Sheet1!$D$194,CHOOSE(Sheet1!G$266,"",IF($C133="Clear=&gt;","",G133)),NA())</f>
        <v>#VALUE!</v>
      </c>
      <c r="H214" s="130" t="e">
        <f>IF(Sheet1!$D$194,CHOOSE(Sheet1!H$266,"",IF($C133="Clear=&gt;","",H133)),NA())</f>
        <v>#VALUE!</v>
      </c>
      <c r="I214" s="130" t="e">
        <f>IF(Sheet1!$D$194,CHOOSE(Sheet1!I$266,"",IF($C133="Clear=&gt;","",I133)),NA())</f>
        <v>#VALUE!</v>
      </c>
      <c r="J214" s="130" t="e">
        <f>IF(Sheet1!$D$194,CHOOSE(Sheet1!J$266,"",IF($C133="Clear=&gt;","",J133)),NA())</f>
        <v>#VALUE!</v>
      </c>
      <c r="K214" s="129" t="e">
        <f>IF(Sheet1!$D$194,CHOOSE(Sheet1!K$266,"",IF($C133="Clear=&gt;","",K133)),NA())</f>
        <v>#VALUE!</v>
      </c>
    </row>
    <row r="215" spans="2:11" ht="13.2" hidden="1" x14ac:dyDescent="0.25">
      <c r="B215" s="128" t="str">
        <f>IF(Sheet1!D$194,B134,NA())</f>
        <v xml:space="preserve"> </v>
      </c>
      <c r="C215" s="128"/>
      <c r="D215" s="131" t="e">
        <f>IF(Sheet1!$D$194,CHOOSE(Sheet1!D$266,"",IF($C134="Clear=&gt;","",D134)),NA())</f>
        <v>#VALUE!</v>
      </c>
      <c r="E215" s="130" t="e">
        <f>IF(Sheet1!$D$194,CHOOSE(Sheet1!E$266,"",IF($C134="Clear=&gt;","",E134)),NA())</f>
        <v>#VALUE!</v>
      </c>
      <c r="F215" s="130" t="e">
        <f>IF(Sheet1!$D$194,CHOOSE(Sheet1!F$266,"",IF($C134="Clear=&gt;","",F134)),NA())</f>
        <v>#VALUE!</v>
      </c>
      <c r="G215" s="130" t="e">
        <f>IF(Sheet1!$D$194,CHOOSE(Sheet1!G$266,"",IF($C134="Clear=&gt;","",G134)),NA())</f>
        <v>#VALUE!</v>
      </c>
      <c r="H215" s="130" t="e">
        <f>IF(Sheet1!$D$194,CHOOSE(Sheet1!H$266,"",IF($C134="Clear=&gt;","",H134)),NA())</f>
        <v>#VALUE!</v>
      </c>
      <c r="I215" s="130" t="e">
        <f>IF(Sheet1!$D$194,CHOOSE(Sheet1!I$266,"",IF($C134="Clear=&gt;","",I134)),NA())</f>
        <v>#VALUE!</v>
      </c>
      <c r="J215" s="130" t="e">
        <f>IF(Sheet1!$D$194,CHOOSE(Sheet1!J$266,"",IF($C134="Clear=&gt;","",J134)),NA())</f>
        <v>#VALUE!</v>
      </c>
      <c r="K215" s="129" t="e">
        <f>IF(Sheet1!$D$194,CHOOSE(Sheet1!K$266,"",IF($C134="Clear=&gt;","",K134)),NA())</f>
        <v>#VALUE!</v>
      </c>
    </row>
    <row r="216" spans="2:11" ht="13.2" hidden="1" x14ac:dyDescent="0.25">
      <c r="B216" s="128" t="str">
        <f>IF(Sheet1!D$194,B135,NA())</f>
        <v xml:space="preserve"> </v>
      </c>
      <c r="C216" s="128"/>
      <c r="D216" s="131" t="e">
        <f>IF(Sheet1!$D$194,CHOOSE(Sheet1!D$266,"",IF($C135="Clear=&gt;","",D135)),NA())</f>
        <v>#VALUE!</v>
      </c>
      <c r="E216" s="130" t="e">
        <f>IF(Sheet1!$D$194,CHOOSE(Sheet1!E$266,"",IF($C135="Clear=&gt;","",E135)),NA())</f>
        <v>#VALUE!</v>
      </c>
      <c r="F216" s="130" t="e">
        <f>IF(Sheet1!$D$194,CHOOSE(Sheet1!F$266,"",IF($C135="Clear=&gt;","",F135)),NA())</f>
        <v>#VALUE!</v>
      </c>
      <c r="G216" s="130" t="e">
        <f>IF(Sheet1!$D$194,CHOOSE(Sheet1!G$266,"",IF($C135="Clear=&gt;","",G135)),NA())</f>
        <v>#VALUE!</v>
      </c>
      <c r="H216" s="130" t="e">
        <f>IF(Sheet1!$D$194,CHOOSE(Sheet1!H$266,"",IF($C135="Clear=&gt;","",H135)),NA())</f>
        <v>#VALUE!</v>
      </c>
      <c r="I216" s="130" t="e">
        <f>IF(Sheet1!$D$194,CHOOSE(Sheet1!I$266,"",IF($C135="Clear=&gt;","",I135)),NA())</f>
        <v>#VALUE!</v>
      </c>
      <c r="J216" s="130" t="e">
        <f>IF(Sheet1!$D$194,CHOOSE(Sheet1!J$266,"",IF($C135="Clear=&gt;","",J135)),NA())</f>
        <v>#VALUE!</v>
      </c>
      <c r="K216" s="129" t="e">
        <f>IF(Sheet1!$D$194,CHOOSE(Sheet1!K$266,"",IF($C135="Clear=&gt;","",K135)),NA())</f>
        <v>#VALUE!</v>
      </c>
    </row>
    <row r="217" spans="2:11" ht="13.2" hidden="1" x14ac:dyDescent="0.25">
      <c r="B217" s="128" t="str">
        <f>IF(Sheet1!D$194,B136,NA())</f>
        <v xml:space="preserve"> </v>
      </c>
      <c r="C217" s="128"/>
      <c r="D217" s="131" t="e">
        <f>IF(Sheet1!$D$194,CHOOSE(Sheet1!D$266,"",IF($C136="Clear=&gt;","",D136)),NA())</f>
        <v>#VALUE!</v>
      </c>
      <c r="E217" s="130" t="e">
        <f>IF(Sheet1!$D$194,CHOOSE(Sheet1!E$266,"",IF($C136="Clear=&gt;","",E136)),NA())</f>
        <v>#VALUE!</v>
      </c>
      <c r="F217" s="130" t="e">
        <f>IF(Sheet1!$D$194,CHOOSE(Sheet1!F$266,"",IF($C136="Clear=&gt;","",F136)),NA())</f>
        <v>#VALUE!</v>
      </c>
      <c r="G217" s="130" t="e">
        <f>IF(Sheet1!$D$194,CHOOSE(Sheet1!G$266,"",IF($C136="Clear=&gt;","",G136)),NA())</f>
        <v>#VALUE!</v>
      </c>
      <c r="H217" s="130" t="e">
        <f>IF(Sheet1!$D$194,CHOOSE(Sheet1!H$266,"",IF($C136="Clear=&gt;","",H136)),NA())</f>
        <v>#VALUE!</v>
      </c>
      <c r="I217" s="130" t="e">
        <f>IF(Sheet1!$D$194,CHOOSE(Sheet1!I$266,"",IF($C136="Clear=&gt;","",I136)),NA())</f>
        <v>#VALUE!</v>
      </c>
      <c r="J217" s="130" t="e">
        <f>IF(Sheet1!$D$194,CHOOSE(Sheet1!J$266,"",IF($C136="Clear=&gt;","",J136)),NA())</f>
        <v>#VALUE!</v>
      </c>
      <c r="K217" s="129" t="e">
        <f>IF(Sheet1!$D$194,CHOOSE(Sheet1!K$266,"",IF($C136="Clear=&gt;","",K136)),NA())</f>
        <v>#VALUE!</v>
      </c>
    </row>
    <row r="218" spans="2:11" ht="13.2" hidden="1" x14ac:dyDescent="0.25">
      <c r="B218" s="128" t="str">
        <f>IF(Sheet1!D$194,B137,NA())</f>
        <v xml:space="preserve"> </v>
      </c>
      <c r="C218" s="128"/>
      <c r="D218" s="131" t="e">
        <f>IF(Sheet1!$D$194,CHOOSE(Sheet1!D$266,"",IF($C137="Clear=&gt;","",D137)),NA())</f>
        <v>#VALUE!</v>
      </c>
      <c r="E218" s="130" t="e">
        <f>IF(Sheet1!$D$194,CHOOSE(Sheet1!E$266,"",IF($C137="Clear=&gt;","",E137)),NA())</f>
        <v>#VALUE!</v>
      </c>
      <c r="F218" s="130" t="e">
        <f>IF(Sheet1!$D$194,CHOOSE(Sheet1!F$266,"",IF($C137="Clear=&gt;","",F137)),NA())</f>
        <v>#VALUE!</v>
      </c>
      <c r="G218" s="130" t="e">
        <f>IF(Sheet1!$D$194,CHOOSE(Sheet1!G$266,"",IF($C137="Clear=&gt;","",G137)),NA())</f>
        <v>#VALUE!</v>
      </c>
      <c r="H218" s="130" t="e">
        <f>IF(Sheet1!$D$194,CHOOSE(Sheet1!H$266,"",IF($C137="Clear=&gt;","",H137)),NA())</f>
        <v>#VALUE!</v>
      </c>
      <c r="I218" s="130" t="e">
        <f>IF(Sheet1!$D$194,CHOOSE(Sheet1!I$266,"",IF($C137="Clear=&gt;","",I137)),NA())</f>
        <v>#VALUE!</v>
      </c>
      <c r="J218" s="130" t="e">
        <f>IF(Sheet1!$D$194,CHOOSE(Sheet1!J$266,"",IF($C137="Clear=&gt;","",J137)),NA())</f>
        <v>#VALUE!</v>
      </c>
      <c r="K218" s="129" t="e">
        <f>IF(Sheet1!$D$194,CHOOSE(Sheet1!K$266,"",IF($C137="Clear=&gt;","",K137)),NA())</f>
        <v>#VALUE!</v>
      </c>
    </row>
    <row r="219" spans="2:11" ht="13.2" hidden="1" x14ac:dyDescent="0.25">
      <c r="B219" s="128" t="str">
        <f>IF(Sheet1!D$194,B138,NA())</f>
        <v xml:space="preserve"> </v>
      </c>
      <c r="C219" s="128"/>
      <c r="D219" s="131" t="e">
        <f>IF(Sheet1!$D$194,CHOOSE(Sheet1!D$266,"",IF($C138="Clear=&gt;","",D138)),NA())</f>
        <v>#VALUE!</v>
      </c>
      <c r="E219" s="130" t="e">
        <f>IF(Sheet1!$D$194,CHOOSE(Sheet1!E$266,"",IF($C138="Clear=&gt;","",E138)),NA())</f>
        <v>#VALUE!</v>
      </c>
      <c r="F219" s="130" t="e">
        <f>IF(Sheet1!$D$194,CHOOSE(Sheet1!F$266,"",IF($C138="Clear=&gt;","",F138)),NA())</f>
        <v>#VALUE!</v>
      </c>
      <c r="G219" s="130" t="e">
        <f>IF(Sheet1!$D$194,CHOOSE(Sheet1!G$266,"",IF($C138="Clear=&gt;","",G138)),NA())</f>
        <v>#VALUE!</v>
      </c>
      <c r="H219" s="130" t="e">
        <f>IF(Sheet1!$D$194,CHOOSE(Sheet1!H$266,"",IF($C138="Clear=&gt;","",H138)),NA())</f>
        <v>#VALUE!</v>
      </c>
      <c r="I219" s="130" t="e">
        <f>IF(Sheet1!$D$194,CHOOSE(Sheet1!I$266,"",IF($C138="Clear=&gt;","",I138)),NA())</f>
        <v>#VALUE!</v>
      </c>
      <c r="J219" s="130" t="e">
        <f>IF(Sheet1!$D$194,CHOOSE(Sheet1!J$266,"",IF($C138="Clear=&gt;","",J138)),NA())</f>
        <v>#VALUE!</v>
      </c>
      <c r="K219" s="129" t="e">
        <f>IF(Sheet1!$D$194,CHOOSE(Sheet1!K$266,"",IF($C138="Clear=&gt;","",K138)),NA())</f>
        <v>#VALUE!</v>
      </c>
    </row>
    <row r="220" spans="2:11" ht="13.2" hidden="1" x14ac:dyDescent="0.25">
      <c r="B220" s="128" t="str">
        <f>IF(Sheet1!D$194,B139,NA())</f>
        <v xml:space="preserve"> </v>
      </c>
      <c r="C220" s="128"/>
      <c r="D220" s="131" t="e">
        <f>IF(Sheet1!$D$194,CHOOSE(Sheet1!D$266,"",IF($C139="Clear=&gt;","",D139)),NA())</f>
        <v>#VALUE!</v>
      </c>
      <c r="E220" s="130" t="e">
        <f>IF(Sheet1!$D$194,CHOOSE(Sheet1!E$266,"",IF($C139="Clear=&gt;","",E139)),NA())</f>
        <v>#VALUE!</v>
      </c>
      <c r="F220" s="130" t="e">
        <f>IF(Sheet1!$D$194,CHOOSE(Sheet1!F$266,"",IF($C139="Clear=&gt;","",F139)),NA())</f>
        <v>#VALUE!</v>
      </c>
      <c r="G220" s="130" t="e">
        <f>IF(Sheet1!$D$194,CHOOSE(Sheet1!G$266,"",IF($C139="Clear=&gt;","",G139)),NA())</f>
        <v>#VALUE!</v>
      </c>
      <c r="H220" s="130" t="e">
        <f>IF(Sheet1!$D$194,CHOOSE(Sheet1!H$266,"",IF($C139="Clear=&gt;","",H139)),NA())</f>
        <v>#VALUE!</v>
      </c>
      <c r="I220" s="130" t="e">
        <f>IF(Sheet1!$D$194,CHOOSE(Sheet1!I$266,"",IF($C139="Clear=&gt;","",I139)),NA())</f>
        <v>#VALUE!</v>
      </c>
      <c r="J220" s="130" t="e">
        <f>IF(Sheet1!$D$194,CHOOSE(Sheet1!J$266,"",IF($C139="Clear=&gt;","",J139)),NA())</f>
        <v>#VALUE!</v>
      </c>
      <c r="K220" s="129" t="e">
        <f>IF(Sheet1!$D$194,CHOOSE(Sheet1!K$266,"",IF($C139="Clear=&gt;","",K139)),NA())</f>
        <v>#VALUE!</v>
      </c>
    </row>
    <row r="221" spans="2:11" ht="13.2" hidden="1" x14ac:dyDescent="0.25">
      <c r="B221" s="128" t="str">
        <f>IF(Sheet1!D$194,B140,NA())</f>
        <v xml:space="preserve"> </v>
      </c>
      <c r="C221" s="128"/>
      <c r="D221" s="131" t="e">
        <f>IF(Sheet1!$D$194,CHOOSE(Sheet1!D$266,"",IF($C140="Clear=&gt;","",D140)),NA())</f>
        <v>#VALUE!</v>
      </c>
      <c r="E221" s="130" t="e">
        <f>IF(Sheet1!$D$194,CHOOSE(Sheet1!E$266,"",IF($C140="Clear=&gt;","",E140)),NA())</f>
        <v>#VALUE!</v>
      </c>
      <c r="F221" s="130" t="e">
        <f>IF(Sheet1!$D$194,CHOOSE(Sheet1!F$266,"",IF($C140="Clear=&gt;","",F140)),NA())</f>
        <v>#VALUE!</v>
      </c>
      <c r="G221" s="130" t="e">
        <f>IF(Sheet1!$D$194,CHOOSE(Sheet1!G$266,"",IF($C140="Clear=&gt;","",G140)),NA())</f>
        <v>#VALUE!</v>
      </c>
      <c r="H221" s="130" t="e">
        <f>IF(Sheet1!$D$194,CHOOSE(Sheet1!H$266,"",IF($C140="Clear=&gt;","",H140)),NA())</f>
        <v>#VALUE!</v>
      </c>
      <c r="I221" s="130" t="e">
        <f>IF(Sheet1!$D$194,CHOOSE(Sheet1!I$266,"",IF($C140="Clear=&gt;","",I140)),NA())</f>
        <v>#VALUE!</v>
      </c>
      <c r="J221" s="130" t="e">
        <f>IF(Sheet1!$D$194,CHOOSE(Sheet1!J$266,"",IF($C140="Clear=&gt;","",J140)),NA())</f>
        <v>#VALUE!</v>
      </c>
      <c r="K221" s="129" t="e">
        <f>IF(Sheet1!$D$194,CHOOSE(Sheet1!K$266,"",IF($C140="Clear=&gt;","",K140)),NA())</f>
        <v>#VALUE!</v>
      </c>
    </row>
    <row r="222" spans="2:11" ht="13.8" hidden="1" thickBot="1" x14ac:dyDescent="0.3">
      <c r="B222" s="128" t="str">
        <f>IF(Sheet1!D$194,B141,NA())</f>
        <v xml:space="preserve"> </v>
      </c>
      <c r="C222" s="128"/>
      <c r="D222" s="134" t="e">
        <f>IF(Sheet1!$D$194,CHOOSE(Sheet1!D$266,"",IF($C141="Clear=&gt;","",D141)),NA())</f>
        <v>#VALUE!</v>
      </c>
      <c r="E222" s="133" t="e">
        <f>IF(Sheet1!$D$194,CHOOSE(Sheet1!E$266,"",IF($C141="Clear=&gt;","",E141)),NA())</f>
        <v>#VALUE!</v>
      </c>
      <c r="F222" s="133" t="e">
        <f>IF(Sheet1!$D$194,CHOOSE(Sheet1!F$266,"",IF($C141="Clear=&gt;","",F141)),NA())</f>
        <v>#VALUE!</v>
      </c>
      <c r="G222" s="133" t="e">
        <f>IF(Sheet1!$D$194,CHOOSE(Sheet1!G$266,"",IF($C141="Clear=&gt;","",G141)),NA())</f>
        <v>#VALUE!</v>
      </c>
      <c r="H222" s="133" t="e">
        <f>IF(Sheet1!$D$194,CHOOSE(Sheet1!H$266,"",IF($C141="Clear=&gt;","",H141)),NA())</f>
        <v>#VALUE!</v>
      </c>
      <c r="I222" s="133" t="e">
        <f>IF(Sheet1!$D$194,CHOOSE(Sheet1!I$266,"",IF($C141="Clear=&gt;","",I141)),NA())</f>
        <v>#VALUE!</v>
      </c>
      <c r="J222" s="133" t="e">
        <f>IF(Sheet1!$D$194,CHOOSE(Sheet1!J$266,"",IF($C141="Clear=&gt;","",J141)),NA())</f>
        <v>#VALUE!</v>
      </c>
      <c r="K222" s="132" t="e">
        <f>IF(Sheet1!$D$194,CHOOSE(Sheet1!K$266,"",IF($C141="Clear=&gt;","",K141)),NA())</f>
        <v>#VALUE!</v>
      </c>
    </row>
    <row r="223" spans="2:11" ht="13.2" hidden="1" x14ac:dyDescent="0.25">
      <c r="B223" s="128" t="str">
        <f>IF(Sheet1!D$194,B142,NA())</f>
        <v xml:space="preserve"> </v>
      </c>
      <c r="C223" s="128"/>
      <c r="D223" s="131" t="e">
        <f>IF(Sheet1!$D$194,CHOOSE(Sheet1!D$266,"",IF($C142="Clear=&gt;","",D142)),NA())</f>
        <v>#VALUE!</v>
      </c>
      <c r="E223" s="130" t="e">
        <f>IF(Sheet1!$D$194,CHOOSE(Sheet1!E$266,"",IF($C142="Clear=&gt;","",E142)),NA())</f>
        <v>#VALUE!</v>
      </c>
      <c r="F223" s="130" t="e">
        <f>IF(Sheet1!$D$194,CHOOSE(Sheet1!F$266,"",IF($C142="Clear=&gt;","",F142)),NA())</f>
        <v>#VALUE!</v>
      </c>
      <c r="G223" s="130" t="e">
        <f>IF(Sheet1!$D$194,CHOOSE(Sheet1!G$266,"",IF($C142="Clear=&gt;","",G142)),NA())</f>
        <v>#VALUE!</v>
      </c>
      <c r="H223" s="130" t="e">
        <f>IF(Sheet1!$D$194,CHOOSE(Sheet1!H$266,"",IF($C142="Clear=&gt;","",H142)),NA())</f>
        <v>#VALUE!</v>
      </c>
      <c r="I223" s="130" t="e">
        <f>IF(Sheet1!$D$194,CHOOSE(Sheet1!I$266,"",IF($C142="Clear=&gt;","",I142)),NA())</f>
        <v>#VALUE!</v>
      </c>
      <c r="J223" s="130" t="e">
        <f>IF(Sheet1!$D$194,CHOOSE(Sheet1!J$266,"",IF($C142="Clear=&gt;","",J142)),NA())</f>
        <v>#VALUE!</v>
      </c>
      <c r="K223" s="129" t="e">
        <f>IF(Sheet1!$D$194,CHOOSE(Sheet1!K$266,"",IF($C142="Clear=&gt;","",K142)),NA())</f>
        <v>#VALUE!</v>
      </c>
    </row>
    <row r="224" spans="2:11" ht="13.2" hidden="1" x14ac:dyDescent="0.25">
      <c r="B224" s="128" t="str">
        <f>IF(Sheet1!D$194,B143,NA())</f>
        <v xml:space="preserve"> </v>
      </c>
      <c r="C224" s="128"/>
      <c r="D224" s="131" t="e">
        <f>IF(Sheet1!$D$194,CHOOSE(Sheet1!D$266,"",IF($C143="Clear=&gt;","",D143)),NA())</f>
        <v>#VALUE!</v>
      </c>
      <c r="E224" s="130" t="e">
        <f>IF(Sheet1!$D$194,CHOOSE(Sheet1!E$266,"",IF($C143="Clear=&gt;","",E143)),NA())</f>
        <v>#VALUE!</v>
      </c>
      <c r="F224" s="130" t="e">
        <f>IF(Sheet1!$D$194,CHOOSE(Sheet1!F$266,"",IF($C143="Clear=&gt;","",F143)),NA())</f>
        <v>#VALUE!</v>
      </c>
      <c r="G224" s="130" t="e">
        <f>IF(Sheet1!$D$194,CHOOSE(Sheet1!G$266,"",IF($C143="Clear=&gt;","",G143)),NA())</f>
        <v>#VALUE!</v>
      </c>
      <c r="H224" s="130" t="e">
        <f>IF(Sheet1!$D$194,CHOOSE(Sheet1!H$266,"",IF($C143="Clear=&gt;","",H143)),NA())</f>
        <v>#VALUE!</v>
      </c>
      <c r="I224" s="130" t="e">
        <f>IF(Sheet1!$D$194,CHOOSE(Sheet1!I$266,"",IF($C143="Clear=&gt;","",I143)),NA())</f>
        <v>#VALUE!</v>
      </c>
      <c r="J224" s="130" t="e">
        <f>IF(Sheet1!$D$194,CHOOSE(Sheet1!J$266,"",IF($C143="Clear=&gt;","",J143)),NA())</f>
        <v>#VALUE!</v>
      </c>
      <c r="K224" s="129" t="e">
        <f>IF(Sheet1!$D$194,CHOOSE(Sheet1!K$266,"",IF($C143="Clear=&gt;","",K143)),NA())</f>
        <v>#VALUE!</v>
      </c>
    </row>
    <row r="225" spans="2:11" ht="13.2" hidden="1" x14ac:dyDescent="0.25">
      <c r="B225" s="128" t="str">
        <f>IF(Sheet1!D$194,B144,NA())</f>
        <v xml:space="preserve"> </v>
      </c>
      <c r="C225" s="128"/>
      <c r="D225" s="131" t="e">
        <f>IF(Sheet1!$D$194,CHOOSE(Sheet1!D$266,"",IF($C144="Clear=&gt;","",D144)),NA())</f>
        <v>#VALUE!</v>
      </c>
      <c r="E225" s="130" t="e">
        <f>IF(Sheet1!$D$194,CHOOSE(Sheet1!E$266,"",IF($C144="Clear=&gt;","",E144)),NA())</f>
        <v>#VALUE!</v>
      </c>
      <c r="F225" s="130" t="e">
        <f>IF(Sheet1!$D$194,CHOOSE(Sheet1!F$266,"",IF($C144="Clear=&gt;","",F144)),NA())</f>
        <v>#VALUE!</v>
      </c>
      <c r="G225" s="130" t="e">
        <f>IF(Sheet1!$D$194,CHOOSE(Sheet1!G$266,"",IF($C144="Clear=&gt;","",G144)),NA())</f>
        <v>#VALUE!</v>
      </c>
      <c r="H225" s="130" t="e">
        <f>IF(Sheet1!$D$194,CHOOSE(Sheet1!H$266,"",IF($C144="Clear=&gt;","",H144)),NA())</f>
        <v>#VALUE!</v>
      </c>
      <c r="I225" s="130" t="e">
        <f>IF(Sheet1!$D$194,CHOOSE(Sheet1!I$266,"",IF($C144="Clear=&gt;","",I144)),NA())</f>
        <v>#VALUE!</v>
      </c>
      <c r="J225" s="130" t="e">
        <f>IF(Sheet1!$D$194,CHOOSE(Sheet1!J$266,"",IF($C144="Clear=&gt;","",J144)),NA())</f>
        <v>#VALUE!</v>
      </c>
      <c r="K225" s="129" t="e">
        <f>IF(Sheet1!$D$194,CHOOSE(Sheet1!K$266,"",IF($C144="Clear=&gt;","",K144)),NA())</f>
        <v>#VALUE!</v>
      </c>
    </row>
    <row r="226" spans="2:11" ht="13.2" hidden="1" x14ac:dyDescent="0.25">
      <c r="B226" s="128" t="str">
        <f>IF(Sheet1!D$194,B145,NA())</f>
        <v xml:space="preserve"> </v>
      </c>
      <c r="C226" s="128"/>
      <c r="D226" s="131" t="e">
        <f>IF(Sheet1!$D$194,CHOOSE(Sheet1!D$266,"",IF($C145="Clear=&gt;","",D145)),NA())</f>
        <v>#VALUE!</v>
      </c>
      <c r="E226" s="130" t="e">
        <f>IF(Sheet1!$D$194,CHOOSE(Sheet1!E$266,"",IF($C145="Clear=&gt;","",E145)),NA())</f>
        <v>#VALUE!</v>
      </c>
      <c r="F226" s="130" t="e">
        <f>IF(Sheet1!$D$194,CHOOSE(Sheet1!F$266,"",IF($C145="Clear=&gt;","",F145)),NA())</f>
        <v>#VALUE!</v>
      </c>
      <c r="G226" s="130" t="e">
        <f>IF(Sheet1!$D$194,CHOOSE(Sheet1!G$266,"",IF($C145="Clear=&gt;","",G145)),NA())</f>
        <v>#VALUE!</v>
      </c>
      <c r="H226" s="130" t="e">
        <f>IF(Sheet1!$D$194,CHOOSE(Sheet1!H$266,"",IF($C145="Clear=&gt;","",H145)),NA())</f>
        <v>#VALUE!</v>
      </c>
      <c r="I226" s="130" t="e">
        <f>IF(Sheet1!$D$194,CHOOSE(Sheet1!I$266,"",IF($C145="Clear=&gt;","",I145)),NA())</f>
        <v>#VALUE!</v>
      </c>
      <c r="J226" s="130" t="e">
        <f>IF(Sheet1!$D$194,CHOOSE(Sheet1!J$266,"",IF($C145="Clear=&gt;","",J145)),NA())</f>
        <v>#VALUE!</v>
      </c>
      <c r="K226" s="129" t="e">
        <f>IF(Sheet1!$D$194,CHOOSE(Sheet1!K$266,"",IF($C145="Clear=&gt;","",K145)),NA())</f>
        <v>#VALUE!</v>
      </c>
    </row>
    <row r="227" spans="2:11" ht="13.2" hidden="1" x14ac:dyDescent="0.25">
      <c r="B227" s="128" t="str">
        <f>IF(Sheet1!D$194,B146,NA())</f>
        <v xml:space="preserve"> </v>
      </c>
      <c r="C227" s="128"/>
      <c r="D227" s="131" t="e">
        <f>IF(Sheet1!$D$194,CHOOSE(Sheet1!D$266,"",IF($C146="Clear=&gt;","",D146)),NA())</f>
        <v>#VALUE!</v>
      </c>
      <c r="E227" s="130" t="e">
        <f>IF(Sheet1!$D$194,CHOOSE(Sheet1!E$266,"",IF($C146="Clear=&gt;","",E146)),NA())</f>
        <v>#VALUE!</v>
      </c>
      <c r="F227" s="130" t="e">
        <f>IF(Sheet1!$D$194,CHOOSE(Sheet1!F$266,"",IF($C146="Clear=&gt;","",F146)),NA())</f>
        <v>#VALUE!</v>
      </c>
      <c r="G227" s="130" t="e">
        <f>IF(Sheet1!$D$194,CHOOSE(Sheet1!G$266,"",IF($C146="Clear=&gt;","",G146)),NA())</f>
        <v>#VALUE!</v>
      </c>
      <c r="H227" s="130" t="e">
        <f>IF(Sheet1!$D$194,CHOOSE(Sheet1!H$266,"",IF($C146="Clear=&gt;","",H146)),NA())</f>
        <v>#VALUE!</v>
      </c>
      <c r="I227" s="130" t="e">
        <f>IF(Sheet1!$D$194,CHOOSE(Sheet1!I$266,"",IF($C146="Clear=&gt;","",I146)),NA())</f>
        <v>#VALUE!</v>
      </c>
      <c r="J227" s="130" t="e">
        <f>IF(Sheet1!$D$194,CHOOSE(Sheet1!J$266,"",IF($C146="Clear=&gt;","",J146)),NA())</f>
        <v>#VALUE!</v>
      </c>
      <c r="K227" s="129" t="e">
        <f>IF(Sheet1!$D$194,CHOOSE(Sheet1!K$266,"",IF($C146="Clear=&gt;","",K146)),NA())</f>
        <v>#VALUE!</v>
      </c>
    </row>
    <row r="228" spans="2:11" ht="13.2" hidden="1" x14ac:dyDescent="0.25">
      <c r="B228" s="128" t="str">
        <f>IF(Sheet1!D$194,B147,NA())</f>
        <v xml:space="preserve"> </v>
      </c>
      <c r="C228" s="128"/>
      <c r="D228" s="131" t="e">
        <f>IF(Sheet1!$D$194,CHOOSE(Sheet1!D$266,"",IF($C147="Clear=&gt;","",D147)),NA())</f>
        <v>#VALUE!</v>
      </c>
      <c r="E228" s="130" t="e">
        <f>IF(Sheet1!$D$194,CHOOSE(Sheet1!E$266,"",IF($C147="Clear=&gt;","",E147)),NA())</f>
        <v>#VALUE!</v>
      </c>
      <c r="F228" s="130" t="e">
        <f>IF(Sheet1!$D$194,CHOOSE(Sheet1!F$266,"",IF($C147="Clear=&gt;","",F147)),NA())</f>
        <v>#VALUE!</v>
      </c>
      <c r="G228" s="130" t="e">
        <f>IF(Sheet1!$D$194,CHOOSE(Sheet1!G$266,"",IF($C147="Clear=&gt;","",G147)),NA())</f>
        <v>#VALUE!</v>
      </c>
      <c r="H228" s="130" t="e">
        <f>IF(Sheet1!$D$194,CHOOSE(Sheet1!H$266,"",IF($C147="Clear=&gt;","",H147)),NA())</f>
        <v>#VALUE!</v>
      </c>
      <c r="I228" s="130" t="e">
        <f>IF(Sheet1!$D$194,CHOOSE(Sheet1!I$266,"",IF($C147="Clear=&gt;","",I147)),NA())</f>
        <v>#VALUE!</v>
      </c>
      <c r="J228" s="130" t="e">
        <f>IF(Sheet1!$D$194,CHOOSE(Sheet1!J$266,"",IF($C147="Clear=&gt;","",J147)),NA())</f>
        <v>#VALUE!</v>
      </c>
      <c r="K228" s="129" t="e">
        <f>IF(Sheet1!$D$194,CHOOSE(Sheet1!K$266,"",IF($C147="Clear=&gt;","",K147)),NA())</f>
        <v>#VALUE!</v>
      </c>
    </row>
    <row r="229" spans="2:11" ht="13.2" hidden="1" x14ac:dyDescent="0.25">
      <c r="B229" s="128" t="str">
        <f>IF(Sheet1!D$194,B148,NA())</f>
        <v xml:space="preserve"> </v>
      </c>
      <c r="C229" s="128"/>
      <c r="D229" s="131" t="e">
        <f>IF(Sheet1!$D$194,CHOOSE(Sheet1!D$266,"",IF($C148="Clear=&gt;","",D148)),NA())</f>
        <v>#VALUE!</v>
      </c>
      <c r="E229" s="130" t="e">
        <f>IF(Sheet1!$D$194,CHOOSE(Sheet1!E$266,"",IF($C148="Clear=&gt;","",E148)),NA())</f>
        <v>#VALUE!</v>
      </c>
      <c r="F229" s="130" t="e">
        <f>IF(Sheet1!$D$194,CHOOSE(Sheet1!F$266,"",IF($C148="Clear=&gt;","",F148)),NA())</f>
        <v>#VALUE!</v>
      </c>
      <c r="G229" s="130" t="e">
        <f>IF(Sheet1!$D$194,CHOOSE(Sheet1!G$266,"",IF($C148="Clear=&gt;","",G148)),NA())</f>
        <v>#VALUE!</v>
      </c>
      <c r="H229" s="130" t="e">
        <f>IF(Sheet1!$D$194,CHOOSE(Sheet1!H$266,"",IF($C148="Clear=&gt;","",H148)),NA())</f>
        <v>#VALUE!</v>
      </c>
      <c r="I229" s="130" t="e">
        <f>IF(Sheet1!$D$194,CHOOSE(Sheet1!I$266,"",IF($C148="Clear=&gt;","",I148)),NA())</f>
        <v>#VALUE!</v>
      </c>
      <c r="J229" s="130" t="e">
        <f>IF(Sheet1!$D$194,CHOOSE(Sheet1!J$266,"",IF($C148="Clear=&gt;","",J148)),NA())</f>
        <v>#VALUE!</v>
      </c>
      <c r="K229" s="129" t="e">
        <f>IF(Sheet1!$D$194,CHOOSE(Sheet1!K$266,"",IF($C148="Clear=&gt;","",K148)),NA())</f>
        <v>#VALUE!</v>
      </c>
    </row>
    <row r="230" spans="2:11" ht="13.2" hidden="1" x14ac:dyDescent="0.25">
      <c r="B230" s="128" t="str">
        <f>IF(Sheet1!D$194,B149,NA())</f>
        <v xml:space="preserve"> </v>
      </c>
      <c r="C230" s="128"/>
      <c r="D230" s="131" t="e">
        <f>IF(Sheet1!$D$194,CHOOSE(Sheet1!D$266,"",IF($C149="Clear=&gt;","",D149)),NA())</f>
        <v>#VALUE!</v>
      </c>
      <c r="E230" s="130" t="e">
        <f>IF(Sheet1!$D$194,CHOOSE(Sheet1!E$266,"",IF($C149="Clear=&gt;","",E149)),NA())</f>
        <v>#VALUE!</v>
      </c>
      <c r="F230" s="130" t="e">
        <f>IF(Sheet1!$D$194,CHOOSE(Sheet1!F$266,"",IF($C149="Clear=&gt;","",F149)),NA())</f>
        <v>#VALUE!</v>
      </c>
      <c r="G230" s="130" t="e">
        <f>IF(Sheet1!$D$194,CHOOSE(Sheet1!G$266,"",IF($C149="Clear=&gt;","",G149)),NA())</f>
        <v>#VALUE!</v>
      </c>
      <c r="H230" s="130" t="e">
        <f>IF(Sheet1!$D$194,CHOOSE(Sheet1!H$266,"",IF($C149="Clear=&gt;","",H149)),NA())</f>
        <v>#VALUE!</v>
      </c>
      <c r="I230" s="130" t="e">
        <f>IF(Sheet1!$D$194,CHOOSE(Sheet1!I$266,"",IF($C149="Clear=&gt;","",I149)),NA())</f>
        <v>#VALUE!</v>
      </c>
      <c r="J230" s="130" t="e">
        <f>IF(Sheet1!$D$194,CHOOSE(Sheet1!J$266,"",IF($C149="Clear=&gt;","",J149)),NA())</f>
        <v>#VALUE!</v>
      </c>
      <c r="K230" s="129" t="e">
        <f>IF(Sheet1!$D$194,CHOOSE(Sheet1!K$266,"",IF($C149="Clear=&gt;","",K149)),NA())</f>
        <v>#VALUE!</v>
      </c>
    </row>
    <row r="231" spans="2:11" ht="13.2" hidden="1" x14ac:dyDescent="0.25">
      <c r="B231" s="128" t="str">
        <f>IF(Sheet1!D$194,B150,NA())</f>
        <v xml:space="preserve"> </v>
      </c>
      <c r="C231" s="128"/>
      <c r="D231" s="131" t="e">
        <f>IF(Sheet1!$D$194,CHOOSE(Sheet1!D$266,"",IF($C150="Clear=&gt;","",D150)),NA())</f>
        <v>#VALUE!</v>
      </c>
      <c r="E231" s="130" t="e">
        <f>IF(Sheet1!$D$194,CHOOSE(Sheet1!E$266,"",IF($C150="Clear=&gt;","",E150)),NA())</f>
        <v>#VALUE!</v>
      </c>
      <c r="F231" s="130" t="e">
        <f>IF(Sheet1!$D$194,CHOOSE(Sheet1!F$266,"",IF($C150="Clear=&gt;","",F150)),NA())</f>
        <v>#VALUE!</v>
      </c>
      <c r="G231" s="130" t="e">
        <f>IF(Sheet1!$D$194,CHOOSE(Sheet1!G$266,"",IF($C150="Clear=&gt;","",G150)),NA())</f>
        <v>#VALUE!</v>
      </c>
      <c r="H231" s="130" t="e">
        <f>IF(Sheet1!$D$194,CHOOSE(Sheet1!H$266,"",IF($C150="Clear=&gt;","",H150)),NA())</f>
        <v>#VALUE!</v>
      </c>
      <c r="I231" s="130" t="e">
        <f>IF(Sheet1!$D$194,CHOOSE(Sheet1!I$266,"",IF($C150="Clear=&gt;","",I150)),NA())</f>
        <v>#VALUE!</v>
      </c>
      <c r="J231" s="130" t="e">
        <f>IF(Sheet1!$D$194,CHOOSE(Sheet1!J$266,"",IF($C150="Clear=&gt;","",J150)),NA())</f>
        <v>#VALUE!</v>
      </c>
      <c r="K231" s="129" t="e">
        <f>IF(Sheet1!$D$194,CHOOSE(Sheet1!K$266,"",IF($C150="Clear=&gt;","",K150)),NA())</f>
        <v>#VALUE!</v>
      </c>
    </row>
    <row r="232" spans="2:11" ht="13.2" hidden="1" x14ac:dyDescent="0.25">
      <c r="B232" s="128" t="str">
        <f>IF(Sheet1!D$194,B151,NA())</f>
        <v xml:space="preserve"> </v>
      </c>
      <c r="C232" s="128"/>
      <c r="D232" s="131" t="e">
        <f>IF(Sheet1!$D$194,CHOOSE(Sheet1!D$266,"",IF($C151="Clear=&gt;","",D151)),NA())</f>
        <v>#VALUE!</v>
      </c>
      <c r="E232" s="130" t="e">
        <f>IF(Sheet1!$D$194,CHOOSE(Sheet1!E$266,"",IF($C151="Clear=&gt;","",E151)),NA())</f>
        <v>#VALUE!</v>
      </c>
      <c r="F232" s="130" t="e">
        <f>IF(Sheet1!$D$194,CHOOSE(Sheet1!F$266,"",IF($C151="Clear=&gt;","",F151)),NA())</f>
        <v>#VALUE!</v>
      </c>
      <c r="G232" s="130" t="e">
        <f>IF(Sheet1!$D$194,CHOOSE(Sheet1!G$266,"",IF($C151="Clear=&gt;","",G151)),NA())</f>
        <v>#VALUE!</v>
      </c>
      <c r="H232" s="130" t="e">
        <f>IF(Sheet1!$D$194,CHOOSE(Sheet1!H$266,"",IF($C151="Clear=&gt;","",H151)),NA())</f>
        <v>#VALUE!</v>
      </c>
      <c r="I232" s="130" t="e">
        <f>IF(Sheet1!$D$194,CHOOSE(Sheet1!I$266,"",IF($C151="Clear=&gt;","",I151)),NA())</f>
        <v>#VALUE!</v>
      </c>
      <c r="J232" s="130" t="e">
        <f>IF(Sheet1!$D$194,CHOOSE(Sheet1!J$266,"",IF($C151="Clear=&gt;","",J151)),NA())</f>
        <v>#VALUE!</v>
      </c>
      <c r="K232" s="129" t="e">
        <f>IF(Sheet1!$D$194,CHOOSE(Sheet1!K$266,"",IF($C151="Clear=&gt;","",K151)),NA())</f>
        <v>#VALUE!</v>
      </c>
    </row>
    <row r="233" spans="2:11" ht="13.2" hidden="1" x14ac:dyDescent="0.25">
      <c r="B233" s="128" t="str">
        <f>IF(Sheet1!D$194,B152,NA())</f>
        <v xml:space="preserve"> </v>
      </c>
      <c r="C233" s="128"/>
      <c r="D233" s="131" t="e">
        <f>IF(Sheet1!$D$194,CHOOSE(Sheet1!D$266,"",IF($C152="Clear=&gt;","",D152)),NA())</f>
        <v>#VALUE!</v>
      </c>
      <c r="E233" s="130" t="e">
        <f>IF(Sheet1!$D$194,CHOOSE(Sheet1!E$266,"",IF($C152="Clear=&gt;","",E152)),NA())</f>
        <v>#VALUE!</v>
      </c>
      <c r="F233" s="130" t="e">
        <f>IF(Sheet1!$D$194,CHOOSE(Sheet1!F$266,"",IF($C152="Clear=&gt;","",F152)),NA())</f>
        <v>#VALUE!</v>
      </c>
      <c r="G233" s="130" t="e">
        <f>IF(Sheet1!$D$194,CHOOSE(Sheet1!G$266,"",IF($C152="Clear=&gt;","",G152)),NA())</f>
        <v>#VALUE!</v>
      </c>
      <c r="H233" s="130" t="e">
        <f>IF(Sheet1!$D$194,CHOOSE(Sheet1!H$266,"",IF($C152="Clear=&gt;","",H152)),NA())</f>
        <v>#VALUE!</v>
      </c>
      <c r="I233" s="130" t="e">
        <f>IF(Sheet1!$D$194,CHOOSE(Sheet1!I$266,"",IF($C152="Clear=&gt;","",I152)),NA())</f>
        <v>#VALUE!</v>
      </c>
      <c r="J233" s="130" t="e">
        <f>IF(Sheet1!$D$194,CHOOSE(Sheet1!J$266,"",IF($C152="Clear=&gt;","",J152)),NA())</f>
        <v>#VALUE!</v>
      </c>
      <c r="K233" s="129" t="e">
        <f>IF(Sheet1!$D$194,CHOOSE(Sheet1!K$266,"",IF($C152="Clear=&gt;","",K152)),NA())</f>
        <v>#VALUE!</v>
      </c>
    </row>
    <row r="234" spans="2:11" ht="13.2" hidden="1" x14ac:dyDescent="0.25">
      <c r="B234" s="128" t="str">
        <f>IF(Sheet1!D$194,B153,NA())</f>
        <v xml:space="preserve"> </v>
      </c>
      <c r="C234" s="128"/>
      <c r="D234" s="131" t="e">
        <f>IF(Sheet1!$D$194,CHOOSE(Sheet1!D$266,"",IF($C153="Clear=&gt;","",D153)),NA())</f>
        <v>#VALUE!</v>
      </c>
      <c r="E234" s="130" t="e">
        <f>IF(Sheet1!$D$194,CHOOSE(Sheet1!E$266,"",IF($C153="Clear=&gt;","",E153)),NA())</f>
        <v>#VALUE!</v>
      </c>
      <c r="F234" s="130" t="e">
        <f>IF(Sheet1!$D$194,CHOOSE(Sheet1!F$266,"",IF($C153="Clear=&gt;","",F153)),NA())</f>
        <v>#VALUE!</v>
      </c>
      <c r="G234" s="130" t="e">
        <f>IF(Sheet1!$D$194,CHOOSE(Sheet1!G$266,"",IF($C153="Clear=&gt;","",G153)),NA())</f>
        <v>#VALUE!</v>
      </c>
      <c r="H234" s="130" t="e">
        <f>IF(Sheet1!$D$194,CHOOSE(Sheet1!H$266,"",IF($C153="Clear=&gt;","",H153)),NA())</f>
        <v>#VALUE!</v>
      </c>
      <c r="I234" s="130" t="e">
        <f>IF(Sheet1!$D$194,CHOOSE(Sheet1!I$266,"",IF($C153="Clear=&gt;","",I153)),NA())</f>
        <v>#VALUE!</v>
      </c>
      <c r="J234" s="130" t="e">
        <f>IF(Sheet1!$D$194,CHOOSE(Sheet1!J$266,"",IF($C153="Clear=&gt;","",J153)),NA())</f>
        <v>#VALUE!</v>
      </c>
      <c r="K234" s="129" t="e">
        <f>IF(Sheet1!$D$194,CHOOSE(Sheet1!K$266,"",IF($C153="Clear=&gt;","",K153)),NA())</f>
        <v>#VALUE!</v>
      </c>
    </row>
    <row r="235" spans="2:11" ht="13.2" hidden="1" x14ac:dyDescent="0.25">
      <c r="B235" s="128" t="str">
        <f>IF(Sheet1!D$194,B154,NA())</f>
        <v xml:space="preserve"> </v>
      </c>
      <c r="C235" s="128"/>
      <c r="D235" s="131" t="e">
        <f>IF(Sheet1!$D$194,CHOOSE(Sheet1!D$266,"",IF($C154="Clear=&gt;","",D154)),NA())</f>
        <v>#VALUE!</v>
      </c>
      <c r="E235" s="130" t="e">
        <f>IF(Sheet1!$D$194,CHOOSE(Sheet1!E$266,"",IF($C154="Clear=&gt;","",E154)),NA())</f>
        <v>#VALUE!</v>
      </c>
      <c r="F235" s="130" t="e">
        <f>IF(Sheet1!$D$194,CHOOSE(Sheet1!F$266,"",IF($C154="Clear=&gt;","",F154)),NA())</f>
        <v>#VALUE!</v>
      </c>
      <c r="G235" s="130" t="e">
        <f>IF(Sheet1!$D$194,CHOOSE(Sheet1!G$266,"",IF($C154="Clear=&gt;","",G154)),NA())</f>
        <v>#VALUE!</v>
      </c>
      <c r="H235" s="130" t="e">
        <f>IF(Sheet1!$D$194,CHOOSE(Sheet1!H$266,"",IF($C154="Clear=&gt;","",H154)),NA())</f>
        <v>#VALUE!</v>
      </c>
      <c r="I235" s="130" t="e">
        <f>IF(Sheet1!$D$194,CHOOSE(Sheet1!I$266,"",IF($C154="Clear=&gt;","",I154)),NA())</f>
        <v>#VALUE!</v>
      </c>
      <c r="J235" s="130" t="e">
        <f>IF(Sheet1!$D$194,CHOOSE(Sheet1!J$266,"",IF($C154="Clear=&gt;","",J154)),NA())</f>
        <v>#VALUE!</v>
      </c>
      <c r="K235" s="129" t="e">
        <f>IF(Sheet1!$D$194,CHOOSE(Sheet1!K$266,"",IF($C154="Clear=&gt;","",K154)),NA())</f>
        <v>#VALUE!</v>
      </c>
    </row>
    <row r="236" spans="2:11" ht="13.2" hidden="1" x14ac:dyDescent="0.25">
      <c r="B236" s="128" t="str">
        <f>IF(Sheet1!D$194,B155,NA())</f>
        <v xml:space="preserve"> </v>
      </c>
      <c r="C236" s="128"/>
      <c r="D236" s="131" t="e">
        <f>IF(Sheet1!$D$194,CHOOSE(Sheet1!D$266,"",IF($C155="Clear=&gt;","",D155)),NA())</f>
        <v>#VALUE!</v>
      </c>
      <c r="E236" s="130" t="e">
        <f>IF(Sheet1!$D$194,CHOOSE(Sheet1!E$266,"",IF($C155="Clear=&gt;","",E155)),NA())</f>
        <v>#VALUE!</v>
      </c>
      <c r="F236" s="130" t="e">
        <f>IF(Sheet1!$D$194,CHOOSE(Sheet1!F$266,"",IF($C155="Clear=&gt;","",F155)),NA())</f>
        <v>#VALUE!</v>
      </c>
      <c r="G236" s="130" t="e">
        <f>IF(Sheet1!$D$194,CHOOSE(Sheet1!G$266,"",IF($C155="Clear=&gt;","",G155)),NA())</f>
        <v>#VALUE!</v>
      </c>
      <c r="H236" s="130" t="e">
        <f>IF(Sheet1!$D$194,CHOOSE(Sheet1!H$266,"",IF($C155="Clear=&gt;","",H155)),NA())</f>
        <v>#VALUE!</v>
      </c>
      <c r="I236" s="130" t="e">
        <f>IF(Sheet1!$D$194,CHOOSE(Sheet1!I$266,"",IF($C155="Clear=&gt;","",I155)),NA())</f>
        <v>#VALUE!</v>
      </c>
      <c r="J236" s="130" t="e">
        <f>IF(Sheet1!$D$194,CHOOSE(Sheet1!J$266,"",IF($C155="Clear=&gt;","",J155)),NA())</f>
        <v>#VALUE!</v>
      </c>
      <c r="K236" s="129" t="e">
        <f>IF(Sheet1!$D$194,CHOOSE(Sheet1!K$266,"",IF($C155="Clear=&gt;","",K155)),NA())</f>
        <v>#VALUE!</v>
      </c>
    </row>
    <row r="237" spans="2:11" ht="13.2" hidden="1" x14ac:dyDescent="0.25">
      <c r="B237" s="128" t="str">
        <f>IF(Sheet1!D$194,B156,NA())</f>
        <v xml:space="preserve"> </v>
      </c>
      <c r="C237" s="128"/>
      <c r="D237" s="131" t="e">
        <f>IF(Sheet1!$D$194,CHOOSE(Sheet1!D$266,"",IF($C156="Clear=&gt;","",D156)),NA())</f>
        <v>#VALUE!</v>
      </c>
      <c r="E237" s="130" t="e">
        <f>IF(Sheet1!$D$194,CHOOSE(Sheet1!E$266,"",IF($C156="Clear=&gt;","",E156)),NA())</f>
        <v>#VALUE!</v>
      </c>
      <c r="F237" s="130" t="e">
        <f>IF(Sheet1!$D$194,CHOOSE(Sheet1!F$266,"",IF($C156="Clear=&gt;","",F156)),NA())</f>
        <v>#VALUE!</v>
      </c>
      <c r="G237" s="130" t="e">
        <f>IF(Sheet1!$D$194,CHOOSE(Sheet1!G$266,"",IF($C156="Clear=&gt;","",G156)),NA())</f>
        <v>#VALUE!</v>
      </c>
      <c r="H237" s="130" t="e">
        <f>IF(Sheet1!$D$194,CHOOSE(Sheet1!H$266,"",IF($C156="Clear=&gt;","",H156)),NA())</f>
        <v>#VALUE!</v>
      </c>
      <c r="I237" s="130" t="e">
        <f>IF(Sheet1!$D$194,CHOOSE(Sheet1!I$266,"",IF($C156="Clear=&gt;","",I156)),NA())</f>
        <v>#VALUE!</v>
      </c>
      <c r="J237" s="130" t="e">
        <f>IF(Sheet1!$D$194,CHOOSE(Sheet1!J$266,"",IF($C156="Clear=&gt;","",J156)),NA())</f>
        <v>#VALUE!</v>
      </c>
      <c r="K237" s="129" t="e">
        <f>IF(Sheet1!$D$194,CHOOSE(Sheet1!K$266,"",IF($C156="Clear=&gt;","",K156)),NA())</f>
        <v>#VALUE!</v>
      </c>
    </row>
    <row r="238" spans="2:11" ht="13.2" hidden="1" x14ac:dyDescent="0.25">
      <c r="B238" s="128" t="str">
        <f>IF(Sheet1!D$194,B157,NA())</f>
        <v xml:space="preserve"> </v>
      </c>
      <c r="C238" s="128"/>
      <c r="D238" s="131" t="e">
        <f>IF(Sheet1!$D$194,CHOOSE(Sheet1!D$266,"",IF($C157="Clear=&gt;","",D157)),NA())</f>
        <v>#VALUE!</v>
      </c>
      <c r="E238" s="130" t="e">
        <f>IF(Sheet1!$D$194,CHOOSE(Sheet1!E$266,"",IF($C157="Clear=&gt;","",E157)),NA())</f>
        <v>#VALUE!</v>
      </c>
      <c r="F238" s="130" t="e">
        <f>IF(Sheet1!$D$194,CHOOSE(Sheet1!F$266,"",IF($C157="Clear=&gt;","",F157)),NA())</f>
        <v>#VALUE!</v>
      </c>
      <c r="G238" s="130" t="e">
        <f>IF(Sheet1!$D$194,CHOOSE(Sheet1!G$266,"",IF($C157="Clear=&gt;","",G157)),NA())</f>
        <v>#VALUE!</v>
      </c>
      <c r="H238" s="130" t="e">
        <f>IF(Sheet1!$D$194,CHOOSE(Sheet1!H$266,"",IF($C157="Clear=&gt;","",H157)),NA())</f>
        <v>#VALUE!</v>
      </c>
      <c r="I238" s="130" t="e">
        <f>IF(Sheet1!$D$194,CHOOSE(Sheet1!I$266,"",IF($C157="Clear=&gt;","",I157)),NA())</f>
        <v>#VALUE!</v>
      </c>
      <c r="J238" s="130" t="e">
        <f>IF(Sheet1!$D$194,CHOOSE(Sheet1!J$266,"",IF($C157="Clear=&gt;","",J157)),NA())</f>
        <v>#VALUE!</v>
      </c>
      <c r="K238" s="129" t="e">
        <f>IF(Sheet1!$D$194,CHOOSE(Sheet1!K$266,"",IF($C157="Clear=&gt;","",K157)),NA())</f>
        <v>#VALUE!</v>
      </c>
    </row>
    <row r="239" spans="2:11" ht="13.2" hidden="1" x14ac:dyDescent="0.25">
      <c r="B239" s="128" t="str">
        <f>IF(Sheet1!D$194,B158,NA())</f>
        <v xml:space="preserve"> </v>
      </c>
      <c r="C239" s="128"/>
      <c r="D239" s="131" t="e">
        <f>IF(Sheet1!$D$194,CHOOSE(Sheet1!D$266,"",IF($C158="Clear=&gt;","",D158)),NA())</f>
        <v>#VALUE!</v>
      </c>
      <c r="E239" s="130" t="e">
        <f>IF(Sheet1!$D$194,CHOOSE(Sheet1!E$266,"",IF($C158="Clear=&gt;","",E158)),NA())</f>
        <v>#VALUE!</v>
      </c>
      <c r="F239" s="130" t="e">
        <f>IF(Sheet1!$D$194,CHOOSE(Sheet1!F$266,"",IF($C158="Clear=&gt;","",F158)),NA())</f>
        <v>#VALUE!</v>
      </c>
      <c r="G239" s="130" t="e">
        <f>IF(Sheet1!$D$194,CHOOSE(Sheet1!G$266,"",IF($C158="Clear=&gt;","",G158)),NA())</f>
        <v>#VALUE!</v>
      </c>
      <c r="H239" s="130" t="e">
        <f>IF(Sheet1!$D$194,CHOOSE(Sheet1!H$266,"",IF($C158="Clear=&gt;","",H158)),NA())</f>
        <v>#VALUE!</v>
      </c>
      <c r="I239" s="130" t="e">
        <f>IF(Sheet1!$D$194,CHOOSE(Sheet1!I$266,"",IF($C158="Clear=&gt;","",I158)),NA())</f>
        <v>#VALUE!</v>
      </c>
      <c r="J239" s="130" t="e">
        <f>IF(Sheet1!$D$194,CHOOSE(Sheet1!J$266,"",IF($C158="Clear=&gt;","",J158)),NA())</f>
        <v>#VALUE!</v>
      </c>
      <c r="K239" s="129" t="e">
        <f>IF(Sheet1!$D$194,CHOOSE(Sheet1!K$266,"",IF($C158="Clear=&gt;","",K158)),NA())</f>
        <v>#VALUE!</v>
      </c>
    </row>
    <row r="240" spans="2:11" ht="13.2" hidden="1" x14ac:dyDescent="0.25">
      <c r="B240" s="128" t="str">
        <f>IF(Sheet1!D$194,B159,NA())</f>
        <v xml:space="preserve"> </v>
      </c>
      <c r="C240" s="128"/>
      <c r="D240" s="131" t="e">
        <f>IF(Sheet1!$D$194,CHOOSE(Sheet1!D$266,"",IF($C159="Clear=&gt;","",D159)),NA())</f>
        <v>#VALUE!</v>
      </c>
      <c r="E240" s="130" t="e">
        <f>IF(Sheet1!$D$194,CHOOSE(Sheet1!E$266,"",IF($C159="Clear=&gt;","",E159)),NA())</f>
        <v>#VALUE!</v>
      </c>
      <c r="F240" s="130" t="e">
        <f>IF(Sheet1!$D$194,CHOOSE(Sheet1!F$266,"",IF($C159="Clear=&gt;","",F159)),NA())</f>
        <v>#VALUE!</v>
      </c>
      <c r="G240" s="130" t="e">
        <f>IF(Sheet1!$D$194,CHOOSE(Sheet1!G$266,"",IF($C159="Clear=&gt;","",G159)),NA())</f>
        <v>#VALUE!</v>
      </c>
      <c r="H240" s="130" t="e">
        <f>IF(Sheet1!$D$194,CHOOSE(Sheet1!H$266,"",IF($C159="Clear=&gt;","",H159)),NA())</f>
        <v>#VALUE!</v>
      </c>
      <c r="I240" s="130" t="e">
        <f>IF(Sheet1!$D$194,CHOOSE(Sheet1!I$266,"",IF($C159="Clear=&gt;","",I159)),NA())</f>
        <v>#VALUE!</v>
      </c>
      <c r="J240" s="130" t="e">
        <f>IF(Sheet1!$D$194,CHOOSE(Sheet1!J$266,"",IF($C159="Clear=&gt;","",J159)),NA())</f>
        <v>#VALUE!</v>
      </c>
      <c r="K240" s="129" t="e">
        <f>IF(Sheet1!$D$194,CHOOSE(Sheet1!K$266,"",IF($C159="Clear=&gt;","",K159)),NA())</f>
        <v>#VALUE!</v>
      </c>
    </row>
    <row r="241" spans="1:11" ht="13.2" hidden="1" x14ac:dyDescent="0.25">
      <c r="B241" s="128"/>
      <c r="C241" s="128" t="s">
        <v>242</v>
      </c>
      <c r="D241" s="127" t="e">
        <f>IF(Sheet1!D$194,SUM(D191:D240),NA())</f>
        <v>#VALUE!</v>
      </c>
      <c r="E241" s="127" t="e">
        <f>IF(Sheet1!D$194,SUM(E191:E240),NA())</f>
        <v>#VALUE!</v>
      </c>
      <c r="F241" s="127" t="e">
        <f>IF(Sheet1!D$194,SUM(F191:F240),NA())</f>
        <v>#VALUE!</v>
      </c>
      <c r="G241" s="127" t="e">
        <f>IF(Sheet1!D$194,SUM(G191:G240),NA())</f>
        <v>#VALUE!</v>
      </c>
      <c r="H241" s="127" t="e">
        <f>IF(Sheet1!D$194,SUM(H191:H240),NA())</f>
        <v>#VALUE!</v>
      </c>
      <c r="I241" s="127" t="e">
        <f>IF(Sheet1!D$194,SUM(I191:I240),NA())</f>
        <v>#VALUE!</v>
      </c>
      <c r="J241" s="127" t="e">
        <f>IF(Sheet1!D$194,SUM(J191:J240),NA())</f>
        <v>#VALUE!</v>
      </c>
      <c r="K241" s="127" t="e">
        <f>IF(Sheet1!D$194,SUM(K191:K240),NA())</f>
        <v>#VALUE!</v>
      </c>
    </row>
    <row r="242" spans="1:11" ht="12.6" hidden="1" customHeight="1" x14ac:dyDescent="0.25"/>
    <row r="243" spans="1:11" ht="13.2" hidden="1" x14ac:dyDescent="0.25">
      <c r="A243" s="126" t="s">
        <v>243</v>
      </c>
      <c r="B243" s="125"/>
      <c r="C243" s="125"/>
      <c r="D243" s="125"/>
      <c r="E243" s="125"/>
      <c r="F243" s="125"/>
      <c r="G243" s="125"/>
      <c r="H243" s="125"/>
      <c r="I243" s="125"/>
      <c r="J243" s="125"/>
      <c r="K243" s="124"/>
    </row>
    <row r="244" spans="1:11" ht="12.6" hidden="1" customHeight="1" x14ac:dyDescent="0.25"/>
  </sheetData>
  <printOptions horizontalCentered="1"/>
  <pageMargins left="0.25" right="0.25" top="0.25" bottom="0.5" header="0.25" footer="0.25"/>
  <pageSetup scale="75" orientation="landscape" blackAndWhite="1" r:id="rId1"/>
  <headerFooter alignWithMargins="0">
    <oddFooter>&amp;R&amp;A,   Input Data,  Page 3 of 3,  (Printed:  &amp;D,   &amp;T ) Using ver 1.04r6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Drop Down 2">
              <controlPr defaultSize="0" autoFill="0" autoLine="0" autoPict="0">
                <anchor moveWithCells="1">
                  <from>
                    <xdr:col>3</xdr:col>
                    <xdr:colOff>0</xdr:colOff>
                    <xdr:row>105</xdr:row>
                    <xdr:rowOff>22860</xdr:rowOff>
                  </from>
                  <to>
                    <xdr:col>4</xdr:col>
                    <xdr:colOff>22860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Drop Down 3">
              <controlPr defaultSize="0" autoFill="0" autoLine="0" autoPict="0">
                <anchor moveWithCells="1">
                  <from>
                    <xdr:col>3</xdr:col>
                    <xdr:colOff>0</xdr:colOff>
                    <xdr:row>102</xdr:row>
                    <xdr:rowOff>152400</xdr:rowOff>
                  </from>
                  <to>
                    <xdr:col>4</xdr:col>
                    <xdr:colOff>22860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Drop Down 4">
              <controlPr defaultSize="0" autoFill="0" autoLine="0" autoPict="0">
                <anchor moveWithCells="1">
                  <from>
                    <xdr:col>4</xdr:col>
                    <xdr:colOff>30480</xdr:colOff>
                    <xdr:row>102</xdr:row>
                    <xdr:rowOff>152400</xdr:rowOff>
                  </from>
                  <to>
                    <xdr:col>5</xdr:col>
                    <xdr:colOff>22860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Drop Down 5">
              <controlPr defaultSize="0" autoFill="0" autoLine="0" autoPict="0">
                <anchor moveWithCells="1">
                  <from>
                    <xdr:col>5</xdr:col>
                    <xdr:colOff>30480</xdr:colOff>
                    <xdr:row>102</xdr:row>
                    <xdr:rowOff>152400</xdr:rowOff>
                  </from>
                  <to>
                    <xdr:col>6</xdr:col>
                    <xdr:colOff>22860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Drop Down 6">
              <controlPr defaultSize="0" autoFill="0" autoLine="0" autoPict="0">
                <anchor moveWithCells="1">
                  <from>
                    <xdr:col>6</xdr:col>
                    <xdr:colOff>22860</xdr:colOff>
                    <xdr:row>102</xdr:row>
                    <xdr:rowOff>152400</xdr:rowOff>
                  </from>
                  <to>
                    <xdr:col>7</xdr:col>
                    <xdr:colOff>30480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Drop Down 7">
              <controlPr defaultSize="0" autoFill="0" autoLine="0" autoPict="0">
                <anchor moveWithCells="1">
                  <from>
                    <xdr:col>7</xdr:col>
                    <xdr:colOff>22860</xdr:colOff>
                    <xdr:row>102</xdr:row>
                    <xdr:rowOff>152400</xdr:rowOff>
                  </from>
                  <to>
                    <xdr:col>8</xdr:col>
                    <xdr:colOff>22860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Drop Down 8">
              <controlPr defaultSize="0" autoFill="0" autoLine="0" autoPict="0">
                <anchor moveWithCells="1">
                  <from>
                    <xdr:col>8</xdr:col>
                    <xdr:colOff>30480</xdr:colOff>
                    <xdr:row>102</xdr:row>
                    <xdr:rowOff>152400</xdr:rowOff>
                  </from>
                  <to>
                    <xdr:col>9</xdr:col>
                    <xdr:colOff>22860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Drop Down 9">
              <controlPr defaultSize="0" autoFill="0" autoLine="0" autoPict="0">
                <anchor moveWithCells="1">
                  <from>
                    <xdr:col>9</xdr:col>
                    <xdr:colOff>30480</xdr:colOff>
                    <xdr:row>102</xdr:row>
                    <xdr:rowOff>152400</xdr:rowOff>
                  </from>
                  <to>
                    <xdr:col>10</xdr:col>
                    <xdr:colOff>22860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Drop Down 10">
              <controlPr defaultSize="0" autoFill="0" autoLine="0" autoPict="0">
                <anchor moveWithCells="1">
                  <from>
                    <xdr:col>10</xdr:col>
                    <xdr:colOff>30480</xdr:colOff>
                    <xdr:row>102</xdr:row>
                    <xdr:rowOff>152400</xdr:rowOff>
                  </from>
                  <to>
                    <xdr:col>11</xdr:col>
                    <xdr:colOff>30480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Drop Down 11">
              <controlPr defaultSize="0" autoFill="0" autoLine="0" autoPict="0">
                <anchor moveWithCells="1">
                  <from>
                    <xdr:col>4</xdr:col>
                    <xdr:colOff>30480</xdr:colOff>
                    <xdr:row>105</xdr:row>
                    <xdr:rowOff>22860</xdr:rowOff>
                  </from>
                  <to>
                    <xdr:col>5</xdr:col>
                    <xdr:colOff>22860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Drop Down 12">
              <controlPr defaultSize="0" autoFill="0" autoLine="0" autoPict="0">
                <anchor moveWithCells="1">
                  <from>
                    <xdr:col>5</xdr:col>
                    <xdr:colOff>30480</xdr:colOff>
                    <xdr:row>105</xdr:row>
                    <xdr:rowOff>22860</xdr:rowOff>
                  </from>
                  <to>
                    <xdr:col>6</xdr:col>
                    <xdr:colOff>30480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Drop Down 13">
              <controlPr defaultSize="0" autoFill="0" autoLine="0" autoPict="0">
                <anchor moveWithCells="1">
                  <from>
                    <xdr:col>6</xdr:col>
                    <xdr:colOff>38100</xdr:colOff>
                    <xdr:row>105</xdr:row>
                    <xdr:rowOff>22860</xdr:rowOff>
                  </from>
                  <to>
                    <xdr:col>7</xdr:col>
                    <xdr:colOff>30480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Drop Down 14">
              <controlPr defaultSize="0" autoFill="0" autoLine="0" autoPict="0">
                <anchor moveWithCells="1">
                  <from>
                    <xdr:col>7</xdr:col>
                    <xdr:colOff>22860</xdr:colOff>
                    <xdr:row>105</xdr:row>
                    <xdr:rowOff>22860</xdr:rowOff>
                  </from>
                  <to>
                    <xdr:col>8</xdr:col>
                    <xdr:colOff>7620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Drop Down 15">
              <controlPr defaultSize="0" autoFill="0" autoLine="0" autoPict="0">
                <anchor moveWithCells="1">
                  <from>
                    <xdr:col>8</xdr:col>
                    <xdr:colOff>22860</xdr:colOff>
                    <xdr:row>105</xdr:row>
                    <xdr:rowOff>22860</xdr:rowOff>
                  </from>
                  <to>
                    <xdr:col>9</xdr:col>
                    <xdr:colOff>22860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Drop Down 16">
              <controlPr defaultSize="0" autoFill="0" autoLine="0" autoPict="0">
                <anchor moveWithCells="1">
                  <from>
                    <xdr:col>9</xdr:col>
                    <xdr:colOff>30480</xdr:colOff>
                    <xdr:row>105</xdr:row>
                    <xdr:rowOff>22860</xdr:rowOff>
                  </from>
                  <to>
                    <xdr:col>10</xdr:col>
                    <xdr:colOff>30480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Drop Down 17">
              <controlPr defaultSize="0" autoFill="0" autoLine="0" autoPict="0">
                <anchor moveWithCells="1">
                  <from>
                    <xdr:col>10</xdr:col>
                    <xdr:colOff>38100</xdr:colOff>
                    <xdr:row>105</xdr:row>
                    <xdr:rowOff>22860</xdr:rowOff>
                  </from>
                  <to>
                    <xdr:col>11</xdr:col>
                    <xdr:colOff>38100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Drop Down 18">
              <controlPr defaultSize="0" autoFill="0" autoLine="0" autoPict="0">
                <anchor moveWithCells="1">
                  <from>
                    <xdr:col>3</xdr:col>
                    <xdr:colOff>7620</xdr:colOff>
                    <xdr:row>163</xdr:row>
                    <xdr:rowOff>152400</xdr:rowOff>
                  </from>
                  <to>
                    <xdr:col>4</xdr:col>
                    <xdr:colOff>22860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Drop Down 19">
              <controlPr defaultSize="0" autoFill="0" autoLine="0" autoPict="0">
                <anchor moveWithCells="1">
                  <from>
                    <xdr:col>4</xdr:col>
                    <xdr:colOff>22860</xdr:colOff>
                    <xdr:row>163</xdr:row>
                    <xdr:rowOff>152400</xdr:rowOff>
                  </from>
                  <to>
                    <xdr:col>5</xdr:col>
                    <xdr:colOff>22860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Drop Down 20">
              <controlPr defaultSize="0" autoFill="0" autoLine="0" autoPict="0">
                <anchor moveWithCells="1">
                  <from>
                    <xdr:col>5</xdr:col>
                    <xdr:colOff>22860</xdr:colOff>
                    <xdr:row>163</xdr:row>
                    <xdr:rowOff>152400</xdr:rowOff>
                  </from>
                  <to>
                    <xdr:col>6</xdr:col>
                    <xdr:colOff>22860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Drop Down 21">
              <controlPr defaultSize="0" autoFill="0" autoLine="0" autoPict="0">
                <anchor moveWithCells="1">
                  <from>
                    <xdr:col>6</xdr:col>
                    <xdr:colOff>7620</xdr:colOff>
                    <xdr:row>163</xdr:row>
                    <xdr:rowOff>152400</xdr:rowOff>
                  </from>
                  <to>
                    <xdr:col>7</xdr:col>
                    <xdr:colOff>30480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Drop Down 22">
              <controlPr defaultSize="0" autoFill="0" autoLine="0" autoPict="0">
                <anchor moveWithCells="1">
                  <from>
                    <xdr:col>7</xdr:col>
                    <xdr:colOff>38100</xdr:colOff>
                    <xdr:row>163</xdr:row>
                    <xdr:rowOff>152400</xdr:rowOff>
                  </from>
                  <to>
                    <xdr:col>8</xdr:col>
                    <xdr:colOff>30480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Drop Down 23">
              <controlPr defaultSize="0" autoFill="0" autoLine="0" autoPict="0">
                <anchor moveWithCells="1">
                  <from>
                    <xdr:col>8</xdr:col>
                    <xdr:colOff>38100</xdr:colOff>
                    <xdr:row>163</xdr:row>
                    <xdr:rowOff>152400</xdr:rowOff>
                  </from>
                  <to>
                    <xdr:col>9</xdr:col>
                    <xdr:colOff>30480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Drop Down 24">
              <controlPr defaultSize="0" autoFill="0" autoLine="0" autoPict="0">
                <anchor moveWithCells="1">
                  <from>
                    <xdr:col>9</xdr:col>
                    <xdr:colOff>38100</xdr:colOff>
                    <xdr:row>163</xdr:row>
                    <xdr:rowOff>152400</xdr:rowOff>
                  </from>
                  <to>
                    <xdr:col>10</xdr:col>
                    <xdr:colOff>22860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Drop Down 25">
              <controlPr defaultSize="0" autoFill="0" autoLine="0" autoPict="0">
                <anchor moveWithCells="1">
                  <from>
                    <xdr:col>10</xdr:col>
                    <xdr:colOff>22860</xdr:colOff>
                    <xdr:row>163</xdr:row>
                    <xdr:rowOff>152400</xdr:rowOff>
                  </from>
                  <to>
                    <xdr:col>11</xdr:col>
                    <xdr:colOff>22860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Drop Down 26">
              <controlPr defaultSize="0" autoFill="0" autoLine="0" autoPict="0">
                <anchor moveWithCells="1">
                  <from>
                    <xdr:col>3</xdr:col>
                    <xdr:colOff>0</xdr:colOff>
                    <xdr:row>11</xdr:row>
                    <xdr:rowOff>152400</xdr:rowOff>
                  </from>
                  <to>
                    <xdr:col>4</xdr:col>
                    <xdr:colOff>30480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Drop Down 27">
              <controlPr defaultSize="0" autoFill="0" autoLine="0" autoPict="0">
                <anchor moveWithCells="1">
                  <from>
                    <xdr:col>4</xdr:col>
                    <xdr:colOff>22860</xdr:colOff>
                    <xdr:row>11</xdr:row>
                    <xdr:rowOff>152400</xdr:rowOff>
                  </from>
                  <to>
                    <xdr:col>5</xdr:col>
                    <xdr:colOff>38100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Drop Down 28">
              <controlPr defaultSize="0" autoFill="0" autoLine="0" autoPict="0">
                <anchor moveWithCells="1">
                  <from>
                    <xdr:col>5</xdr:col>
                    <xdr:colOff>30480</xdr:colOff>
                    <xdr:row>11</xdr:row>
                    <xdr:rowOff>152400</xdr:rowOff>
                  </from>
                  <to>
                    <xdr:col>6</xdr:col>
                    <xdr:colOff>30480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Drop Down 29">
              <controlPr defaultSize="0" autoFill="0" autoLine="0" autoPict="0">
                <anchor moveWithCells="1">
                  <from>
                    <xdr:col>6</xdr:col>
                    <xdr:colOff>22860</xdr:colOff>
                    <xdr:row>11</xdr:row>
                    <xdr:rowOff>152400</xdr:rowOff>
                  </from>
                  <to>
                    <xdr:col>7</xdr:col>
                    <xdr:colOff>30480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Drop Down 30">
              <controlPr defaultSize="0" autoFill="0" autoLine="0" autoPict="0">
                <anchor moveWithCells="1">
                  <from>
                    <xdr:col>7</xdr:col>
                    <xdr:colOff>30480</xdr:colOff>
                    <xdr:row>11</xdr:row>
                    <xdr:rowOff>152400</xdr:rowOff>
                  </from>
                  <to>
                    <xdr:col>8</xdr:col>
                    <xdr:colOff>30480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Drop Down 31">
              <controlPr defaultSize="0" autoFill="0" autoLine="0" autoPict="0">
                <anchor moveWithCells="1">
                  <from>
                    <xdr:col>8</xdr:col>
                    <xdr:colOff>22860</xdr:colOff>
                    <xdr:row>11</xdr:row>
                    <xdr:rowOff>152400</xdr:rowOff>
                  </from>
                  <to>
                    <xdr:col>9</xdr:col>
                    <xdr:colOff>30480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Drop Down 32">
              <controlPr defaultSize="0" autoFill="0" autoLine="0" autoPict="0">
                <anchor moveWithCells="1">
                  <from>
                    <xdr:col>9</xdr:col>
                    <xdr:colOff>22860</xdr:colOff>
                    <xdr:row>11</xdr:row>
                    <xdr:rowOff>152400</xdr:rowOff>
                  </from>
                  <to>
                    <xdr:col>10</xdr:col>
                    <xdr:colOff>38100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Drop Down 33">
              <controlPr defaultSize="0" autoFill="0" autoLine="0" autoPict="0">
                <anchor moveWithCells="1">
                  <from>
                    <xdr:col>10</xdr:col>
                    <xdr:colOff>38100</xdr:colOff>
                    <xdr:row>11</xdr:row>
                    <xdr:rowOff>152400</xdr:rowOff>
                  </from>
                  <to>
                    <xdr:col>11</xdr:col>
                    <xdr:colOff>30480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Drop Down 34">
              <controlPr defaultSize="0" autoFill="0" autoLine="0" autoPict="0">
                <anchor moveWithCells="1">
                  <from>
                    <xdr:col>3</xdr:col>
                    <xdr:colOff>7620</xdr:colOff>
                    <xdr:row>170</xdr:row>
                    <xdr:rowOff>152400</xdr:rowOff>
                  </from>
                  <to>
                    <xdr:col>4</xdr:col>
                    <xdr:colOff>38100</xdr:colOff>
                    <xdr:row>172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Drop Down 35">
              <controlPr defaultSize="0" autoLine="0" autoPict="0">
                <anchor moveWithCells="1">
                  <from>
                    <xdr:col>3</xdr:col>
                    <xdr:colOff>30480</xdr:colOff>
                    <xdr:row>9</xdr:row>
                    <xdr:rowOff>68580</xdr:rowOff>
                  </from>
                  <to>
                    <xdr:col>4</xdr:col>
                    <xdr:colOff>30480</xdr:colOff>
                    <xdr:row>9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M245"/>
  <sheetViews>
    <sheetView showGridLines="0" workbookViewId="0"/>
  </sheetViews>
  <sheetFormatPr defaultColWidth="0" defaultRowHeight="12.75" customHeight="1" x14ac:dyDescent="0.25"/>
  <cols>
    <col min="1" max="1" width="8.5546875" style="74" customWidth="1"/>
    <col min="2" max="2" width="5.6640625" style="74" customWidth="1"/>
    <col min="3" max="3" width="6.6640625" style="74" customWidth="1"/>
    <col min="4" max="13" width="15.44140625" style="74" customWidth="1"/>
    <col min="14" max="256" width="8.6640625" style="58" customWidth="1"/>
    <col min="257" max="257" width="8.5546875" style="58" customWidth="1"/>
    <col min="258" max="258" width="5.6640625" style="58" customWidth="1"/>
    <col min="259" max="259" width="6.6640625" style="58" customWidth="1"/>
    <col min="260" max="269" width="15.44140625" style="58" customWidth="1"/>
    <col min="270" max="512" width="0" style="58" hidden="1"/>
    <col min="513" max="513" width="8.5546875" style="58" customWidth="1"/>
    <col min="514" max="514" width="5.6640625" style="58" customWidth="1"/>
    <col min="515" max="515" width="6.6640625" style="58" customWidth="1"/>
    <col min="516" max="525" width="15.44140625" style="58" customWidth="1"/>
    <col min="526" max="768" width="0" style="58" hidden="1"/>
    <col min="769" max="769" width="8.5546875" style="58" customWidth="1"/>
    <col min="770" max="770" width="5.6640625" style="58" customWidth="1"/>
    <col min="771" max="771" width="6.6640625" style="58" customWidth="1"/>
    <col min="772" max="781" width="15.44140625" style="58" customWidth="1"/>
    <col min="782" max="1024" width="0" style="58" hidden="1"/>
    <col min="1025" max="1025" width="8.5546875" style="58" customWidth="1"/>
    <col min="1026" max="1026" width="5.6640625" style="58" customWidth="1"/>
    <col min="1027" max="1027" width="6.6640625" style="58" customWidth="1"/>
    <col min="1028" max="1037" width="15.44140625" style="58" customWidth="1"/>
    <col min="1038" max="1280" width="0" style="58" hidden="1"/>
    <col min="1281" max="1281" width="8.5546875" style="58" customWidth="1"/>
    <col min="1282" max="1282" width="5.6640625" style="58" customWidth="1"/>
    <col min="1283" max="1283" width="6.6640625" style="58" customWidth="1"/>
    <col min="1284" max="1293" width="15.44140625" style="58" customWidth="1"/>
    <col min="1294" max="1536" width="0" style="58" hidden="1"/>
    <col min="1537" max="1537" width="8.5546875" style="58" customWidth="1"/>
    <col min="1538" max="1538" width="5.6640625" style="58" customWidth="1"/>
    <col min="1539" max="1539" width="6.6640625" style="58" customWidth="1"/>
    <col min="1540" max="1549" width="15.44140625" style="58" customWidth="1"/>
    <col min="1550" max="1792" width="0" style="58" hidden="1"/>
    <col min="1793" max="1793" width="8.5546875" style="58" customWidth="1"/>
    <col min="1794" max="1794" width="5.6640625" style="58" customWidth="1"/>
    <col min="1795" max="1795" width="6.6640625" style="58" customWidth="1"/>
    <col min="1796" max="1805" width="15.44140625" style="58" customWidth="1"/>
    <col min="1806" max="2048" width="0" style="58" hidden="1"/>
    <col min="2049" max="2049" width="8.5546875" style="58" customWidth="1"/>
    <col min="2050" max="2050" width="5.6640625" style="58" customWidth="1"/>
    <col min="2051" max="2051" width="6.6640625" style="58" customWidth="1"/>
    <col min="2052" max="2061" width="15.44140625" style="58" customWidth="1"/>
    <col min="2062" max="2304" width="0" style="58" hidden="1"/>
    <col min="2305" max="2305" width="8.5546875" style="58" customWidth="1"/>
    <col min="2306" max="2306" width="5.6640625" style="58" customWidth="1"/>
    <col min="2307" max="2307" width="6.6640625" style="58" customWidth="1"/>
    <col min="2308" max="2317" width="15.44140625" style="58" customWidth="1"/>
    <col min="2318" max="2560" width="0" style="58" hidden="1"/>
    <col min="2561" max="2561" width="8.5546875" style="58" customWidth="1"/>
    <col min="2562" max="2562" width="5.6640625" style="58" customWidth="1"/>
    <col min="2563" max="2563" width="6.6640625" style="58" customWidth="1"/>
    <col min="2564" max="2573" width="15.44140625" style="58" customWidth="1"/>
    <col min="2574" max="2816" width="0" style="58" hidden="1"/>
    <col min="2817" max="2817" width="8.5546875" style="58" customWidth="1"/>
    <col min="2818" max="2818" width="5.6640625" style="58" customWidth="1"/>
    <col min="2819" max="2819" width="6.6640625" style="58" customWidth="1"/>
    <col min="2820" max="2829" width="15.44140625" style="58" customWidth="1"/>
    <col min="2830" max="3072" width="0" style="58" hidden="1"/>
    <col min="3073" max="3073" width="8.5546875" style="58" customWidth="1"/>
    <col min="3074" max="3074" width="5.6640625" style="58" customWidth="1"/>
    <col min="3075" max="3075" width="6.6640625" style="58" customWidth="1"/>
    <col min="3076" max="3085" width="15.44140625" style="58" customWidth="1"/>
    <col min="3086" max="3328" width="0" style="58" hidden="1"/>
    <col min="3329" max="3329" width="8.5546875" style="58" customWidth="1"/>
    <col min="3330" max="3330" width="5.6640625" style="58" customWidth="1"/>
    <col min="3331" max="3331" width="6.6640625" style="58" customWidth="1"/>
    <col min="3332" max="3341" width="15.44140625" style="58" customWidth="1"/>
    <col min="3342" max="3584" width="0" style="58" hidden="1"/>
    <col min="3585" max="3585" width="8.5546875" style="58" customWidth="1"/>
    <col min="3586" max="3586" width="5.6640625" style="58" customWidth="1"/>
    <col min="3587" max="3587" width="6.6640625" style="58" customWidth="1"/>
    <col min="3588" max="3597" width="15.44140625" style="58" customWidth="1"/>
    <col min="3598" max="3840" width="0" style="58" hidden="1"/>
    <col min="3841" max="3841" width="8.5546875" style="58" customWidth="1"/>
    <col min="3842" max="3842" width="5.6640625" style="58" customWidth="1"/>
    <col min="3843" max="3843" width="6.6640625" style="58" customWidth="1"/>
    <col min="3844" max="3853" width="15.44140625" style="58" customWidth="1"/>
    <col min="3854" max="4096" width="0" style="58" hidden="1"/>
    <col min="4097" max="4097" width="8.5546875" style="58" customWidth="1"/>
    <col min="4098" max="4098" width="5.6640625" style="58" customWidth="1"/>
    <col min="4099" max="4099" width="6.6640625" style="58" customWidth="1"/>
    <col min="4100" max="4109" width="15.44140625" style="58" customWidth="1"/>
    <col min="4110" max="4352" width="0" style="58" hidden="1"/>
    <col min="4353" max="4353" width="8.5546875" style="58" customWidth="1"/>
    <col min="4354" max="4354" width="5.6640625" style="58" customWidth="1"/>
    <col min="4355" max="4355" width="6.6640625" style="58" customWidth="1"/>
    <col min="4356" max="4365" width="15.44140625" style="58" customWidth="1"/>
    <col min="4366" max="4608" width="0" style="58" hidden="1"/>
    <col min="4609" max="4609" width="8.5546875" style="58" customWidth="1"/>
    <col min="4610" max="4610" width="5.6640625" style="58" customWidth="1"/>
    <col min="4611" max="4611" width="6.6640625" style="58" customWidth="1"/>
    <col min="4612" max="4621" width="15.44140625" style="58" customWidth="1"/>
    <col min="4622" max="4864" width="0" style="58" hidden="1"/>
    <col min="4865" max="4865" width="8.5546875" style="58" customWidth="1"/>
    <col min="4866" max="4866" width="5.6640625" style="58" customWidth="1"/>
    <col min="4867" max="4867" width="6.6640625" style="58" customWidth="1"/>
    <col min="4868" max="4877" width="15.44140625" style="58" customWidth="1"/>
    <col min="4878" max="5120" width="0" style="58" hidden="1"/>
    <col min="5121" max="5121" width="8.5546875" style="58" customWidth="1"/>
    <col min="5122" max="5122" width="5.6640625" style="58" customWidth="1"/>
    <col min="5123" max="5123" width="6.6640625" style="58" customWidth="1"/>
    <col min="5124" max="5133" width="15.44140625" style="58" customWidth="1"/>
    <col min="5134" max="5376" width="0" style="58" hidden="1"/>
    <col min="5377" max="5377" width="8.5546875" style="58" customWidth="1"/>
    <col min="5378" max="5378" width="5.6640625" style="58" customWidth="1"/>
    <col min="5379" max="5379" width="6.6640625" style="58" customWidth="1"/>
    <col min="5380" max="5389" width="15.44140625" style="58" customWidth="1"/>
    <col min="5390" max="5632" width="0" style="58" hidden="1"/>
    <col min="5633" max="5633" width="8.5546875" style="58" customWidth="1"/>
    <col min="5634" max="5634" width="5.6640625" style="58" customWidth="1"/>
    <col min="5635" max="5635" width="6.6640625" style="58" customWidth="1"/>
    <col min="5636" max="5645" width="15.44140625" style="58" customWidth="1"/>
    <col min="5646" max="5888" width="0" style="58" hidden="1"/>
    <col min="5889" max="5889" width="8.5546875" style="58" customWidth="1"/>
    <col min="5890" max="5890" width="5.6640625" style="58" customWidth="1"/>
    <col min="5891" max="5891" width="6.6640625" style="58" customWidth="1"/>
    <col min="5892" max="5901" width="15.44140625" style="58" customWidth="1"/>
    <col min="5902" max="6144" width="0" style="58" hidden="1"/>
    <col min="6145" max="6145" width="8.5546875" style="58" customWidth="1"/>
    <col min="6146" max="6146" width="5.6640625" style="58" customWidth="1"/>
    <col min="6147" max="6147" width="6.6640625" style="58" customWidth="1"/>
    <col min="6148" max="6157" width="15.44140625" style="58" customWidth="1"/>
    <col min="6158" max="6400" width="0" style="58" hidden="1"/>
    <col min="6401" max="6401" width="8.5546875" style="58" customWidth="1"/>
    <col min="6402" max="6402" width="5.6640625" style="58" customWidth="1"/>
    <col min="6403" max="6403" width="6.6640625" style="58" customWidth="1"/>
    <col min="6404" max="6413" width="15.44140625" style="58" customWidth="1"/>
    <col min="6414" max="6656" width="0" style="58" hidden="1"/>
    <col min="6657" max="6657" width="8.5546875" style="58" customWidth="1"/>
    <col min="6658" max="6658" width="5.6640625" style="58" customWidth="1"/>
    <col min="6659" max="6659" width="6.6640625" style="58" customWidth="1"/>
    <col min="6660" max="6669" width="15.44140625" style="58" customWidth="1"/>
    <col min="6670" max="6912" width="0" style="58" hidden="1"/>
    <col min="6913" max="6913" width="8.5546875" style="58" customWidth="1"/>
    <col min="6914" max="6914" width="5.6640625" style="58" customWidth="1"/>
    <col min="6915" max="6915" width="6.6640625" style="58" customWidth="1"/>
    <col min="6916" max="6925" width="15.44140625" style="58" customWidth="1"/>
    <col min="6926" max="7168" width="0" style="58" hidden="1"/>
    <col min="7169" max="7169" width="8.5546875" style="58" customWidth="1"/>
    <col min="7170" max="7170" width="5.6640625" style="58" customWidth="1"/>
    <col min="7171" max="7171" width="6.6640625" style="58" customWidth="1"/>
    <col min="7172" max="7181" width="15.44140625" style="58" customWidth="1"/>
    <col min="7182" max="7424" width="0" style="58" hidden="1"/>
    <col min="7425" max="7425" width="8.5546875" style="58" customWidth="1"/>
    <col min="7426" max="7426" width="5.6640625" style="58" customWidth="1"/>
    <col min="7427" max="7427" width="6.6640625" style="58" customWidth="1"/>
    <col min="7428" max="7437" width="15.44140625" style="58" customWidth="1"/>
    <col min="7438" max="7680" width="0" style="58" hidden="1"/>
    <col min="7681" max="7681" width="8.5546875" style="58" customWidth="1"/>
    <col min="7682" max="7682" width="5.6640625" style="58" customWidth="1"/>
    <col min="7683" max="7683" width="6.6640625" style="58" customWidth="1"/>
    <col min="7684" max="7693" width="15.44140625" style="58" customWidth="1"/>
    <col min="7694" max="7936" width="0" style="58" hidden="1"/>
    <col min="7937" max="7937" width="8.5546875" style="58" customWidth="1"/>
    <col min="7938" max="7938" width="5.6640625" style="58" customWidth="1"/>
    <col min="7939" max="7939" width="6.6640625" style="58" customWidth="1"/>
    <col min="7940" max="7949" width="15.44140625" style="58" customWidth="1"/>
    <col min="7950" max="8192" width="0" style="58" hidden="1"/>
    <col min="8193" max="8193" width="8.5546875" style="58" customWidth="1"/>
    <col min="8194" max="8194" width="5.6640625" style="58" customWidth="1"/>
    <col min="8195" max="8195" width="6.6640625" style="58" customWidth="1"/>
    <col min="8196" max="8205" width="15.44140625" style="58" customWidth="1"/>
    <col min="8206" max="8448" width="0" style="58" hidden="1"/>
    <col min="8449" max="8449" width="8.5546875" style="58" customWidth="1"/>
    <col min="8450" max="8450" width="5.6640625" style="58" customWidth="1"/>
    <col min="8451" max="8451" width="6.6640625" style="58" customWidth="1"/>
    <col min="8452" max="8461" width="15.44140625" style="58" customWidth="1"/>
    <col min="8462" max="8704" width="0" style="58" hidden="1"/>
    <col min="8705" max="8705" width="8.5546875" style="58" customWidth="1"/>
    <col min="8706" max="8706" width="5.6640625" style="58" customWidth="1"/>
    <col min="8707" max="8707" width="6.6640625" style="58" customWidth="1"/>
    <col min="8708" max="8717" width="15.44140625" style="58" customWidth="1"/>
    <col min="8718" max="8960" width="0" style="58" hidden="1"/>
    <col min="8961" max="8961" width="8.5546875" style="58" customWidth="1"/>
    <col min="8962" max="8962" width="5.6640625" style="58" customWidth="1"/>
    <col min="8963" max="8963" width="6.6640625" style="58" customWidth="1"/>
    <col min="8964" max="8973" width="15.44140625" style="58" customWidth="1"/>
    <col min="8974" max="9216" width="0" style="58" hidden="1"/>
    <col min="9217" max="9217" width="8.5546875" style="58" customWidth="1"/>
    <col min="9218" max="9218" width="5.6640625" style="58" customWidth="1"/>
    <col min="9219" max="9219" width="6.6640625" style="58" customWidth="1"/>
    <col min="9220" max="9229" width="15.44140625" style="58" customWidth="1"/>
    <col min="9230" max="9472" width="0" style="58" hidden="1"/>
    <col min="9473" max="9473" width="8.5546875" style="58" customWidth="1"/>
    <col min="9474" max="9474" width="5.6640625" style="58" customWidth="1"/>
    <col min="9475" max="9475" width="6.6640625" style="58" customWidth="1"/>
    <col min="9476" max="9485" width="15.44140625" style="58" customWidth="1"/>
    <col min="9486" max="9728" width="0" style="58" hidden="1"/>
    <col min="9729" max="9729" width="8.5546875" style="58" customWidth="1"/>
    <col min="9730" max="9730" width="5.6640625" style="58" customWidth="1"/>
    <col min="9731" max="9731" width="6.6640625" style="58" customWidth="1"/>
    <col min="9732" max="9741" width="15.44140625" style="58" customWidth="1"/>
    <col min="9742" max="9984" width="0" style="58" hidden="1"/>
    <col min="9985" max="9985" width="8.5546875" style="58" customWidth="1"/>
    <col min="9986" max="9986" width="5.6640625" style="58" customWidth="1"/>
    <col min="9987" max="9987" width="6.6640625" style="58" customWidth="1"/>
    <col min="9988" max="9997" width="15.44140625" style="58" customWidth="1"/>
    <col min="9998" max="10240" width="0" style="58" hidden="1"/>
    <col min="10241" max="10241" width="8.5546875" style="58" customWidth="1"/>
    <col min="10242" max="10242" width="5.6640625" style="58" customWidth="1"/>
    <col min="10243" max="10243" width="6.6640625" style="58" customWidth="1"/>
    <col min="10244" max="10253" width="15.44140625" style="58" customWidth="1"/>
    <col min="10254" max="10496" width="0" style="58" hidden="1"/>
    <col min="10497" max="10497" width="8.5546875" style="58" customWidth="1"/>
    <col min="10498" max="10498" width="5.6640625" style="58" customWidth="1"/>
    <col min="10499" max="10499" width="6.6640625" style="58" customWidth="1"/>
    <col min="10500" max="10509" width="15.44140625" style="58" customWidth="1"/>
    <col min="10510" max="10752" width="0" style="58" hidden="1"/>
    <col min="10753" max="10753" width="8.5546875" style="58" customWidth="1"/>
    <col min="10754" max="10754" width="5.6640625" style="58" customWidth="1"/>
    <col min="10755" max="10755" width="6.6640625" style="58" customWidth="1"/>
    <col min="10756" max="10765" width="15.44140625" style="58" customWidth="1"/>
    <col min="10766" max="11008" width="0" style="58" hidden="1"/>
    <col min="11009" max="11009" width="8.5546875" style="58" customWidth="1"/>
    <col min="11010" max="11010" width="5.6640625" style="58" customWidth="1"/>
    <col min="11011" max="11011" width="6.6640625" style="58" customWidth="1"/>
    <col min="11012" max="11021" width="15.44140625" style="58" customWidth="1"/>
    <col min="11022" max="11264" width="0" style="58" hidden="1"/>
    <col min="11265" max="11265" width="8.5546875" style="58" customWidth="1"/>
    <col min="11266" max="11266" width="5.6640625" style="58" customWidth="1"/>
    <col min="11267" max="11267" width="6.6640625" style="58" customWidth="1"/>
    <col min="11268" max="11277" width="15.44140625" style="58" customWidth="1"/>
    <col min="11278" max="11520" width="0" style="58" hidden="1"/>
    <col min="11521" max="11521" width="8.5546875" style="58" customWidth="1"/>
    <col min="11522" max="11522" width="5.6640625" style="58" customWidth="1"/>
    <col min="11523" max="11523" width="6.6640625" style="58" customWidth="1"/>
    <col min="11524" max="11533" width="15.44140625" style="58" customWidth="1"/>
    <col min="11534" max="11776" width="0" style="58" hidden="1"/>
    <col min="11777" max="11777" width="8.5546875" style="58" customWidth="1"/>
    <col min="11778" max="11778" width="5.6640625" style="58" customWidth="1"/>
    <col min="11779" max="11779" width="6.6640625" style="58" customWidth="1"/>
    <col min="11780" max="11789" width="15.44140625" style="58" customWidth="1"/>
    <col min="11790" max="12032" width="0" style="58" hidden="1"/>
    <col min="12033" max="12033" width="8.5546875" style="58" customWidth="1"/>
    <col min="12034" max="12034" width="5.6640625" style="58" customWidth="1"/>
    <col min="12035" max="12035" width="6.6640625" style="58" customWidth="1"/>
    <col min="12036" max="12045" width="15.44140625" style="58" customWidth="1"/>
    <col min="12046" max="12288" width="0" style="58" hidden="1"/>
    <col min="12289" max="12289" width="8.5546875" style="58" customWidth="1"/>
    <col min="12290" max="12290" width="5.6640625" style="58" customWidth="1"/>
    <col min="12291" max="12291" width="6.6640625" style="58" customWidth="1"/>
    <col min="12292" max="12301" width="15.44140625" style="58" customWidth="1"/>
    <col min="12302" max="12544" width="0" style="58" hidden="1"/>
    <col min="12545" max="12545" width="8.5546875" style="58" customWidth="1"/>
    <col min="12546" max="12546" width="5.6640625" style="58" customWidth="1"/>
    <col min="12547" max="12547" width="6.6640625" style="58" customWidth="1"/>
    <col min="12548" max="12557" width="15.44140625" style="58" customWidth="1"/>
    <col min="12558" max="12800" width="0" style="58" hidden="1"/>
    <col min="12801" max="12801" width="8.5546875" style="58" customWidth="1"/>
    <col min="12802" max="12802" width="5.6640625" style="58" customWidth="1"/>
    <col min="12803" max="12803" width="6.6640625" style="58" customWidth="1"/>
    <col min="12804" max="12813" width="15.44140625" style="58" customWidth="1"/>
    <col min="12814" max="13056" width="0" style="58" hidden="1"/>
    <col min="13057" max="13057" width="8.5546875" style="58" customWidth="1"/>
    <col min="13058" max="13058" width="5.6640625" style="58" customWidth="1"/>
    <col min="13059" max="13059" width="6.6640625" style="58" customWidth="1"/>
    <col min="13060" max="13069" width="15.44140625" style="58" customWidth="1"/>
    <col min="13070" max="13312" width="0" style="58" hidden="1"/>
    <col min="13313" max="13313" width="8.5546875" style="58" customWidth="1"/>
    <col min="13314" max="13314" width="5.6640625" style="58" customWidth="1"/>
    <col min="13315" max="13315" width="6.6640625" style="58" customWidth="1"/>
    <col min="13316" max="13325" width="15.44140625" style="58" customWidth="1"/>
    <col min="13326" max="13568" width="0" style="58" hidden="1"/>
    <col min="13569" max="13569" width="8.5546875" style="58" customWidth="1"/>
    <col min="13570" max="13570" width="5.6640625" style="58" customWidth="1"/>
    <col min="13571" max="13571" width="6.6640625" style="58" customWidth="1"/>
    <col min="13572" max="13581" width="15.44140625" style="58" customWidth="1"/>
    <col min="13582" max="13824" width="0" style="58" hidden="1"/>
    <col min="13825" max="13825" width="8.5546875" style="58" customWidth="1"/>
    <col min="13826" max="13826" width="5.6640625" style="58" customWidth="1"/>
    <col min="13827" max="13827" width="6.6640625" style="58" customWidth="1"/>
    <col min="13828" max="13837" width="15.44140625" style="58" customWidth="1"/>
    <col min="13838" max="14080" width="0" style="58" hidden="1"/>
    <col min="14081" max="14081" width="8.5546875" style="58" customWidth="1"/>
    <col min="14082" max="14082" width="5.6640625" style="58" customWidth="1"/>
    <col min="14083" max="14083" width="6.6640625" style="58" customWidth="1"/>
    <col min="14084" max="14093" width="15.44140625" style="58" customWidth="1"/>
    <col min="14094" max="14336" width="0" style="58" hidden="1"/>
    <col min="14337" max="14337" width="8.5546875" style="58" customWidth="1"/>
    <col min="14338" max="14338" width="5.6640625" style="58" customWidth="1"/>
    <col min="14339" max="14339" width="6.6640625" style="58" customWidth="1"/>
    <col min="14340" max="14349" width="15.44140625" style="58" customWidth="1"/>
    <col min="14350" max="14592" width="0" style="58" hidden="1"/>
    <col min="14593" max="14593" width="8.5546875" style="58" customWidth="1"/>
    <col min="14594" max="14594" width="5.6640625" style="58" customWidth="1"/>
    <col min="14595" max="14595" width="6.6640625" style="58" customWidth="1"/>
    <col min="14596" max="14605" width="15.44140625" style="58" customWidth="1"/>
    <col min="14606" max="14848" width="0" style="58" hidden="1"/>
    <col min="14849" max="14849" width="8.5546875" style="58" customWidth="1"/>
    <col min="14850" max="14850" width="5.6640625" style="58" customWidth="1"/>
    <col min="14851" max="14851" width="6.6640625" style="58" customWidth="1"/>
    <col min="14852" max="14861" width="15.44140625" style="58" customWidth="1"/>
    <col min="14862" max="15104" width="0" style="58" hidden="1"/>
    <col min="15105" max="15105" width="8.5546875" style="58" customWidth="1"/>
    <col min="15106" max="15106" width="5.6640625" style="58" customWidth="1"/>
    <col min="15107" max="15107" width="6.6640625" style="58" customWidth="1"/>
    <col min="15108" max="15117" width="15.44140625" style="58" customWidth="1"/>
    <col min="15118" max="15360" width="0" style="58" hidden="1"/>
    <col min="15361" max="15361" width="8.5546875" style="58" customWidth="1"/>
    <col min="15362" max="15362" width="5.6640625" style="58" customWidth="1"/>
    <col min="15363" max="15363" width="6.6640625" style="58" customWidth="1"/>
    <col min="15364" max="15373" width="15.44140625" style="58" customWidth="1"/>
    <col min="15374" max="15616" width="0" style="58" hidden="1"/>
    <col min="15617" max="15617" width="8.5546875" style="58" customWidth="1"/>
    <col min="15618" max="15618" width="5.6640625" style="58" customWidth="1"/>
    <col min="15619" max="15619" width="6.6640625" style="58" customWidth="1"/>
    <col min="15620" max="15629" width="15.44140625" style="58" customWidth="1"/>
    <col min="15630" max="15872" width="0" style="58" hidden="1"/>
    <col min="15873" max="15873" width="8.5546875" style="58" customWidth="1"/>
    <col min="15874" max="15874" width="5.6640625" style="58" customWidth="1"/>
    <col min="15875" max="15875" width="6.6640625" style="58" customWidth="1"/>
    <col min="15876" max="15885" width="15.44140625" style="58" customWidth="1"/>
    <col min="15886" max="16128" width="0" style="58" hidden="1"/>
    <col min="16129" max="16129" width="8.5546875" style="58" customWidth="1"/>
    <col min="16130" max="16130" width="5.6640625" style="58" customWidth="1"/>
    <col min="16131" max="16131" width="6.6640625" style="58" customWidth="1"/>
    <col min="16132" max="16141" width="15.44140625" style="58" customWidth="1"/>
    <col min="16142" max="16384" width="0" style="58" hidden="1"/>
  </cols>
  <sheetData>
    <row r="1" spans="1:13" ht="13.2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2.7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13.2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13.2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ht="15.6" x14ac:dyDescent="0.3">
      <c r="A5" s="59" t="s">
        <v>277</v>
      </c>
      <c r="B5" s="60"/>
      <c r="C5" s="60"/>
      <c r="D5" s="61" t="s">
        <v>219</v>
      </c>
      <c r="E5" s="62">
        <f>VLOOKUP(Sheet1!D82,Sheet1!A82:B105,2)</f>
        <v>2024</v>
      </c>
      <c r="F5" s="62" t="str">
        <f>VLOOKUP(Sheet1!D56,Sheet1!A56:B56,2)&amp;"  )"</f>
        <v>Constant Dollars  )</v>
      </c>
      <c r="G5" s="60"/>
      <c r="H5" s="57"/>
      <c r="I5" s="57"/>
      <c r="J5" s="57"/>
      <c r="K5" s="57"/>
      <c r="L5" s="57"/>
      <c r="M5" s="57"/>
    </row>
    <row r="6" spans="1:13" ht="15.6" x14ac:dyDescent="0.3">
      <c r="A6" s="64" t="str">
        <f>IF(Sheet1!D193,"","(NOT FEASIBLE !!)")</f>
        <v/>
      </c>
      <c r="B6" s="60"/>
      <c r="C6" s="60"/>
      <c r="D6" s="61" t="s">
        <v>220</v>
      </c>
      <c r="E6" s="62" t="str">
        <f>VLOOKUP(Sheet1!D67,Sheet1!A66:B68,2)</f>
        <v xml:space="preserve"> ($)</v>
      </c>
      <c r="F6" s="61" t="s">
        <v>221</v>
      </c>
      <c r="G6" s="60"/>
      <c r="H6" s="57"/>
      <c r="I6" s="57"/>
      <c r="J6" s="57"/>
      <c r="K6" s="57"/>
      <c r="L6" s="57"/>
      <c r="M6" s="57"/>
    </row>
    <row r="7" spans="1:13" ht="13.2" x14ac:dyDescent="0.25">
      <c r="C7" s="128"/>
      <c r="M7" s="138"/>
    </row>
    <row r="8" spans="1:13" ht="13.2" x14ac:dyDescent="0.25">
      <c r="C8" s="128"/>
      <c r="M8" s="138"/>
    </row>
    <row r="9" spans="1:13" ht="17.25" customHeight="1" x14ac:dyDescent="0.25">
      <c r="A9" s="155" t="s">
        <v>222</v>
      </c>
      <c r="B9" s="142"/>
      <c r="C9" s="142"/>
      <c r="D9" s="71"/>
      <c r="E9" s="72"/>
      <c r="F9" s="72"/>
      <c r="G9" s="72"/>
      <c r="H9" s="73"/>
      <c r="M9" s="138"/>
    </row>
    <row r="10" spans="1:13" ht="21" customHeight="1" x14ac:dyDescent="0.25">
      <c r="A10" s="155" t="s">
        <v>223</v>
      </c>
      <c r="B10" s="155"/>
      <c r="C10" s="142"/>
      <c r="E10" s="75" t="s">
        <v>224</v>
      </c>
      <c r="M10" s="138"/>
    </row>
    <row r="11" spans="1:13" ht="20.100000000000001" customHeight="1" x14ac:dyDescent="0.25">
      <c r="A11" s="152"/>
      <c r="B11" s="152"/>
      <c r="C11" s="139"/>
      <c r="E11" s="78"/>
      <c r="M11" s="138"/>
    </row>
    <row r="12" spans="1:13" ht="13.5" customHeight="1" x14ac:dyDescent="0.25">
      <c r="A12" s="144" t="s">
        <v>269</v>
      </c>
      <c r="B12" s="142"/>
      <c r="C12" s="142"/>
      <c r="D12" s="80"/>
      <c r="E12" s="80"/>
      <c r="F12" s="80"/>
      <c r="G12" s="80"/>
      <c r="H12" s="80"/>
      <c r="I12" s="80"/>
      <c r="J12" s="80"/>
      <c r="K12" s="80"/>
      <c r="M12" s="138"/>
    </row>
    <row r="13" spans="1:13" ht="15" customHeight="1" x14ac:dyDescent="0.25">
      <c r="A13" s="143" t="s">
        <v>268</v>
      </c>
      <c r="B13" s="142"/>
      <c r="C13" s="142"/>
      <c r="D13" s="80"/>
      <c r="E13" s="80"/>
      <c r="F13" s="80"/>
      <c r="G13" s="80"/>
      <c r="H13" s="80"/>
      <c r="I13" s="80"/>
      <c r="J13" s="80"/>
      <c r="K13" s="80"/>
      <c r="M13" s="138"/>
    </row>
    <row r="14" spans="1:13" ht="3" customHeight="1" x14ac:dyDescent="0.25">
      <c r="A14" s="151"/>
      <c r="B14" s="139"/>
      <c r="C14" s="139"/>
      <c r="D14" s="80"/>
      <c r="E14" s="80"/>
      <c r="F14" s="80"/>
      <c r="G14" s="80"/>
      <c r="H14" s="80"/>
      <c r="I14" s="80"/>
      <c r="J14" s="80"/>
      <c r="K14" s="80"/>
      <c r="M14" s="138"/>
    </row>
    <row r="15" spans="1:13" ht="3" customHeight="1" thickBot="1" x14ac:dyDescent="0.3">
      <c r="A15" s="151"/>
      <c r="B15" s="139"/>
      <c r="C15" s="139"/>
      <c r="D15" s="80"/>
      <c r="E15" s="80"/>
      <c r="F15" s="80"/>
      <c r="G15" s="80"/>
      <c r="H15" s="80"/>
      <c r="I15" s="80"/>
      <c r="J15" s="80"/>
      <c r="K15" s="80"/>
      <c r="M15" s="138"/>
    </row>
    <row r="16" spans="1:13" ht="33" customHeight="1" thickTop="1" x14ac:dyDescent="0.25">
      <c r="A16" s="148" t="s">
        <v>229</v>
      </c>
      <c r="B16" s="148" t="s">
        <v>230</v>
      </c>
      <c r="C16" s="86" t="s">
        <v>231</v>
      </c>
      <c r="D16" s="87"/>
      <c r="E16" s="87"/>
      <c r="F16" s="87"/>
      <c r="G16" s="87"/>
      <c r="H16" s="87"/>
      <c r="I16" s="87"/>
      <c r="J16" s="87"/>
      <c r="K16" s="87"/>
      <c r="L16" s="104" t="s">
        <v>252</v>
      </c>
      <c r="M16" s="138"/>
    </row>
    <row r="17" spans="1:13" ht="13.2" x14ac:dyDescent="0.25">
      <c r="A17" s="147">
        <f>IF(Sheet1!D$195,VLOOKUP(1,Sheet1!A148:B197,2),NA())</f>
        <v>1</v>
      </c>
      <c r="B17" s="147">
        <f>IF(Sheet1!D$195,VLOOKUP(Sheet1!D$86,Sheet1!A80:B147,2),NA())</f>
        <v>2024</v>
      </c>
      <c r="C17" s="146" t="str">
        <f>IF(AND(OR(A17=" ",A17="#NA"),OR(D17&lt;&gt;0,E17&lt;&gt;0,F17&lt;&gt;0,G17&lt;&gt;0,H17&lt;&gt;0,I17&lt;&gt;0,J17&lt;&gt;0,K17&lt;&gt;0)),"Clear=&gt;"," ")</f>
        <v xml:space="preserve"> </v>
      </c>
      <c r="D17" s="92"/>
      <c r="E17" s="92"/>
      <c r="F17" s="92"/>
      <c r="G17" s="92"/>
      <c r="H17" s="92"/>
      <c r="I17" s="92"/>
      <c r="J17" s="92"/>
      <c r="K17" s="92"/>
      <c r="L17" s="95">
        <f>IF(Sheet1!D$195,SUM(D17:K17),NA())</f>
        <v>0</v>
      </c>
      <c r="M17" s="127"/>
    </row>
    <row r="18" spans="1:13" ht="13.2" x14ac:dyDescent="0.25">
      <c r="A18" s="147" t="str">
        <f>IF(Sheet1!D$195,IF((A17&gt;=(Sheet1!D$148+$A$17)-1)," ",A17+1),NA())</f>
        <v xml:space="preserve"> </v>
      </c>
      <c r="B18" s="147" t="str">
        <f>IF(Sheet1!D$195,IF((B17&gt;=(Sheet1!D$148+$B$17)-1)," ",B17+1),NA())</f>
        <v xml:space="preserve"> </v>
      </c>
      <c r="C18" s="146" t="str">
        <f t="shared" ref="C18:C66" si="0">IF(AND(OR(A18=" ",A18="#NA"),OR(D18&lt;&gt;0,E18&lt;&gt;0,F18&lt;&gt;0,G18&lt;&gt;0,H18&lt;&gt;0,I18&lt;&gt;0,J18&lt;&gt;0,K18&lt;&gt;0)),"Clear=&gt;"," ")</f>
        <v xml:space="preserve"> </v>
      </c>
      <c r="D18" s="92"/>
      <c r="E18" s="92"/>
      <c r="F18" s="92"/>
      <c r="G18" s="92"/>
      <c r="H18" s="92"/>
      <c r="I18" s="92"/>
      <c r="J18" s="92"/>
      <c r="K18" s="92"/>
      <c r="L18" s="95">
        <f>IF(Sheet1!D$195,SUM(D18:K18),NA())</f>
        <v>0</v>
      </c>
      <c r="M18" s="127"/>
    </row>
    <row r="19" spans="1:13" ht="13.2" x14ac:dyDescent="0.25">
      <c r="A19" s="147" t="str">
        <f>IF(Sheet1!D$195,IF((A18&gt;=(Sheet1!D$148+$A$17)-1)," ",A18+1),NA())</f>
        <v xml:space="preserve"> </v>
      </c>
      <c r="B19" s="147" t="str">
        <f>IF(Sheet1!D$195,IF((B18&gt;=(Sheet1!D$148+$B$17)-1)," ",B18+1),NA())</f>
        <v xml:space="preserve"> </v>
      </c>
      <c r="C19" s="146" t="str">
        <f t="shared" si="0"/>
        <v xml:space="preserve"> </v>
      </c>
      <c r="D19" s="92"/>
      <c r="E19" s="92"/>
      <c r="F19" s="92"/>
      <c r="G19" s="92"/>
      <c r="H19" s="92"/>
      <c r="I19" s="92"/>
      <c r="J19" s="92"/>
      <c r="K19" s="92"/>
      <c r="L19" s="95">
        <f>IF(Sheet1!D$195,SUM(D19:K19),NA())</f>
        <v>0</v>
      </c>
      <c r="M19" s="127"/>
    </row>
    <row r="20" spans="1:13" ht="13.2" x14ac:dyDescent="0.25">
      <c r="A20" s="147" t="str">
        <f>IF(Sheet1!D$195,IF((A19&gt;=(Sheet1!D$148+$A$17)-1)," ",A19+1),NA())</f>
        <v xml:space="preserve"> </v>
      </c>
      <c r="B20" s="147" t="str">
        <f>IF(Sheet1!D$195,IF((B19&gt;=(Sheet1!D$148+$B$17)-1)," ",B19+1),NA())</f>
        <v xml:space="preserve"> </v>
      </c>
      <c r="C20" s="146" t="str">
        <f t="shared" si="0"/>
        <v xml:space="preserve"> </v>
      </c>
      <c r="D20" s="92"/>
      <c r="E20" s="92"/>
      <c r="F20" s="92"/>
      <c r="G20" s="92"/>
      <c r="H20" s="92"/>
      <c r="I20" s="92"/>
      <c r="J20" s="92"/>
      <c r="K20" s="92"/>
      <c r="L20" s="95">
        <f>IF(Sheet1!D$195,SUM(D20:K20),NA())</f>
        <v>0</v>
      </c>
      <c r="M20" s="127"/>
    </row>
    <row r="21" spans="1:13" ht="13.2" x14ac:dyDescent="0.25">
      <c r="A21" s="147" t="str">
        <f>IF(Sheet1!D$195,IF((A20&gt;=(Sheet1!D$148+$A$17)-1)," ",A20+1),NA())</f>
        <v xml:space="preserve"> </v>
      </c>
      <c r="B21" s="147" t="str">
        <f>IF(Sheet1!D$195,IF((B20&gt;=(Sheet1!D$148+$B$17)-1)," ",B20+1),NA())</f>
        <v xml:space="preserve"> </v>
      </c>
      <c r="C21" s="146" t="str">
        <f t="shared" si="0"/>
        <v xml:space="preserve"> </v>
      </c>
      <c r="D21" s="92"/>
      <c r="E21" s="92"/>
      <c r="F21" s="92"/>
      <c r="G21" s="92"/>
      <c r="H21" s="92"/>
      <c r="I21" s="92"/>
      <c r="J21" s="92"/>
      <c r="K21" s="92"/>
      <c r="L21" s="95">
        <f>IF(Sheet1!D$195,SUM(D21:K21),NA())</f>
        <v>0</v>
      </c>
      <c r="M21" s="127"/>
    </row>
    <row r="22" spans="1:13" ht="13.2" x14ac:dyDescent="0.25">
      <c r="A22" s="147" t="str">
        <f>IF(Sheet1!D$195,IF((A21&gt;=(Sheet1!D$148+$A$17)-1)," ",A21+1),NA())</f>
        <v xml:space="preserve"> </v>
      </c>
      <c r="B22" s="147" t="str">
        <f>IF(Sheet1!D$195,IF((B21&gt;=(Sheet1!D$148+$B$17)-1)," ",B21+1),NA())</f>
        <v xml:space="preserve"> </v>
      </c>
      <c r="C22" s="146" t="str">
        <f t="shared" si="0"/>
        <v xml:space="preserve"> </v>
      </c>
      <c r="D22" s="92"/>
      <c r="E22" s="92"/>
      <c r="F22" s="92"/>
      <c r="G22" s="92"/>
      <c r="H22" s="92"/>
      <c r="I22" s="92"/>
      <c r="J22" s="92"/>
      <c r="K22" s="92"/>
      <c r="L22" s="95">
        <f>IF(Sheet1!D$195,SUM(D22:K22),NA())</f>
        <v>0</v>
      </c>
      <c r="M22" s="127"/>
    </row>
    <row r="23" spans="1:13" ht="13.2" x14ac:dyDescent="0.25">
      <c r="A23" s="147" t="str">
        <f>IF(Sheet1!D$195,IF((A22&gt;=(Sheet1!D$148+$A$17)-1)," ",A22+1),NA())</f>
        <v xml:space="preserve"> </v>
      </c>
      <c r="B23" s="147" t="str">
        <f>IF(Sheet1!D$195,IF((B22&gt;=(Sheet1!D$148+$B$17)-1)," ",B22+1),NA())</f>
        <v xml:space="preserve"> </v>
      </c>
      <c r="C23" s="146" t="str">
        <f t="shared" si="0"/>
        <v xml:space="preserve"> </v>
      </c>
      <c r="D23" s="92"/>
      <c r="E23" s="92"/>
      <c r="F23" s="92"/>
      <c r="G23" s="92"/>
      <c r="H23" s="92"/>
      <c r="I23" s="92"/>
      <c r="J23" s="92"/>
      <c r="K23" s="92"/>
      <c r="L23" s="95">
        <f>IF(Sheet1!D$195,SUM(D23:K23),NA())</f>
        <v>0</v>
      </c>
      <c r="M23" s="127"/>
    </row>
    <row r="24" spans="1:13" ht="13.2" x14ac:dyDescent="0.25">
      <c r="A24" s="147" t="str">
        <f>IF(Sheet1!D$195,IF((A23&gt;=(Sheet1!D$148+$A$17)-1)," ",A23+1),NA())</f>
        <v xml:space="preserve"> </v>
      </c>
      <c r="B24" s="147" t="str">
        <f>IF(Sheet1!D$195,IF((B23&gt;=(Sheet1!D$148+$B$17)-1)," ",B23+1),NA())</f>
        <v xml:space="preserve"> </v>
      </c>
      <c r="C24" s="146" t="str">
        <f t="shared" si="0"/>
        <v xml:space="preserve"> </v>
      </c>
      <c r="D24" s="92"/>
      <c r="E24" s="92"/>
      <c r="F24" s="92"/>
      <c r="G24" s="92"/>
      <c r="H24" s="92"/>
      <c r="I24" s="92"/>
      <c r="J24" s="92"/>
      <c r="K24" s="92"/>
      <c r="L24" s="95">
        <f>IF(Sheet1!D$195,SUM(D24:K24),NA())</f>
        <v>0</v>
      </c>
      <c r="M24" s="127"/>
    </row>
    <row r="25" spans="1:13" ht="13.2" x14ac:dyDescent="0.25">
      <c r="A25" s="147" t="str">
        <f>IF(Sheet1!D$195,IF((A24&gt;=(Sheet1!D$148+$A$17)-1)," ",A24+1),NA())</f>
        <v xml:space="preserve"> </v>
      </c>
      <c r="B25" s="147" t="str">
        <f>IF(Sheet1!D$195,IF((B24&gt;=(Sheet1!D$148+$B$17)-1)," ",B24+1),NA())</f>
        <v xml:space="preserve"> </v>
      </c>
      <c r="C25" s="146" t="str">
        <f t="shared" si="0"/>
        <v xml:space="preserve"> </v>
      </c>
      <c r="D25" s="92"/>
      <c r="E25" s="92"/>
      <c r="F25" s="92"/>
      <c r="G25" s="92"/>
      <c r="H25" s="92"/>
      <c r="I25" s="92"/>
      <c r="J25" s="92"/>
      <c r="K25" s="92"/>
      <c r="L25" s="95">
        <f>IF(Sheet1!D$195,SUM(D25:K25),NA())</f>
        <v>0</v>
      </c>
      <c r="M25" s="127"/>
    </row>
    <row r="26" spans="1:13" ht="13.2" x14ac:dyDescent="0.25">
      <c r="A26" s="147" t="str">
        <f>IF(Sheet1!D$195,IF((A25&gt;=(Sheet1!D$148+$A$17)-1)," ",A25+1),NA())</f>
        <v xml:space="preserve"> </v>
      </c>
      <c r="B26" s="147" t="str">
        <f>IF(Sheet1!D$195,IF((B25&gt;=(Sheet1!D$148+$B$17)-1)," ",B25+1),NA())</f>
        <v xml:space="preserve"> </v>
      </c>
      <c r="C26" s="146" t="str">
        <f t="shared" si="0"/>
        <v xml:space="preserve"> </v>
      </c>
      <c r="D26" s="92"/>
      <c r="E26" s="92"/>
      <c r="F26" s="92"/>
      <c r="G26" s="92"/>
      <c r="H26" s="92"/>
      <c r="I26" s="92"/>
      <c r="J26" s="92"/>
      <c r="K26" s="92"/>
      <c r="L26" s="95">
        <f>IF(Sheet1!D$195,SUM(D26:K26),NA())</f>
        <v>0</v>
      </c>
      <c r="M26" s="127"/>
    </row>
    <row r="27" spans="1:13" ht="13.2" x14ac:dyDescent="0.25">
      <c r="A27" s="147" t="str">
        <f>IF(Sheet1!D$195,IF((A26&gt;=(Sheet1!D$148+$A$17)-1)," ",A26+1),NA())</f>
        <v xml:space="preserve"> </v>
      </c>
      <c r="B27" s="147" t="str">
        <f>IF(Sheet1!D$195,IF((B26&gt;=(Sheet1!D$148+$B$17)-1)," ",B26+1),NA())</f>
        <v xml:space="preserve"> </v>
      </c>
      <c r="C27" s="146" t="str">
        <f t="shared" si="0"/>
        <v xml:space="preserve"> </v>
      </c>
      <c r="D27" s="92"/>
      <c r="E27" s="92"/>
      <c r="F27" s="92"/>
      <c r="G27" s="92"/>
      <c r="H27" s="92"/>
      <c r="I27" s="92"/>
      <c r="J27" s="92"/>
      <c r="K27" s="92"/>
      <c r="L27" s="95">
        <f>IF(Sheet1!D$195,SUM(D27:K27),NA())</f>
        <v>0</v>
      </c>
      <c r="M27" s="127"/>
    </row>
    <row r="28" spans="1:13" ht="13.2" x14ac:dyDescent="0.25">
      <c r="A28" s="147" t="str">
        <f>IF(Sheet1!D$195,IF((A27&gt;=(Sheet1!D$148+$A$17)-1)," ",A27+1),NA())</f>
        <v xml:space="preserve"> </v>
      </c>
      <c r="B28" s="147" t="str">
        <f>IF(Sheet1!D$195,IF((B27&gt;=(Sheet1!D$148+$B$17)-1)," ",B27+1),NA())</f>
        <v xml:space="preserve"> </v>
      </c>
      <c r="C28" s="146" t="str">
        <f t="shared" si="0"/>
        <v xml:space="preserve"> </v>
      </c>
      <c r="D28" s="92"/>
      <c r="E28" s="92"/>
      <c r="F28" s="92"/>
      <c r="G28" s="92"/>
      <c r="H28" s="92"/>
      <c r="I28" s="92"/>
      <c r="J28" s="92"/>
      <c r="K28" s="92"/>
      <c r="L28" s="95">
        <f>IF(Sheet1!D$195,SUM(D28:K28),NA())</f>
        <v>0</v>
      </c>
      <c r="M28" s="127"/>
    </row>
    <row r="29" spans="1:13" ht="13.2" x14ac:dyDescent="0.25">
      <c r="A29" s="147" t="str">
        <f>IF(Sheet1!D$195,IF((A28&gt;=(Sheet1!D$148+$A$17)-1)," ",A28+1),NA())</f>
        <v xml:space="preserve"> </v>
      </c>
      <c r="B29" s="147" t="str">
        <f>IF(Sheet1!D$195,IF((B28&gt;=(Sheet1!D$148+$B$17)-1)," ",B28+1),NA())</f>
        <v xml:space="preserve"> </v>
      </c>
      <c r="C29" s="146" t="str">
        <f t="shared" si="0"/>
        <v xml:space="preserve"> </v>
      </c>
      <c r="D29" s="92"/>
      <c r="E29" s="92"/>
      <c r="F29" s="92"/>
      <c r="G29" s="92"/>
      <c r="H29" s="92"/>
      <c r="I29" s="92"/>
      <c r="J29" s="92"/>
      <c r="K29" s="92"/>
      <c r="L29" s="95">
        <f>IF(Sheet1!D$195,SUM(D29:K29),NA())</f>
        <v>0</v>
      </c>
      <c r="M29" s="127"/>
    </row>
    <row r="30" spans="1:13" ht="13.2" x14ac:dyDescent="0.25">
      <c r="A30" s="147" t="str">
        <f>IF(Sheet1!D$195,IF((A29&gt;=(Sheet1!D$148+$A$17)-1)," ",A29+1),NA())</f>
        <v xml:space="preserve"> </v>
      </c>
      <c r="B30" s="147" t="str">
        <f>IF(Sheet1!D$195,IF((B29&gt;=(Sheet1!D$148+$B$17)-1)," ",B29+1),NA())</f>
        <v xml:space="preserve"> </v>
      </c>
      <c r="C30" s="146" t="str">
        <f t="shared" si="0"/>
        <v xml:space="preserve"> </v>
      </c>
      <c r="D30" s="92"/>
      <c r="E30" s="92"/>
      <c r="F30" s="92"/>
      <c r="G30" s="92"/>
      <c r="H30" s="92"/>
      <c r="I30" s="92"/>
      <c r="J30" s="92"/>
      <c r="K30" s="92"/>
      <c r="L30" s="95">
        <f>IF(Sheet1!D$195,SUM(D30:K30),NA())</f>
        <v>0</v>
      </c>
      <c r="M30" s="127"/>
    </row>
    <row r="31" spans="1:13" ht="13.2" x14ac:dyDescent="0.25">
      <c r="A31" s="147" t="str">
        <f>IF(Sheet1!D$195,IF((A30&gt;=(Sheet1!D$148+$A$17)-1)," ",A30+1),NA())</f>
        <v xml:space="preserve"> </v>
      </c>
      <c r="B31" s="147" t="str">
        <f>IF(Sheet1!D$195,IF((B30&gt;=(Sheet1!D$148+$B$17)-1)," ",B30+1),NA())</f>
        <v xml:space="preserve"> </v>
      </c>
      <c r="C31" s="146" t="str">
        <f t="shared" si="0"/>
        <v xml:space="preserve"> </v>
      </c>
      <c r="D31" s="92"/>
      <c r="E31" s="92"/>
      <c r="F31" s="92"/>
      <c r="G31" s="92"/>
      <c r="H31" s="92"/>
      <c r="I31" s="92"/>
      <c r="J31" s="92"/>
      <c r="K31" s="92"/>
      <c r="L31" s="95">
        <f>IF(Sheet1!D$195,SUM(D31:K31),NA())</f>
        <v>0</v>
      </c>
      <c r="M31" s="127"/>
    </row>
    <row r="32" spans="1:13" ht="13.2" x14ac:dyDescent="0.25">
      <c r="A32" s="147" t="str">
        <f>IF(Sheet1!D$195,IF((A31&gt;=(Sheet1!D$148+$A$17)-1)," ",A31+1),NA())</f>
        <v xml:space="preserve"> </v>
      </c>
      <c r="B32" s="147" t="str">
        <f>IF(Sheet1!D$195,IF((B31&gt;=(Sheet1!D$148+$B$17)-1)," ",B31+1),NA())</f>
        <v xml:space="preserve"> </v>
      </c>
      <c r="C32" s="146" t="str">
        <f t="shared" si="0"/>
        <v xml:space="preserve"> </v>
      </c>
      <c r="D32" s="92"/>
      <c r="E32" s="92"/>
      <c r="F32" s="92"/>
      <c r="G32" s="92"/>
      <c r="H32" s="92"/>
      <c r="I32" s="92"/>
      <c r="J32" s="92"/>
      <c r="K32" s="92"/>
      <c r="L32" s="95">
        <f>IF(Sheet1!D$195,SUM(D32:K32),NA())</f>
        <v>0</v>
      </c>
      <c r="M32" s="127"/>
    </row>
    <row r="33" spans="1:13" ht="13.2" x14ac:dyDescent="0.25">
      <c r="A33" s="147" t="str">
        <f>IF(Sheet1!D$195,IF((A32&gt;=(Sheet1!D$148+$A$17)-1)," ",A32+1),NA())</f>
        <v xml:space="preserve"> </v>
      </c>
      <c r="B33" s="147" t="str">
        <f>IF(Sheet1!D$195,IF((B32&gt;=(Sheet1!D$148+$B$17)-1)," ",B32+1),NA())</f>
        <v xml:space="preserve"> </v>
      </c>
      <c r="C33" s="146" t="str">
        <f t="shared" si="0"/>
        <v xml:space="preserve"> </v>
      </c>
      <c r="D33" s="92"/>
      <c r="E33" s="92"/>
      <c r="F33" s="92"/>
      <c r="G33" s="92"/>
      <c r="H33" s="92"/>
      <c r="I33" s="92"/>
      <c r="J33" s="92"/>
      <c r="K33" s="92"/>
      <c r="L33" s="95">
        <f>IF(Sheet1!D$195,SUM(D33:K33),NA())</f>
        <v>0</v>
      </c>
      <c r="M33" s="127"/>
    </row>
    <row r="34" spans="1:13" ht="13.2" x14ac:dyDescent="0.25">
      <c r="A34" s="147" t="str">
        <f>IF(Sheet1!D$195,IF((A33&gt;=(Sheet1!D$148+$A$17)-1)," ",A33+1),NA())</f>
        <v xml:space="preserve"> </v>
      </c>
      <c r="B34" s="147" t="str">
        <f>IF(Sheet1!D$195,IF((B33&gt;=(Sheet1!D$148+$B$17)-1)," ",B33+1),NA())</f>
        <v xml:space="preserve"> </v>
      </c>
      <c r="C34" s="146" t="str">
        <f t="shared" si="0"/>
        <v xml:space="preserve"> </v>
      </c>
      <c r="D34" s="92"/>
      <c r="E34" s="92"/>
      <c r="F34" s="92"/>
      <c r="G34" s="92"/>
      <c r="H34" s="92"/>
      <c r="I34" s="92"/>
      <c r="J34" s="92"/>
      <c r="K34" s="92"/>
      <c r="L34" s="95">
        <f>IF(Sheet1!D$195,SUM(D34:K34),NA())</f>
        <v>0</v>
      </c>
      <c r="M34" s="127"/>
    </row>
    <row r="35" spans="1:13" ht="13.2" x14ac:dyDescent="0.25">
      <c r="A35" s="147" t="str">
        <f>IF(Sheet1!D$195,IF((A34&gt;=(Sheet1!D$148+$A$17)-1)," ",A34+1),NA())</f>
        <v xml:space="preserve"> </v>
      </c>
      <c r="B35" s="147" t="str">
        <f>IF(Sheet1!D$195,IF((B34&gt;=(Sheet1!D$148+$B$17)-1)," ",B34+1),NA())</f>
        <v xml:space="preserve"> </v>
      </c>
      <c r="C35" s="146" t="str">
        <f t="shared" si="0"/>
        <v xml:space="preserve"> </v>
      </c>
      <c r="D35" s="92"/>
      <c r="E35" s="92"/>
      <c r="F35" s="92"/>
      <c r="G35" s="92"/>
      <c r="H35" s="92"/>
      <c r="I35" s="92"/>
      <c r="J35" s="92"/>
      <c r="K35" s="92"/>
      <c r="L35" s="95">
        <f>IF(Sheet1!D$195,SUM(D35:K35),NA())</f>
        <v>0</v>
      </c>
      <c r="M35" s="127"/>
    </row>
    <row r="36" spans="1:13" ht="13.2" x14ac:dyDescent="0.25">
      <c r="A36" s="147" t="str">
        <f>IF(Sheet1!D$195,IF((A35&gt;=(Sheet1!D$148+$A$17)-1)," ",A35+1),NA())</f>
        <v xml:space="preserve"> </v>
      </c>
      <c r="B36" s="147" t="str">
        <f>IF(Sheet1!D$195,IF((B35&gt;=(Sheet1!D$148+$B$17)-1)," ",B35+1),NA())</f>
        <v xml:space="preserve"> </v>
      </c>
      <c r="C36" s="146" t="str">
        <f t="shared" si="0"/>
        <v xml:space="preserve"> </v>
      </c>
      <c r="D36" s="92"/>
      <c r="E36" s="92"/>
      <c r="F36" s="92"/>
      <c r="G36" s="92"/>
      <c r="H36" s="92"/>
      <c r="I36" s="92"/>
      <c r="J36" s="92"/>
      <c r="K36" s="92"/>
      <c r="L36" s="95">
        <f>IF(Sheet1!D$195,SUM(D36:K36),NA())</f>
        <v>0</v>
      </c>
      <c r="M36" s="127"/>
    </row>
    <row r="37" spans="1:13" ht="13.2" x14ac:dyDescent="0.25">
      <c r="A37" s="147" t="str">
        <f>IF(Sheet1!D$195,IF((A36&gt;=(Sheet1!D$148+$A$17)-1)," ",A36+1),NA())</f>
        <v xml:space="preserve"> </v>
      </c>
      <c r="B37" s="147" t="str">
        <f>IF(Sheet1!D$195,IF((B36&gt;=(Sheet1!D$148+$B$17)-1)," ",B36+1),NA())</f>
        <v xml:space="preserve"> </v>
      </c>
      <c r="C37" s="146" t="str">
        <f t="shared" si="0"/>
        <v xml:space="preserve"> </v>
      </c>
      <c r="D37" s="92"/>
      <c r="E37" s="92"/>
      <c r="F37" s="92"/>
      <c r="G37" s="92"/>
      <c r="H37" s="92"/>
      <c r="I37" s="92"/>
      <c r="J37" s="92"/>
      <c r="K37" s="92"/>
      <c r="L37" s="95">
        <f>IF(Sheet1!D$195,SUM(D37:K37),NA())</f>
        <v>0</v>
      </c>
      <c r="M37" s="127"/>
    </row>
    <row r="38" spans="1:13" ht="13.2" x14ac:dyDescent="0.25">
      <c r="A38" s="147" t="str">
        <f>IF(Sheet1!D$195,IF((A37&gt;=(Sheet1!D$148+$A$17)-1)," ",A37+1),NA())</f>
        <v xml:space="preserve"> </v>
      </c>
      <c r="B38" s="147" t="str">
        <f>IF(Sheet1!D$195,IF((B37&gt;=(Sheet1!D$148+$B$17)-1)," ",B37+1),NA())</f>
        <v xml:space="preserve"> </v>
      </c>
      <c r="C38" s="146" t="str">
        <f t="shared" si="0"/>
        <v xml:space="preserve"> </v>
      </c>
      <c r="D38" s="92"/>
      <c r="E38" s="92"/>
      <c r="F38" s="92"/>
      <c r="G38" s="92"/>
      <c r="H38" s="92"/>
      <c r="I38" s="92"/>
      <c r="J38" s="92"/>
      <c r="K38" s="92"/>
      <c r="L38" s="95">
        <f>IF(Sheet1!D$195,SUM(D38:K38),NA())</f>
        <v>0</v>
      </c>
      <c r="M38" s="127"/>
    </row>
    <row r="39" spans="1:13" ht="13.2" x14ac:dyDescent="0.25">
      <c r="A39" s="147" t="str">
        <f>IF(Sheet1!D$195,IF((A38&gt;=(Sheet1!D$148+$A$17)-1)," ",A38+1),NA())</f>
        <v xml:space="preserve"> </v>
      </c>
      <c r="B39" s="147" t="str">
        <f>IF(Sheet1!D$195,IF((B38&gt;=(Sheet1!D$148+$B$17)-1)," ",B38+1),NA())</f>
        <v xml:space="preserve"> </v>
      </c>
      <c r="C39" s="146" t="str">
        <f t="shared" si="0"/>
        <v xml:space="preserve"> </v>
      </c>
      <c r="D39" s="92"/>
      <c r="E39" s="92"/>
      <c r="F39" s="92"/>
      <c r="G39" s="92"/>
      <c r="H39" s="92"/>
      <c r="I39" s="92"/>
      <c r="J39" s="92"/>
      <c r="K39" s="92"/>
      <c r="L39" s="95">
        <f>IF(Sheet1!D$195,SUM(D39:K39),NA())</f>
        <v>0</v>
      </c>
      <c r="M39" s="127"/>
    </row>
    <row r="40" spans="1:13" ht="13.2" x14ac:dyDescent="0.25">
      <c r="A40" s="147" t="str">
        <f>IF(Sheet1!D$195,IF((A39&gt;=(Sheet1!D$148+$A$17)-1)," ",A39+1),NA())</f>
        <v xml:space="preserve"> </v>
      </c>
      <c r="B40" s="147" t="str">
        <f>IF(Sheet1!D$195,IF((B39&gt;=(Sheet1!D$148+$B$17)-1)," ",B39+1),NA())</f>
        <v xml:space="preserve"> </v>
      </c>
      <c r="C40" s="146" t="str">
        <f t="shared" si="0"/>
        <v xml:space="preserve"> </v>
      </c>
      <c r="D40" s="92"/>
      <c r="E40" s="92"/>
      <c r="F40" s="92"/>
      <c r="G40" s="92"/>
      <c r="H40" s="92"/>
      <c r="I40" s="92"/>
      <c r="J40" s="92"/>
      <c r="K40" s="92"/>
      <c r="L40" s="95">
        <f>IF(Sheet1!D$195,SUM(D40:K40),NA())</f>
        <v>0</v>
      </c>
      <c r="M40" s="127"/>
    </row>
    <row r="41" spans="1:13" ht="13.2" x14ac:dyDescent="0.25">
      <c r="A41" s="147" t="str">
        <f>IF(Sheet1!D$195,IF((A40&gt;=(Sheet1!D$148+$A$17)-1)," ",A40+1),NA())</f>
        <v xml:space="preserve"> </v>
      </c>
      <c r="B41" s="147" t="str">
        <f>IF(Sheet1!D$195,IF((B40&gt;=(Sheet1!D$148+$B$17)-1)," ",B40+1),NA())</f>
        <v xml:space="preserve"> </v>
      </c>
      <c r="C41" s="146" t="str">
        <f t="shared" si="0"/>
        <v xml:space="preserve"> </v>
      </c>
      <c r="D41" s="92"/>
      <c r="E41" s="92"/>
      <c r="F41" s="92"/>
      <c r="G41" s="92"/>
      <c r="H41" s="92"/>
      <c r="I41" s="92"/>
      <c r="J41" s="92"/>
      <c r="K41" s="92"/>
      <c r="L41" s="95">
        <f>IF(Sheet1!D$195,SUM(D41:K41),NA())</f>
        <v>0</v>
      </c>
      <c r="M41" s="127"/>
    </row>
    <row r="42" spans="1:13" ht="13.2" x14ac:dyDescent="0.25">
      <c r="A42" s="147" t="str">
        <f>IF(Sheet1!D$195,IF((A41&gt;=(Sheet1!D$148+$A$17)-1)," ",A41+1),NA())</f>
        <v xml:space="preserve"> </v>
      </c>
      <c r="B42" s="147" t="str">
        <f>IF(Sheet1!D$195,IF((B41&gt;=(Sheet1!D$148+$B$17)-1)," ",B41+1),NA())</f>
        <v xml:space="preserve"> </v>
      </c>
      <c r="C42" s="146" t="str">
        <f t="shared" si="0"/>
        <v xml:space="preserve"> </v>
      </c>
      <c r="D42" s="92"/>
      <c r="E42" s="92"/>
      <c r="F42" s="92"/>
      <c r="G42" s="92"/>
      <c r="H42" s="92"/>
      <c r="I42" s="92"/>
      <c r="J42" s="92"/>
      <c r="K42" s="92"/>
      <c r="L42" s="95">
        <f>IF(Sheet1!D$195,SUM(D42:K42),NA())</f>
        <v>0</v>
      </c>
      <c r="M42" s="127"/>
    </row>
    <row r="43" spans="1:13" ht="13.2" x14ac:dyDescent="0.25">
      <c r="A43" s="147" t="str">
        <f>IF(Sheet1!D$195,IF((A42&gt;=(Sheet1!D$148+$A$17)-1)," ",A42+1),NA())</f>
        <v xml:space="preserve"> </v>
      </c>
      <c r="B43" s="147" t="str">
        <f>IF(Sheet1!D$195,IF((B42&gt;=(Sheet1!D$148+$B$17)-1)," ",B42+1),NA())</f>
        <v xml:space="preserve"> </v>
      </c>
      <c r="C43" s="146" t="str">
        <f t="shared" si="0"/>
        <v xml:space="preserve"> </v>
      </c>
      <c r="D43" s="92"/>
      <c r="E43" s="92"/>
      <c r="F43" s="92"/>
      <c r="G43" s="92"/>
      <c r="H43" s="92"/>
      <c r="I43" s="92"/>
      <c r="J43" s="92"/>
      <c r="K43" s="92"/>
      <c r="L43" s="95">
        <f>IF(Sheet1!D$195,SUM(D43:K43),NA())</f>
        <v>0</v>
      </c>
      <c r="M43" s="127"/>
    </row>
    <row r="44" spans="1:13" ht="13.2" x14ac:dyDescent="0.25">
      <c r="A44" s="147" t="str">
        <f>IF(Sheet1!D$195,IF((A43&gt;=(Sheet1!D$148+$A$17)-1)," ",A43+1),NA())</f>
        <v xml:space="preserve"> </v>
      </c>
      <c r="B44" s="147" t="str">
        <f>IF(Sheet1!D$195,IF((B43&gt;=(Sheet1!D$148+$B$17)-1)," ",B43+1),NA())</f>
        <v xml:space="preserve"> </v>
      </c>
      <c r="C44" s="146" t="str">
        <f t="shared" si="0"/>
        <v xml:space="preserve"> </v>
      </c>
      <c r="D44" s="92"/>
      <c r="E44" s="92"/>
      <c r="F44" s="92"/>
      <c r="G44" s="92"/>
      <c r="H44" s="92"/>
      <c r="I44" s="92"/>
      <c r="J44" s="92"/>
      <c r="K44" s="92"/>
      <c r="L44" s="95">
        <f>IF(Sheet1!D$195,SUM(D44:K44),NA())</f>
        <v>0</v>
      </c>
      <c r="M44" s="127"/>
    </row>
    <row r="45" spans="1:13" ht="13.2" x14ac:dyDescent="0.25">
      <c r="A45" s="147" t="str">
        <f>IF(Sheet1!D$195,IF((A44&gt;=(Sheet1!D$148+$A$17)-1)," ",A44+1),NA())</f>
        <v xml:space="preserve"> </v>
      </c>
      <c r="B45" s="147" t="str">
        <f>IF(Sheet1!D$195,IF((B44&gt;=(Sheet1!D$148+$B$17)-1)," ",B44+1),NA())</f>
        <v xml:space="preserve"> </v>
      </c>
      <c r="C45" s="146" t="str">
        <f t="shared" si="0"/>
        <v xml:space="preserve"> </v>
      </c>
      <c r="D45" s="92"/>
      <c r="E45" s="92"/>
      <c r="F45" s="92"/>
      <c r="G45" s="92"/>
      <c r="H45" s="92"/>
      <c r="I45" s="92"/>
      <c r="J45" s="92"/>
      <c r="K45" s="92"/>
      <c r="L45" s="95">
        <f>IF(Sheet1!D$195,SUM(D45:K45),NA())</f>
        <v>0</v>
      </c>
      <c r="M45" s="127"/>
    </row>
    <row r="46" spans="1:13" ht="13.2" x14ac:dyDescent="0.25">
      <c r="A46" s="147" t="str">
        <f>IF(Sheet1!D$195,IF((A45&gt;=(Sheet1!D$148+$A$17)-1)," ",A45+1),NA())</f>
        <v xml:space="preserve"> </v>
      </c>
      <c r="B46" s="147" t="str">
        <f>IF(Sheet1!D$195,IF((B45&gt;=(Sheet1!D$148+$B$17)-1)," ",B45+1),NA())</f>
        <v xml:space="preserve"> </v>
      </c>
      <c r="C46" s="146" t="str">
        <f t="shared" si="0"/>
        <v xml:space="preserve"> </v>
      </c>
      <c r="D46" s="92"/>
      <c r="E46" s="92"/>
      <c r="F46" s="92"/>
      <c r="G46" s="92"/>
      <c r="H46" s="92"/>
      <c r="I46" s="92"/>
      <c r="J46" s="92"/>
      <c r="K46" s="92"/>
      <c r="L46" s="95">
        <f>IF(Sheet1!D$195,SUM(D46:K46),NA())</f>
        <v>0</v>
      </c>
      <c r="M46" s="127"/>
    </row>
    <row r="47" spans="1:13" ht="13.2" x14ac:dyDescent="0.25">
      <c r="A47" s="147" t="str">
        <f>IF(Sheet1!D$195,IF((A46&gt;=(Sheet1!D$148+$A$17)-1)," ",A46+1),NA())</f>
        <v xml:space="preserve"> </v>
      </c>
      <c r="B47" s="147" t="str">
        <f>IF(Sheet1!D$195,IF((B46&gt;=(Sheet1!D$148+$B$17)-1)," ",B46+1),NA())</f>
        <v xml:space="preserve"> </v>
      </c>
      <c r="C47" s="146" t="str">
        <f t="shared" si="0"/>
        <v xml:space="preserve"> </v>
      </c>
      <c r="D47" s="92"/>
      <c r="E47" s="92"/>
      <c r="F47" s="92"/>
      <c r="G47" s="92"/>
      <c r="H47" s="92"/>
      <c r="I47" s="92"/>
      <c r="J47" s="92"/>
      <c r="K47" s="92"/>
      <c r="L47" s="95">
        <f>IF(Sheet1!D$195,SUM(D47:K47),NA())</f>
        <v>0</v>
      </c>
      <c r="M47" s="127"/>
    </row>
    <row r="48" spans="1:13" ht="13.2" x14ac:dyDescent="0.25">
      <c r="A48" s="147" t="str">
        <f>IF(Sheet1!D$195,IF((A47&gt;=(Sheet1!D$148+$A$17)-1)," ",A47+1),NA())</f>
        <v xml:space="preserve"> </v>
      </c>
      <c r="B48" s="147" t="str">
        <f>IF(Sheet1!D$195,IF((B47&gt;=(Sheet1!D$148+$B$17)-1)," ",B47+1),NA())</f>
        <v xml:space="preserve"> </v>
      </c>
      <c r="C48" s="146" t="str">
        <f t="shared" si="0"/>
        <v xml:space="preserve"> </v>
      </c>
      <c r="D48" s="92"/>
      <c r="E48" s="92"/>
      <c r="F48" s="92"/>
      <c r="G48" s="92"/>
      <c r="H48" s="92"/>
      <c r="I48" s="92"/>
      <c r="J48" s="92"/>
      <c r="K48" s="92"/>
      <c r="L48" s="95">
        <f>IF(Sheet1!D$195,SUM(D48:K48),NA())</f>
        <v>0</v>
      </c>
      <c r="M48" s="127"/>
    </row>
    <row r="49" spans="1:13" ht="13.2" x14ac:dyDescent="0.25">
      <c r="A49" s="147" t="str">
        <f>IF(Sheet1!D$195,IF((A48&gt;=(Sheet1!D$148+$A$17)-1)," ",A48+1),NA())</f>
        <v xml:space="preserve"> </v>
      </c>
      <c r="B49" s="147" t="str">
        <f>IF(Sheet1!D$195,IF((B48&gt;=(Sheet1!D$148+$B$17)-1)," ",B48+1),NA())</f>
        <v xml:space="preserve"> </v>
      </c>
      <c r="C49" s="146" t="str">
        <f t="shared" si="0"/>
        <v xml:space="preserve"> </v>
      </c>
      <c r="D49" s="92"/>
      <c r="E49" s="92"/>
      <c r="F49" s="92"/>
      <c r="G49" s="92"/>
      <c r="H49" s="92"/>
      <c r="I49" s="92"/>
      <c r="J49" s="92"/>
      <c r="K49" s="92"/>
      <c r="L49" s="95">
        <f>IF(Sheet1!D$195,SUM(D49:K49),NA())</f>
        <v>0</v>
      </c>
      <c r="M49" s="127"/>
    </row>
    <row r="50" spans="1:13" ht="13.2" x14ac:dyDescent="0.25">
      <c r="A50" s="147" t="str">
        <f>IF(Sheet1!D$195,IF((A49&gt;=(Sheet1!D$148+$A$17)-1)," ",A49+1),NA())</f>
        <v xml:space="preserve"> </v>
      </c>
      <c r="B50" s="147" t="str">
        <f>IF(Sheet1!D$195,IF((B49&gt;=(Sheet1!D$148+$B$17)-1)," ",B49+1),NA())</f>
        <v xml:space="preserve"> </v>
      </c>
      <c r="C50" s="146" t="str">
        <f t="shared" si="0"/>
        <v xml:space="preserve"> </v>
      </c>
      <c r="D50" s="92"/>
      <c r="E50" s="92"/>
      <c r="F50" s="92"/>
      <c r="G50" s="92"/>
      <c r="H50" s="92"/>
      <c r="I50" s="92"/>
      <c r="J50" s="92"/>
      <c r="K50" s="92"/>
      <c r="L50" s="95">
        <f>IF(Sheet1!D$195,SUM(D50:K50),NA())</f>
        <v>0</v>
      </c>
      <c r="M50" s="127"/>
    </row>
    <row r="51" spans="1:13" ht="13.2" x14ac:dyDescent="0.25">
      <c r="A51" s="147" t="str">
        <f>IF(Sheet1!D$195,IF((A50&gt;=(Sheet1!D$148+$A$17)-1)," ",A50+1),NA())</f>
        <v xml:space="preserve"> </v>
      </c>
      <c r="B51" s="147" t="str">
        <f>IF(Sheet1!D$195,IF((B50&gt;=(Sheet1!D$148+$B$17)-1)," ",B50+1),NA())</f>
        <v xml:space="preserve"> </v>
      </c>
      <c r="C51" s="146" t="str">
        <f t="shared" si="0"/>
        <v xml:space="preserve"> </v>
      </c>
      <c r="D51" s="92"/>
      <c r="E51" s="92"/>
      <c r="F51" s="92"/>
      <c r="G51" s="92"/>
      <c r="H51" s="92"/>
      <c r="I51" s="92"/>
      <c r="J51" s="92"/>
      <c r="K51" s="92"/>
      <c r="L51" s="95">
        <f>IF(Sheet1!D$195,SUM(D51:K51),NA())</f>
        <v>0</v>
      </c>
      <c r="M51" s="127"/>
    </row>
    <row r="52" spans="1:13" ht="13.2" x14ac:dyDescent="0.25">
      <c r="A52" s="147" t="str">
        <f>IF(Sheet1!D$195,IF((A51&gt;=(Sheet1!D$148+$A$17)-1)," ",A51+1),NA())</f>
        <v xml:space="preserve"> </v>
      </c>
      <c r="B52" s="147" t="str">
        <f>IF(Sheet1!D$195,IF((B51&gt;=(Sheet1!D$148+$B$17)-1)," ",B51+1),NA())</f>
        <v xml:space="preserve"> </v>
      </c>
      <c r="C52" s="146" t="str">
        <f t="shared" si="0"/>
        <v xml:space="preserve"> </v>
      </c>
      <c r="D52" s="92"/>
      <c r="E52" s="92"/>
      <c r="F52" s="92"/>
      <c r="G52" s="92"/>
      <c r="H52" s="92"/>
      <c r="I52" s="92"/>
      <c r="J52" s="92"/>
      <c r="K52" s="92"/>
      <c r="L52" s="95">
        <f>IF(Sheet1!D$195,SUM(D52:K52),NA())</f>
        <v>0</v>
      </c>
      <c r="M52" s="127"/>
    </row>
    <row r="53" spans="1:13" ht="13.2" x14ac:dyDescent="0.25">
      <c r="A53" s="147" t="str">
        <f>IF(Sheet1!D$195,IF((A52&gt;=(Sheet1!D$148+$A$17)-1)," ",A52+1),NA())</f>
        <v xml:space="preserve"> </v>
      </c>
      <c r="B53" s="147" t="str">
        <f>IF(Sheet1!D$195,IF((B52&gt;=(Sheet1!D$148+$B$17)-1)," ",B52+1),NA())</f>
        <v xml:space="preserve"> </v>
      </c>
      <c r="C53" s="146" t="str">
        <f t="shared" si="0"/>
        <v xml:space="preserve"> </v>
      </c>
      <c r="D53" s="92"/>
      <c r="E53" s="92"/>
      <c r="F53" s="92"/>
      <c r="G53" s="92"/>
      <c r="H53" s="92"/>
      <c r="I53" s="92"/>
      <c r="J53" s="92"/>
      <c r="K53" s="92"/>
      <c r="L53" s="95">
        <f>IF(Sheet1!D$195,SUM(D53:K53),NA())</f>
        <v>0</v>
      </c>
      <c r="M53" s="127"/>
    </row>
    <row r="54" spans="1:13" ht="13.2" x14ac:dyDescent="0.25">
      <c r="A54" s="147" t="str">
        <f>IF(Sheet1!D$195,IF((A53&gt;=(Sheet1!D$148+$A$17)-1)," ",A53+1),NA())</f>
        <v xml:space="preserve"> </v>
      </c>
      <c r="B54" s="147" t="str">
        <f>IF(Sheet1!D$195,IF((B53&gt;=(Sheet1!D$148+$B$17)-1)," ",B53+1),NA())</f>
        <v xml:space="preserve"> </v>
      </c>
      <c r="C54" s="146" t="str">
        <f t="shared" si="0"/>
        <v xml:space="preserve"> </v>
      </c>
      <c r="D54" s="92"/>
      <c r="E54" s="92"/>
      <c r="F54" s="92"/>
      <c r="G54" s="92"/>
      <c r="H54" s="92"/>
      <c r="I54" s="92"/>
      <c r="J54" s="92"/>
      <c r="K54" s="92"/>
      <c r="L54" s="95">
        <f>IF(Sheet1!D$195,SUM(D54:K54),NA())</f>
        <v>0</v>
      </c>
      <c r="M54" s="127"/>
    </row>
    <row r="55" spans="1:13" ht="13.2" x14ac:dyDescent="0.25">
      <c r="A55" s="147" t="str">
        <f>IF(Sheet1!D$195,IF((A54&gt;=(Sheet1!D$148+$A$17)-1)," ",A54+1),NA())</f>
        <v xml:space="preserve"> </v>
      </c>
      <c r="B55" s="147" t="str">
        <f>IF(Sheet1!D$195,IF((B54&gt;=(Sheet1!D$148+$B$17)-1)," ",B54+1),NA())</f>
        <v xml:space="preserve"> </v>
      </c>
      <c r="C55" s="146" t="str">
        <f t="shared" si="0"/>
        <v xml:space="preserve"> </v>
      </c>
      <c r="D55" s="92"/>
      <c r="E55" s="92"/>
      <c r="F55" s="92"/>
      <c r="G55" s="92"/>
      <c r="H55" s="92"/>
      <c r="I55" s="92"/>
      <c r="J55" s="92"/>
      <c r="K55" s="92"/>
      <c r="L55" s="95">
        <f>IF(Sheet1!D$195,SUM(D55:K55),NA())</f>
        <v>0</v>
      </c>
      <c r="M55" s="127"/>
    </row>
    <row r="56" spans="1:13" ht="13.2" x14ac:dyDescent="0.25">
      <c r="A56" s="147" t="str">
        <f>IF(Sheet1!D$195,IF((A55&gt;=(Sheet1!D$148+$A$17)-1)," ",A55+1),NA())</f>
        <v xml:space="preserve"> </v>
      </c>
      <c r="B56" s="147" t="str">
        <f>IF(Sheet1!D$195,IF((B55&gt;=(Sheet1!D$148+$B$17)-1)," ",B55+1),NA())</f>
        <v xml:space="preserve"> </v>
      </c>
      <c r="C56" s="146" t="str">
        <f t="shared" si="0"/>
        <v xml:space="preserve"> </v>
      </c>
      <c r="D56" s="92"/>
      <c r="E56" s="92"/>
      <c r="F56" s="92"/>
      <c r="G56" s="92"/>
      <c r="H56" s="92"/>
      <c r="I56" s="92"/>
      <c r="J56" s="92"/>
      <c r="K56" s="92"/>
      <c r="L56" s="95">
        <f>IF(Sheet1!D$195,SUM(D56:K56),NA())</f>
        <v>0</v>
      </c>
      <c r="M56" s="127"/>
    </row>
    <row r="57" spans="1:13" ht="13.2" x14ac:dyDescent="0.25">
      <c r="A57" s="147" t="str">
        <f>IF(Sheet1!D$195,IF((A56&gt;=(Sheet1!D$148+$A$17)-1)," ",A56+1),NA())</f>
        <v xml:space="preserve"> </v>
      </c>
      <c r="B57" s="147" t="str">
        <f>IF(Sheet1!D$195,IF((B56&gt;=(Sheet1!D$148+$B$17)-1)," ",B56+1),NA())</f>
        <v xml:space="preserve"> </v>
      </c>
      <c r="C57" s="146" t="str">
        <f t="shared" si="0"/>
        <v xml:space="preserve"> </v>
      </c>
      <c r="D57" s="92"/>
      <c r="E57" s="92"/>
      <c r="F57" s="92"/>
      <c r="G57" s="92"/>
      <c r="H57" s="92"/>
      <c r="I57" s="92"/>
      <c r="J57" s="92"/>
      <c r="K57" s="92"/>
      <c r="L57" s="95">
        <f>IF(Sheet1!D$195,SUM(D57:K57),NA())</f>
        <v>0</v>
      </c>
      <c r="M57" s="127"/>
    </row>
    <row r="58" spans="1:13" ht="13.2" x14ac:dyDescent="0.25">
      <c r="A58" s="147" t="str">
        <f>IF(Sheet1!D$195,IF((A57&gt;=(Sheet1!D$148+$A$17)-1)," ",A57+1),NA())</f>
        <v xml:space="preserve"> </v>
      </c>
      <c r="B58" s="147" t="str">
        <f>IF(Sheet1!D$195,IF((B57&gt;=(Sheet1!D$148+$B$17)-1)," ",B57+1),NA())</f>
        <v xml:space="preserve"> </v>
      </c>
      <c r="C58" s="146" t="str">
        <f t="shared" si="0"/>
        <v xml:space="preserve"> </v>
      </c>
      <c r="D58" s="92"/>
      <c r="E58" s="92"/>
      <c r="F58" s="92"/>
      <c r="G58" s="92"/>
      <c r="H58" s="92"/>
      <c r="I58" s="92"/>
      <c r="J58" s="92"/>
      <c r="K58" s="92"/>
      <c r="L58" s="95">
        <f>IF(Sheet1!D$195,SUM(D58:K58),NA())</f>
        <v>0</v>
      </c>
      <c r="M58" s="127"/>
    </row>
    <row r="59" spans="1:13" ht="13.2" x14ac:dyDescent="0.25">
      <c r="A59" s="147" t="str">
        <f>IF(Sheet1!D$195,IF((A58&gt;=(Sheet1!D$148+$A$17)-1)," ",A58+1),NA())</f>
        <v xml:space="preserve"> </v>
      </c>
      <c r="B59" s="147" t="str">
        <f>IF(Sheet1!D$195,IF((B58&gt;=(Sheet1!D$148+$B$17)-1)," ",B58+1),NA())</f>
        <v xml:space="preserve"> </v>
      </c>
      <c r="C59" s="146" t="str">
        <f t="shared" si="0"/>
        <v xml:space="preserve"> </v>
      </c>
      <c r="D59" s="92"/>
      <c r="E59" s="92"/>
      <c r="F59" s="92"/>
      <c r="G59" s="92"/>
      <c r="H59" s="92"/>
      <c r="I59" s="92"/>
      <c r="J59" s="92"/>
      <c r="K59" s="92"/>
      <c r="L59" s="95">
        <f>IF(Sheet1!D$195,SUM(D59:K59),NA())</f>
        <v>0</v>
      </c>
      <c r="M59" s="127"/>
    </row>
    <row r="60" spans="1:13" ht="13.2" x14ac:dyDescent="0.25">
      <c r="A60" s="147" t="str">
        <f>IF(Sheet1!D$195,IF((A59&gt;=(Sheet1!D$148+$A$17)-1)," ",A59+1),NA())</f>
        <v xml:space="preserve"> </v>
      </c>
      <c r="B60" s="147" t="str">
        <f>IF(Sheet1!D$195,IF((B59&gt;=(Sheet1!D$148+$B$17)-1)," ",B59+1),NA())</f>
        <v xml:space="preserve"> </v>
      </c>
      <c r="C60" s="146" t="str">
        <f t="shared" si="0"/>
        <v xml:space="preserve"> </v>
      </c>
      <c r="D60" s="92"/>
      <c r="E60" s="92"/>
      <c r="F60" s="92"/>
      <c r="G60" s="92"/>
      <c r="H60" s="92"/>
      <c r="I60" s="92"/>
      <c r="J60" s="92"/>
      <c r="K60" s="92"/>
      <c r="L60" s="95">
        <f>IF(Sheet1!D$195,SUM(D60:K60),NA())</f>
        <v>0</v>
      </c>
      <c r="M60" s="127"/>
    </row>
    <row r="61" spans="1:13" ht="13.2" x14ac:dyDescent="0.25">
      <c r="A61" s="147" t="str">
        <f>IF(Sheet1!D$195,IF((A60&gt;=(Sheet1!D$148+$A$17)-1)," ",A60+1),NA())</f>
        <v xml:space="preserve"> </v>
      </c>
      <c r="B61" s="147" t="str">
        <f>IF(Sheet1!D$195,IF((B60&gt;=(Sheet1!D$148+$B$17)-1)," ",B60+1),NA())</f>
        <v xml:space="preserve"> </v>
      </c>
      <c r="C61" s="146" t="str">
        <f t="shared" si="0"/>
        <v xml:space="preserve"> </v>
      </c>
      <c r="D61" s="92"/>
      <c r="E61" s="92"/>
      <c r="F61" s="92"/>
      <c r="G61" s="92"/>
      <c r="H61" s="92"/>
      <c r="I61" s="92"/>
      <c r="J61" s="92"/>
      <c r="K61" s="92"/>
      <c r="L61" s="95">
        <f>IF(Sheet1!D$195,SUM(D61:K61),NA())</f>
        <v>0</v>
      </c>
      <c r="M61" s="127"/>
    </row>
    <row r="62" spans="1:13" ht="13.2" x14ac:dyDescent="0.25">
      <c r="A62" s="147" t="str">
        <f>IF(Sheet1!D$195,IF((A61&gt;=(Sheet1!D$148+$A$17)-1)," ",A61+1),NA())</f>
        <v xml:space="preserve"> </v>
      </c>
      <c r="B62" s="147" t="str">
        <f>IF(Sheet1!D$195,IF((B61&gt;=(Sheet1!D$148+$B$17)-1)," ",B61+1),NA())</f>
        <v xml:space="preserve"> </v>
      </c>
      <c r="C62" s="146" t="str">
        <f t="shared" si="0"/>
        <v xml:space="preserve"> </v>
      </c>
      <c r="D62" s="92"/>
      <c r="E62" s="92"/>
      <c r="F62" s="92"/>
      <c r="G62" s="92"/>
      <c r="H62" s="92"/>
      <c r="I62" s="92"/>
      <c r="J62" s="92"/>
      <c r="K62" s="92"/>
      <c r="L62" s="95">
        <f>IF(Sheet1!D$195,SUM(D62:K62),NA())</f>
        <v>0</v>
      </c>
      <c r="M62" s="127"/>
    </row>
    <row r="63" spans="1:13" ht="13.8" thickBot="1" x14ac:dyDescent="0.3">
      <c r="A63" s="147" t="str">
        <f>IF(Sheet1!D$195,IF((A62&gt;=(Sheet1!D$148+$A$17)-1)," ",A62+1),NA())</f>
        <v xml:space="preserve"> </v>
      </c>
      <c r="B63" s="147" t="str">
        <f>IF(Sheet1!D$195,IF((B62&gt;=(Sheet1!D$148+$B$17)-1)," ",B62+1),NA())</f>
        <v xml:space="preserve"> </v>
      </c>
      <c r="C63" s="146" t="str">
        <f t="shared" si="0"/>
        <v xml:space="preserve"> </v>
      </c>
      <c r="D63" s="92"/>
      <c r="E63" s="92"/>
      <c r="F63" s="92"/>
      <c r="G63" s="92"/>
      <c r="H63" s="92"/>
      <c r="I63" s="92"/>
      <c r="J63" s="92"/>
      <c r="K63" s="92"/>
      <c r="L63" s="95">
        <f>IF(Sheet1!D$195,SUM(D63:K63),NA())</f>
        <v>0</v>
      </c>
      <c r="M63" s="127"/>
    </row>
    <row r="64" spans="1:13" ht="13.8" hidden="1" thickBot="1" x14ac:dyDescent="0.3">
      <c r="A64" s="147" t="str">
        <f>IF(Sheet1!D$195,IF((A63&gt;=(Sheet1!D$148+$A$17)-1)," ",A63+1),NA())</f>
        <v xml:space="preserve"> </v>
      </c>
      <c r="B64" s="147" t="str">
        <f>IF(Sheet1!D$195,IF((B63&gt;=(Sheet1!D$148+$B$17)-1)," ",B63+1),NA())</f>
        <v xml:space="preserve"> </v>
      </c>
      <c r="C64" s="146" t="str">
        <f t="shared" si="0"/>
        <v xml:space="preserve"> </v>
      </c>
      <c r="D64" s="92"/>
      <c r="E64" s="92"/>
      <c r="F64" s="92"/>
      <c r="G64" s="92"/>
      <c r="H64" s="92"/>
      <c r="I64" s="92"/>
      <c r="J64" s="92"/>
      <c r="K64" s="92"/>
      <c r="L64" s="95">
        <f>IF(Sheet1!D$195,SUM(D64:K64),NA())</f>
        <v>0</v>
      </c>
      <c r="M64" s="127"/>
    </row>
    <row r="65" spans="1:13" ht="13.8" hidden="1" thickBot="1" x14ac:dyDescent="0.3">
      <c r="A65" s="147" t="str">
        <f>IF(Sheet1!D$195,IF((A64&gt;=(Sheet1!D$148+$A$17)-1)," ",A64+1),NA())</f>
        <v xml:space="preserve"> </v>
      </c>
      <c r="B65" s="147" t="str">
        <f>IF(Sheet1!D$195,IF((B64&gt;=(Sheet1!D$148+$B$17)-1)," ",B64+1),NA())</f>
        <v xml:space="preserve"> </v>
      </c>
      <c r="C65" s="146" t="str">
        <f t="shared" si="0"/>
        <v xml:space="preserve"> </v>
      </c>
      <c r="D65" s="92"/>
      <c r="E65" s="92"/>
      <c r="F65" s="92"/>
      <c r="G65" s="92"/>
      <c r="H65" s="92"/>
      <c r="I65" s="92"/>
      <c r="J65" s="92"/>
      <c r="K65" s="92"/>
      <c r="L65" s="95">
        <f>IF(Sheet1!D$195,SUM(D65:K65),NA())</f>
        <v>0</v>
      </c>
      <c r="M65" s="127"/>
    </row>
    <row r="66" spans="1:13" ht="13.8" hidden="1" thickBot="1" x14ac:dyDescent="0.3">
      <c r="A66" s="147" t="str">
        <f>IF(Sheet1!D$195,IF((A65&gt;=(Sheet1!D$148+$A$17)-1)," ",A65+1),NA())</f>
        <v xml:space="preserve"> </v>
      </c>
      <c r="B66" s="147" t="str">
        <f>IF(Sheet1!D$195,IF((B65&gt;=(Sheet1!D$148+$B$17)-1)," ",B65+1),NA())</f>
        <v xml:space="preserve"> </v>
      </c>
      <c r="C66" s="146" t="str">
        <f t="shared" si="0"/>
        <v xml:space="preserve"> </v>
      </c>
      <c r="D66" s="92"/>
      <c r="E66" s="92"/>
      <c r="F66" s="92"/>
      <c r="G66" s="92"/>
      <c r="H66" s="92"/>
      <c r="I66" s="92"/>
      <c r="J66" s="92"/>
      <c r="K66" s="92"/>
      <c r="L66" s="95">
        <f>IF(Sheet1!D$195,SUM(D66:K66),NA())</f>
        <v>0</v>
      </c>
      <c r="M66" s="127"/>
    </row>
    <row r="67" spans="1:13" ht="13.8" thickTop="1" x14ac:dyDescent="0.25">
      <c r="A67" s="146" t="s">
        <v>267</v>
      </c>
      <c r="B67" s="150"/>
      <c r="C67" s="150"/>
      <c r="D67" s="97">
        <f>IF(Sheet1!D$195,SUM(D17:D66),NA())</f>
        <v>0</v>
      </c>
      <c r="E67" s="97">
        <f>IF(Sheet1!D$195,SUM(E17:E66),NA())</f>
        <v>0</v>
      </c>
      <c r="F67" s="97">
        <f>IF(Sheet1!D$195,SUM(F17:F66),NA())</f>
        <v>0</v>
      </c>
      <c r="G67" s="97">
        <f>IF(Sheet1!D$195,SUM(G17:G66),NA())</f>
        <v>0</v>
      </c>
      <c r="H67" s="97">
        <f>IF(Sheet1!D$195,SUM(H17:H66),NA())</f>
        <v>0</v>
      </c>
      <c r="I67" s="97">
        <f>IF(Sheet1!D$195,SUM(I17:I66),NA())</f>
        <v>0</v>
      </c>
      <c r="J67" s="97">
        <f>IF(Sheet1!D$195,SUM(J17:J66),NA())</f>
        <v>0</v>
      </c>
      <c r="K67" s="97">
        <f>IF(Sheet1!D$195,SUM(K17:K66),NA())</f>
        <v>0</v>
      </c>
      <c r="L67" s="95">
        <f>IF(Sheet1!D$195,SUM(L17:L66),NA())</f>
        <v>0</v>
      </c>
      <c r="M67" s="127"/>
    </row>
    <row r="68" spans="1:13" ht="13.2" x14ac:dyDescent="0.25">
      <c r="A68" s="146" t="s">
        <v>266</v>
      </c>
      <c r="B68" s="150"/>
      <c r="C68" s="150"/>
      <c r="D68" s="99" t="str">
        <f t="shared" ref="D68:K68" si="1">IF($L$67=0,"",D67/$L$67)</f>
        <v/>
      </c>
      <c r="E68" s="99" t="str">
        <f t="shared" si="1"/>
        <v/>
      </c>
      <c r="F68" s="99" t="str">
        <f t="shared" si="1"/>
        <v/>
      </c>
      <c r="G68" s="99" t="str">
        <f t="shared" si="1"/>
        <v/>
      </c>
      <c r="H68" s="99" t="str">
        <f t="shared" si="1"/>
        <v/>
      </c>
      <c r="I68" s="99" t="str">
        <f t="shared" si="1"/>
        <v/>
      </c>
      <c r="J68" s="99" t="str">
        <f t="shared" si="1"/>
        <v/>
      </c>
      <c r="K68" s="99" t="str">
        <f t="shared" si="1"/>
        <v/>
      </c>
      <c r="L68" s="127"/>
      <c r="M68" s="127"/>
    </row>
    <row r="69" spans="1:13" ht="13.2" x14ac:dyDescent="0.25">
      <c r="A69" s="152"/>
      <c r="B69" s="139"/>
      <c r="C69" s="139"/>
      <c r="D69" s="138"/>
      <c r="E69" s="138"/>
      <c r="F69" s="138"/>
      <c r="G69" s="138"/>
      <c r="H69" s="138"/>
      <c r="I69" s="138"/>
      <c r="J69" s="138"/>
      <c r="K69" s="138"/>
      <c r="L69" s="138"/>
      <c r="M69" s="138"/>
    </row>
    <row r="70" spans="1:13" ht="13.2" hidden="1" x14ac:dyDescent="0.25">
      <c r="A70" s="152"/>
      <c r="B70" s="139"/>
      <c r="C70" s="139"/>
      <c r="D70" s="138"/>
      <c r="E70" s="138"/>
      <c r="F70" s="138"/>
      <c r="G70" s="138"/>
      <c r="H70" s="138"/>
      <c r="I70" s="138"/>
      <c r="J70" s="138"/>
      <c r="K70" s="138"/>
      <c r="L70" s="138"/>
      <c r="M70" s="138"/>
    </row>
    <row r="71" spans="1:13" ht="13.2" hidden="1" x14ac:dyDescent="0.25">
      <c r="A71" s="144" t="s">
        <v>263</v>
      </c>
      <c r="B71" s="142"/>
      <c r="C71" s="142"/>
      <c r="D71" s="80"/>
      <c r="E71" s="80"/>
      <c r="F71" s="80"/>
      <c r="G71" s="80"/>
      <c r="H71" s="80"/>
      <c r="I71" s="80"/>
      <c r="J71" s="80"/>
      <c r="K71" s="80"/>
      <c r="M71" s="138"/>
    </row>
    <row r="72" spans="1:13" ht="14.25" hidden="1" customHeight="1" x14ac:dyDescent="0.25">
      <c r="A72" s="144" t="s">
        <v>265</v>
      </c>
      <c r="B72" s="142"/>
      <c r="C72" s="142"/>
      <c r="D72" s="80"/>
      <c r="E72" s="80"/>
      <c r="F72" s="80"/>
      <c r="G72" s="80"/>
      <c r="H72" s="80"/>
      <c r="I72" s="80"/>
      <c r="J72" s="80"/>
      <c r="K72" s="80"/>
      <c r="M72" s="138"/>
    </row>
    <row r="73" spans="1:13" ht="3" hidden="1" customHeight="1" x14ac:dyDescent="0.25">
      <c r="A73" s="151"/>
      <c r="B73" s="139"/>
      <c r="C73" s="139"/>
      <c r="D73" s="80"/>
      <c r="E73" s="80"/>
      <c r="F73" s="80"/>
      <c r="G73" s="80"/>
      <c r="H73" s="80"/>
      <c r="I73" s="80"/>
      <c r="J73" s="80"/>
      <c r="K73" s="80"/>
      <c r="M73" s="138"/>
    </row>
    <row r="74" spans="1:13" ht="3" hidden="1" customHeight="1" thickBot="1" x14ac:dyDescent="0.3">
      <c r="A74" s="151"/>
      <c r="B74" s="139"/>
      <c r="C74" s="139"/>
      <c r="D74" s="80"/>
      <c r="E74" s="80"/>
      <c r="F74" s="80"/>
      <c r="G74" s="80"/>
      <c r="H74" s="80"/>
      <c r="I74" s="80"/>
      <c r="J74" s="80"/>
      <c r="K74" s="80"/>
      <c r="M74" s="138"/>
    </row>
    <row r="75" spans="1:13" ht="33" hidden="1" customHeight="1" thickTop="1" x14ac:dyDescent="0.25">
      <c r="A75" s="148" t="s">
        <v>229</v>
      </c>
      <c r="B75" s="148" t="s">
        <v>230</v>
      </c>
      <c r="C75" s="86" t="s">
        <v>231</v>
      </c>
      <c r="D75" s="87"/>
      <c r="E75" s="87"/>
      <c r="F75" s="87"/>
      <c r="G75" s="87"/>
      <c r="H75" s="87"/>
      <c r="I75" s="87"/>
      <c r="J75" s="87"/>
      <c r="K75" s="87"/>
      <c r="L75" s="104" t="s">
        <v>252</v>
      </c>
      <c r="M75" s="138"/>
    </row>
    <row r="76" spans="1:13" ht="13.2" hidden="1" x14ac:dyDescent="0.25">
      <c r="A76" s="153">
        <f>IF(Sheet1!D$195,VLOOKUP(1,Sheet1!A148:B197,2),NA())</f>
        <v>1</v>
      </c>
      <c r="B76" s="147">
        <f>IF(Sheet1!D$195,VLOOKUP(Sheet1!D$86,Sheet1!A80:B147,2),NA())</f>
        <v>2024</v>
      </c>
      <c r="C76" s="146" t="str">
        <f>IF(AND(OR(A76=" ",A76="#NA"),OR(D76&lt;&gt;0,E76&lt;&gt;0,F76&lt;&gt;0,G76&lt;&gt;0,H76&lt;&gt;0,I76&lt;&gt;0,J76&lt;&gt;0,K76&lt;&gt;0)),"Clear=&gt;"," ")</f>
        <v xml:space="preserve"> </v>
      </c>
      <c r="D76" s="105"/>
      <c r="E76" s="105"/>
      <c r="F76" s="105"/>
      <c r="G76" s="105"/>
      <c r="H76" s="105"/>
      <c r="I76" s="105"/>
      <c r="J76" s="105"/>
      <c r="K76" s="105"/>
      <c r="L76" s="95">
        <f>IF(Sheet1!D$195,SUM(D76:K76),NA())</f>
        <v>0</v>
      </c>
      <c r="M76" s="138"/>
    </row>
    <row r="77" spans="1:13" ht="13.2" hidden="1" x14ac:dyDescent="0.25">
      <c r="A77" s="147" t="str">
        <f>IF(Sheet1!D$195,IF((A76&gt;=(Sheet1!D$148+$A$76)-1)," ",A76+1),NA())</f>
        <v xml:space="preserve"> </v>
      </c>
      <c r="B77" s="147" t="str">
        <f>IF(Sheet1!D$195,IF((B76&gt;=(Sheet1!D$148+$B$76)-1)," ",B76+1),NA())</f>
        <v xml:space="preserve"> </v>
      </c>
      <c r="C77" s="146" t="str">
        <f t="shared" ref="C77:C82" si="2">IF(AND(OR(A77=" ",A77="#NA"),OR(D77&lt;&gt;0,E77&lt;&gt;0,F77&lt;&gt;0,G77&lt;&gt;0,H77&lt;&gt;0,I77&lt;&gt;0,J77&lt;&gt;0,K77&lt;&gt;0)),"Clear=&gt;"," ")</f>
        <v xml:space="preserve"> </v>
      </c>
      <c r="D77" s="105"/>
      <c r="E77" s="105"/>
      <c r="F77" s="105"/>
      <c r="G77" s="105"/>
      <c r="H77" s="105"/>
      <c r="I77" s="105"/>
      <c r="J77" s="105"/>
      <c r="K77" s="105"/>
      <c r="L77" s="95">
        <f>IF(Sheet1!D$195,SUM(D77:K77),NA())</f>
        <v>0</v>
      </c>
      <c r="M77" s="138"/>
    </row>
    <row r="78" spans="1:13" ht="13.2" hidden="1" x14ac:dyDescent="0.25">
      <c r="A78" s="147" t="str">
        <f>IF(Sheet1!D$195,IF((A77&gt;=(Sheet1!D$148+$A$76)-1)," ",A77+1),NA())</f>
        <v xml:space="preserve"> </v>
      </c>
      <c r="B78" s="147" t="str">
        <f>IF(Sheet1!D$195,IF((B77&gt;=(Sheet1!D$148+$B$76)-1)," ",B77+1),NA())</f>
        <v xml:space="preserve"> </v>
      </c>
      <c r="C78" s="146" t="str">
        <f t="shared" si="2"/>
        <v xml:space="preserve"> </v>
      </c>
      <c r="D78" s="105"/>
      <c r="E78" s="105"/>
      <c r="F78" s="105"/>
      <c r="G78" s="105"/>
      <c r="H78" s="105"/>
      <c r="I78" s="105"/>
      <c r="J78" s="105"/>
      <c r="K78" s="105"/>
      <c r="L78" s="95">
        <f>IF(Sheet1!D$195,SUM(D78:K78),NA())</f>
        <v>0</v>
      </c>
      <c r="M78" s="138"/>
    </row>
    <row r="79" spans="1:13" ht="13.2" hidden="1" x14ac:dyDescent="0.25">
      <c r="A79" s="147" t="str">
        <f>IF(Sheet1!D$195,IF((A78&gt;=(Sheet1!D$148+$A$76)-1)," ",A78+1),NA())</f>
        <v xml:space="preserve"> </v>
      </c>
      <c r="B79" s="147" t="str">
        <f>IF(Sheet1!D$195,IF((B78&gt;=(Sheet1!D$148+$B$76)-1)," ",B78+1),NA())</f>
        <v xml:space="preserve"> </v>
      </c>
      <c r="C79" s="146" t="str">
        <f t="shared" si="2"/>
        <v xml:space="preserve"> </v>
      </c>
      <c r="D79" s="105"/>
      <c r="E79" s="105"/>
      <c r="F79" s="105"/>
      <c r="G79" s="105"/>
      <c r="H79" s="105"/>
      <c r="I79" s="105"/>
      <c r="J79" s="105"/>
      <c r="K79" s="105"/>
      <c r="L79" s="95">
        <f>IF(Sheet1!D$195,SUM(D79:K79),NA())</f>
        <v>0</v>
      </c>
      <c r="M79" s="138"/>
    </row>
    <row r="80" spans="1:13" ht="13.2" hidden="1" x14ac:dyDescent="0.25">
      <c r="A80" s="147" t="str">
        <f>IF(Sheet1!D$195,IF((A79&gt;=(Sheet1!D$148+$A$76)-1)," ",A79+1),NA())</f>
        <v xml:space="preserve"> </v>
      </c>
      <c r="B80" s="147" t="str">
        <f>IF(Sheet1!D$195,IF((B79&gt;=(Sheet1!D$148+$B$76)-1)," ",B79+1),NA())</f>
        <v xml:space="preserve"> </v>
      </c>
      <c r="C80" s="146" t="str">
        <f t="shared" si="2"/>
        <v xml:space="preserve"> </v>
      </c>
      <c r="D80" s="105"/>
      <c r="E80" s="105"/>
      <c r="F80" s="105"/>
      <c r="G80" s="105"/>
      <c r="H80" s="105"/>
      <c r="I80" s="105"/>
      <c r="J80" s="105"/>
      <c r="K80" s="105"/>
      <c r="L80" s="95">
        <f>IF(Sheet1!D$195,SUM(D80:K80),NA())</f>
        <v>0</v>
      </c>
      <c r="M80" s="138"/>
    </row>
    <row r="81" spans="1:13" ht="13.2" hidden="1" x14ac:dyDescent="0.25">
      <c r="A81" s="147" t="str">
        <f>IF(Sheet1!D$195,IF((A80&gt;=(Sheet1!D$148+$A$76)-1)," ",A80+1),NA())</f>
        <v xml:space="preserve"> </v>
      </c>
      <c r="B81" s="147" t="str">
        <f>IF(Sheet1!D$195,IF((B80&gt;=(Sheet1!D$148+$B$76)-1)," ",B80+1),NA())</f>
        <v xml:space="preserve"> </v>
      </c>
      <c r="C81" s="146" t="str">
        <f t="shared" si="2"/>
        <v xml:space="preserve"> </v>
      </c>
      <c r="D81" s="105"/>
      <c r="E81" s="105"/>
      <c r="F81" s="105"/>
      <c r="G81" s="105"/>
      <c r="H81" s="105"/>
      <c r="I81" s="105"/>
      <c r="J81" s="105"/>
      <c r="K81" s="105"/>
      <c r="L81" s="95">
        <f>IF(Sheet1!D$195,SUM(D81:K81),NA())</f>
        <v>0</v>
      </c>
      <c r="M81" s="138"/>
    </row>
    <row r="82" spans="1:13" ht="13.2" hidden="1" x14ac:dyDescent="0.25">
      <c r="A82" s="147" t="str">
        <f>IF(Sheet1!D$195,IF((A81&gt;=(Sheet1!D$148+$A$76)-1)," ",A81+1),NA())</f>
        <v xml:space="preserve"> </v>
      </c>
      <c r="B82" s="147" t="str">
        <f>IF(Sheet1!D$195,IF((B81&gt;=(Sheet1!D$148+$B$76)-1)," ",B81+1),NA())</f>
        <v xml:space="preserve"> </v>
      </c>
      <c r="C82" s="146" t="str">
        <f t="shared" si="2"/>
        <v xml:space="preserve"> </v>
      </c>
      <c r="D82" s="105"/>
      <c r="E82" s="105"/>
      <c r="F82" s="105"/>
      <c r="G82" s="105"/>
      <c r="H82" s="105"/>
      <c r="I82" s="105"/>
      <c r="J82" s="105"/>
      <c r="K82" s="105"/>
      <c r="L82" s="95">
        <f>IF(Sheet1!D$195,SUM(D82:K82),NA())</f>
        <v>0</v>
      </c>
      <c r="M82" s="138"/>
    </row>
    <row r="83" spans="1:13" ht="13.8" hidden="1" thickTop="1" x14ac:dyDescent="0.25">
      <c r="A83" s="146" t="s">
        <v>264</v>
      </c>
      <c r="B83" s="150"/>
      <c r="C83" s="150"/>
      <c r="D83" s="97">
        <f>IF(Sheet1!D$195,SUM(D76:D82),NA())</f>
        <v>0</v>
      </c>
      <c r="E83" s="97">
        <f>IF(Sheet1!D$195,SUM(E76:E82),NA())</f>
        <v>0</v>
      </c>
      <c r="F83" s="97">
        <f>IF(Sheet1!D$195,SUM(F76:F82),NA())</f>
        <v>0</v>
      </c>
      <c r="G83" s="97">
        <f>IF(Sheet1!D$195,SUM(G76:G82),NA())</f>
        <v>0</v>
      </c>
      <c r="H83" s="97">
        <f>IF(Sheet1!D$195,SUM(H76:H82),NA())</f>
        <v>0</v>
      </c>
      <c r="I83" s="97">
        <f>IF(Sheet1!D$195,SUM(I76:I82),NA())</f>
        <v>0</v>
      </c>
      <c r="J83" s="97">
        <f>IF(Sheet1!D$195,SUM(J76:J82),NA())</f>
        <v>0</v>
      </c>
      <c r="K83" s="97">
        <f>IF(Sheet1!D$195,SUM(K76:K82),NA())</f>
        <v>0</v>
      </c>
      <c r="L83" s="95">
        <f>IF(Sheet1!D$195,SUM(L76:L82),NA())</f>
        <v>0</v>
      </c>
      <c r="M83" s="138"/>
    </row>
    <row r="84" spans="1:13" ht="13.2" hidden="1" x14ac:dyDescent="0.25">
      <c r="A84" s="152"/>
      <c r="B84" s="139"/>
      <c r="C84" s="139"/>
      <c r="D84" s="138"/>
      <c r="E84" s="138"/>
      <c r="F84" s="138"/>
      <c r="G84" s="138"/>
      <c r="H84" s="138"/>
      <c r="I84" s="138"/>
      <c r="J84" s="138"/>
      <c r="K84" s="138"/>
      <c r="L84" s="138"/>
      <c r="M84" s="138"/>
    </row>
    <row r="85" spans="1:13" ht="13.2" hidden="1" x14ac:dyDescent="0.25">
      <c r="A85" s="152"/>
      <c r="B85" s="139"/>
      <c r="C85" s="139"/>
      <c r="D85" s="138"/>
      <c r="E85" s="138"/>
      <c r="F85" s="138"/>
      <c r="G85" s="138"/>
      <c r="H85" s="138"/>
      <c r="I85" s="138"/>
      <c r="J85" s="138"/>
      <c r="K85" s="138"/>
      <c r="L85" s="138"/>
      <c r="M85" s="138"/>
    </row>
    <row r="86" spans="1:13" ht="13.2" hidden="1" x14ac:dyDescent="0.25">
      <c r="A86" s="152"/>
      <c r="B86" s="139"/>
      <c r="C86" s="139"/>
      <c r="D86" s="138"/>
      <c r="E86" s="138"/>
      <c r="F86" s="138"/>
      <c r="G86" s="138"/>
      <c r="H86" s="138"/>
      <c r="I86" s="138"/>
      <c r="J86" s="138"/>
      <c r="K86" s="138"/>
      <c r="L86" s="138"/>
      <c r="M86" s="138"/>
    </row>
    <row r="87" spans="1:13" ht="13.2" hidden="1" x14ac:dyDescent="0.25">
      <c r="A87" s="144" t="s">
        <v>263</v>
      </c>
      <c r="B87" s="142"/>
      <c r="C87" s="142"/>
      <c r="D87" s="80"/>
      <c r="E87" s="80"/>
      <c r="F87" s="80"/>
      <c r="G87" s="80"/>
      <c r="H87" s="80"/>
      <c r="I87" s="80"/>
      <c r="J87" s="80"/>
      <c r="K87" s="80"/>
      <c r="M87" s="138"/>
    </row>
    <row r="88" spans="1:13" ht="14.25" hidden="1" customHeight="1" x14ac:dyDescent="0.25">
      <c r="A88" s="144" t="s">
        <v>262</v>
      </c>
      <c r="B88" s="142"/>
      <c r="C88" s="142"/>
      <c r="D88" s="80"/>
      <c r="E88" s="80"/>
      <c r="F88" s="80"/>
      <c r="G88" s="80"/>
      <c r="H88" s="80"/>
      <c r="I88" s="80"/>
      <c r="J88" s="80"/>
      <c r="K88" s="80"/>
      <c r="M88" s="138"/>
    </row>
    <row r="89" spans="1:13" ht="3" hidden="1" customHeight="1" x14ac:dyDescent="0.25">
      <c r="A89" s="151"/>
      <c r="B89" s="139"/>
      <c r="C89" s="139"/>
      <c r="D89" s="80"/>
      <c r="E89" s="80"/>
      <c r="F89" s="80"/>
      <c r="G89" s="80"/>
      <c r="H89" s="80"/>
      <c r="I89" s="80"/>
      <c r="J89" s="80"/>
      <c r="K89" s="80"/>
      <c r="M89" s="138"/>
    </row>
    <row r="90" spans="1:13" ht="3" hidden="1" customHeight="1" thickBot="1" x14ac:dyDescent="0.3">
      <c r="A90" s="151"/>
      <c r="B90" s="139"/>
      <c r="C90" s="139"/>
      <c r="D90" s="80"/>
      <c r="E90" s="80"/>
      <c r="F90" s="80"/>
      <c r="G90" s="80"/>
      <c r="H90" s="80"/>
      <c r="I90" s="80"/>
      <c r="J90" s="80"/>
      <c r="K90" s="80"/>
      <c r="M90" s="138"/>
    </row>
    <row r="91" spans="1:13" ht="33" hidden="1" customHeight="1" thickTop="1" x14ac:dyDescent="0.25">
      <c r="A91" s="148" t="s">
        <v>229</v>
      </c>
      <c r="B91" s="148" t="s">
        <v>230</v>
      </c>
      <c r="C91" s="86" t="s">
        <v>231</v>
      </c>
      <c r="D91" s="87"/>
      <c r="E91" s="87"/>
      <c r="F91" s="87"/>
      <c r="G91" s="87"/>
      <c r="H91" s="87"/>
      <c r="I91" s="87"/>
      <c r="J91" s="87"/>
      <c r="K91" s="87"/>
      <c r="L91" s="104" t="s">
        <v>252</v>
      </c>
      <c r="M91" s="138"/>
    </row>
    <row r="92" spans="1:13" ht="13.2" hidden="1" x14ac:dyDescent="0.25">
      <c r="A92" s="153">
        <f>IF(Sheet1!D$195,VLOOKUP(1,Sheet1!A148:B197,2),NA())</f>
        <v>1</v>
      </c>
      <c r="B92" s="147">
        <f>IF(Sheet1!D$195,VLOOKUP(Sheet1!D$86,Sheet1!A80:B147,2),NA())</f>
        <v>2024</v>
      </c>
      <c r="C92" s="146" t="str">
        <f t="shared" ref="C92:C98" si="3">IF(AND(OR(A92=" ",A92="#NA"),OR(D92&lt;&gt;0,E92&lt;&gt;0,F92&lt;&gt;0,G92&lt;&gt;0,H92&lt;&gt;0,I92&lt;&gt;0,J92&lt;&gt;0,K92&lt;&gt;0)),"Clear=&gt;"," ")</f>
        <v xml:space="preserve"> </v>
      </c>
      <c r="D92" s="105"/>
      <c r="E92" s="105"/>
      <c r="F92" s="105"/>
      <c r="G92" s="105"/>
      <c r="H92" s="105"/>
      <c r="I92" s="105"/>
      <c r="J92" s="105"/>
      <c r="K92" s="105"/>
      <c r="L92" s="95">
        <f>IF(Sheet1!D$195,SUM(D92:K92),NA())</f>
        <v>0</v>
      </c>
      <c r="M92" s="138"/>
    </row>
    <row r="93" spans="1:13" ht="13.2" hidden="1" x14ac:dyDescent="0.25">
      <c r="A93" s="147" t="str">
        <f>IF(Sheet1!D$195,IF((A92&gt;=(Sheet1!D$148+$A$92)-1)," ",A92+1),NA())</f>
        <v xml:space="preserve"> </v>
      </c>
      <c r="B93" s="147" t="str">
        <f>IF(Sheet1!D$195,IF((B92&gt;=(Sheet1!D$148+$B$92)-1)," ",B92+1),NA())</f>
        <v xml:space="preserve"> </v>
      </c>
      <c r="C93" s="146" t="str">
        <f t="shared" si="3"/>
        <v xml:space="preserve"> </v>
      </c>
      <c r="D93" s="105"/>
      <c r="E93" s="105"/>
      <c r="F93" s="105"/>
      <c r="G93" s="105"/>
      <c r="H93" s="105"/>
      <c r="I93" s="105"/>
      <c r="J93" s="105"/>
      <c r="K93" s="105"/>
      <c r="L93" s="95">
        <f>IF(Sheet1!D$195,SUM(D93:K93),NA())</f>
        <v>0</v>
      </c>
      <c r="M93" s="138"/>
    </row>
    <row r="94" spans="1:13" ht="13.2" hidden="1" x14ac:dyDescent="0.25">
      <c r="A94" s="147" t="str">
        <f>IF(Sheet1!D$195,IF((A93&gt;=(Sheet1!D$148+$A$92)-1)," ",A93+1),NA())</f>
        <v xml:space="preserve"> </v>
      </c>
      <c r="B94" s="147" t="str">
        <f>IF(Sheet1!D$195,IF((B93&gt;=(Sheet1!D$148+$B$92)-1)," ",B93+1),NA())</f>
        <v xml:space="preserve"> </v>
      </c>
      <c r="C94" s="146" t="str">
        <f t="shared" si="3"/>
        <v xml:space="preserve"> </v>
      </c>
      <c r="D94" s="105"/>
      <c r="E94" s="105"/>
      <c r="F94" s="105"/>
      <c r="G94" s="105"/>
      <c r="H94" s="105"/>
      <c r="I94" s="105"/>
      <c r="J94" s="105"/>
      <c r="K94" s="105"/>
      <c r="L94" s="95">
        <f>IF(Sheet1!D$195,SUM(D94:K94),NA())</f>
        <v>0</v>
      </c>
      <c r="M94" s="138"/>
    </row>
    <row r="95" spans="1:13" ht="13.2" hidden="1" x14ac:dyDescent="0.25">
      <c r="A95" s="147" t="str">
        <f>IF(Sheet1!D$195,IF((A94&gt;=(Sheet1!D$148+$A$92)-1)," ",A94+1),NA())</f>
        <v xml:space="preserve"> </v>
      </c>
      <c r="B95" s="147" t="str">
        <f>IF(Sheet1!D$195,IF((B94&gt;=(Sheet1!D$148+$B$92)-1)," ",B94+1),NA())</f>
        <v xml:space="preserve"> </v>
      </c>
      <c r="C95" s="146" t="str">
        <f t="shared" si="3"/>
        <v xml:space="preserve"> </v>
      </c>
      <c r="D95" s="105"/>
      <c r="E95" s="105"/>
      <c r="F95" s="105"/>
      <c r="G95" s="105"/>
      <c r="H95" s="105"/>
      <c r="I95" s="105"/>
      <c r="J95" s="105"/>
      <c r="K95" s="105"/>
      <c r="L95" s="95">
        <f>IF(Sheet1!D$195,SUM(D95:K95),NA())</f>
        <v>0</v>
      </c>
      <c r="M95" s="138"/>
    </row>
    <row r="96" spans="1:13" ht="13.2" hidden="1" x14ac:dyDescent="0.25">
      <c r="A96" s="147" t="str">
        <f>IF(Sheet1!D$195,IF((A95&gt;=(Sheet1!D$148+$A$92)-1)," ",A95+1),NA())</f>
        <v xml:space="preserve"> </v>
      </c>
      <c r="B96" s="147" t="str">
        <f>IF(Sheet1!D$195,IF((B95&gt;=(Sheet1!D$148+$B$92)-1)," ",B95+1),NA())</f>
        <v xml:space="preserve"> </v>
      </c>
      <c r="C96" s="146" t="str">
        <f t="shared" si="3"/>
        <v xml:space="preserve"> </v>
      </c>
      <c r="D96" s="105"/>
      <c r="E96" s="105"/>
      <c r="F96" s="105"/>
      <c r="G96" s="105"/>
      <c r="H96" s="105"/>
      <c r="I96" s="105"/>
      <c r="J96" s="105"/>
      <c r="K96" s="105"/>
      <c r="L96" s="95">
        <f>IF(Sheet1!D$195,SUM(D96:K96),NA())</f>
        <v>0</v>
      </c>
      <c r="M96" s="138"/>
    </row>
    <row r="97" spans="1:13" ht="13.2" hidden="1" x14ac:dyDescent="0.25">
      <c r="A97" s="147" t="str">
        <f>IF(Sheet1!D$195,IF((A96&gt;=(Sheet1!D$148+$A$92)-1)," ",A96+1),NA())</f>
        <v xml:space="preserve"> </v>
      </c>
      <c r="B97" s="147" t="str">
        <f>IF(Sheet1!D$195,IF((B96&gt;=(Sheet1!D$148+$B$92)-1)," ",B96+1),NA())</f>
        <v xml:space="preserve"> </v>
      </c>
      <c r="C97" s="146" t="str">
        <f t="shared" si="3"/>
        <v xml:space="preserve"> </v>
      </c>
      <c r="D97" s="105"/>
      <c r="E97" s="105"/>
      <c r="F97" s="105"/>
      <c r="G97" s="105"/>
      <c r="H97" s="105"/>
      <c r="I97" s="105"/>
      <c r="J97" s="105"/>
      <c r="K97" s="105"/>
      <c r="L97" s="95">
        <f>IF(Sheet1!D$195,SUM(D97:K97),NA())</f>
        <v>0</v>
      </c>
      <c r="M97" s="138"/>
    </row>
    <row r="98" spans="1:13" ht="13.2" hidden="1" x14ac:dyDescent="0.25">
      <c r="A98" s="147" t="str">
        <f>IF(Sheet1!D$195,IF((A97&gt;=(Sheet1!D$148+$A$92)-1)," ",A97+1),NA())</f>
        <v xml:space="preserve"> </v>
      </c>
      <c r="B98" s="147" t="str">
        <f>IF(Sheet1!D$195,IF((B97&gt;=(Sheet1!D$148+$B$92)-1)," ",B97+1),NA())</f>
        <v xml:space="preserve"> </v>
      </c>
      <c r="C98" s="146" t="str">
        <f t="shared" si="3"/>
        <v xml:space="preserve"> </v>
      </c>
      <c r="D98" s="105"/>
      <c r="E98" s="105"/>
      <c r="F98" s="105"/>
      <c r="G98" s="105"/>
      <c r="H98" s="105"/>
      <c r="I98" s="105"/>
      <c r="J98" s="105"/>
      <c r="K98" s="105"/>
      <c r="L98" s="95">
        <f>IF(Sheet1!D$195,SUM(D98:K98),NA())</f>
        <v>0</v>
      </c>
      <c r="M98" s="138"/>
    </row>
    <row r="99" spans="1:13" ht="13.8" hidden="1" thickTop="1" x14ac:dyDescent="0.25">
      <c r="A99" s="146" t="s">
        <v>261</v>
      </c>
      <c r="B99" s="150"/>
      <c r="C99" s="150"/>
      <c r="D99" s="97">
        <f>IF(Sheet1!D$195,SUM(D92:D98),NA())</f>
        <v>0</v>
      </c>
      <c r="E99" s="97">
        <f>IF(Sheet1!D$195,SUM(E92:E98),NA())</f>
        <v>0</v>
      </c>
      <c r="F99" s="97">
        <f>IF(Sheet1!D$195,SUM(F92:F98),NA())</f>
        <v>0</v>
      </c>
      <c r="G99" s="97">
        <f>IF(Sheet1!D$195,SUM(G92:G98),NA())</f>
        <v>0</v>
      </c>
      <c r="H99" s="97">
        <f>IF(Sheet1!D$195,SUM(H92:H98),NA())</f>
        <v>0</v>
      </c>
      <c r="I99" s="97">
        <f>IF(Sheet1!D$195,SUM(I92:I98),NA())</f>
        <v>0</v>
      </c>
      <c r="J99" s="97">
        <f>IF(Sheet1!D$195,SUM(J92:J98),NA())</f>
        <v>0</v>
      </c>
      <c r="K99" s="97">
        <f>IF(Sheet1!D$195,SUM(K92:K98),NA())</f>
        <v>0</v>
      </c>
      <c r="L99" s="95">
        <f>IF(Sheet1!D$195,SUM(L92:L98),NA())</f>
        <v>0</v>
      </c>
      <c r="M99" s="138"/>
    </row>
    <row r="100" spans="1:13" ht="13.2" hidden="1" x14ac:dyDescent="0.25">
      <c r="A100" s="152"/>
      <c r="B100" s="139"/>
      <c r="C100" s="139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</row>
    <row r="101" spans="1:13" ht="13.2" hidden="1" x14ac:dyDescent="0.25">
      <c r="A101" s="152"/>
      <c r="B101" s="139"/>
      <c r="C101" s="139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</row>
    <row r="102" spans="1:13" ht="13.2" x14ac:dyDescent="0.25">
      <c r="A102" s="152"/>
      <c r="B102" s="139"/>
      <c r="C102" s="139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</row>
    <row r="103" spans="1:13" ht="13.2" x14ac:dyDescent="0.25">
      <c r="A103" s="144" t="s">
        <v>225</v>
      </c>
      <c r="B103" s="142"/>
      <c r="C103" s="142"/>
      <c r="D103" s="80"/>
      <c r="E103" s="80"/>
      <c r="F103" s="80"/>
      <c r="G103" s="80"/>
      <c r="H103" s="80"/>
      <c r="I103" s="80"/>
      <c r="J103" s="80"/>
      <c r="K103" s="80"/>
      <c r="M103" s="138"/>
    </row>
    <row r="104" spans="1:13" ht="13.2" x14ac:dyDescent="0.25">
      <c r="A104" s="143" t="s">
        <v>260</v>
      </c>
      <c r="B104" s="142"/>
      <c r="C104" s="142"/>
      <c r="D104" s="80"/>
      <c r="E104" s="80"/>
      <c r="F104" s="80"/>
      <c r="G104" s="80"/>
      <c r="H104" s="80"/>
      <c r="I104" s="80"/>
      <c r="J104" s="80"/>
      <c r="K104" s="80"/>
      <c r="M104" s="138"/>
    </row>
    <row r="105" spans="1:13" ht="16.5" customHeight="1" x14ac:dyDescent="0.25">
      <c r="A105" s="82" t="s">
        <v>227</v>
      </c>
      <c r="B105" s="83"/>
      <c r="C105" s="83"/>
      <c r="D105" s="80"/>
      <c r="E105" s="80"/>
      <c r="F105" s="80"/>
      <c r="G105" s="80"/>
      <c r="H105" s="80"/>
      <c r="I105" s="80"/>
      <c r="J105" s="80"/>
      <c r="K105" s="80"/>
      <c r="M105" s="138"/>
    </row>
    <row r="106" spans="1:13" ht="16.5" customHeight="1" x14ac:dyDescent="0.25">
      <c r="A106" s="82" t="s">
        <v>259</v>
      </c>
      <c r="B106" s="83"/>
      <c r="C106" s="83"/>
      <c r="D106" s="80"/>
      <c r="E106" s="80"/>
      <c r="F106" s="80"/>
      <c r="G106" s="80"/>
      <c r="H106" s="80"/>
      <c r="I106" s="80"/>
      <c r="J106" s="80"/>
      <c r="K106" s="80"/>
      <c r="M106" s="138"/>
    </row>
    <row r="107" spans="1:13" ht="3" customHeight="1" x14ac:dyDescent="0.25">
      <c r="A107" s="151"/>
      <c r="B107" s="139"/>
      <c r="C107" s="139"/>
      <c r="D107" s="80"/>
      <c r="E107" s="80"/>
      <c r="F107" s="80"/>
      <c r="G107" s="80"/>
      <c r="H107" s="80"/>
      <c r="I107" s="80"/>
      <c r="J107" s="80"/>
      <c r="K107" s="80"/>
      <c r="M107" s="138"/>
    </row>
    <row r="108" spans="1:13" ht="3" customHeight="1" thickBot="1" x14ac:dyDescent="0.3">
      <c r="A108" s="151"/>
      <c r="B108" s="139"/>
      <c r="C108" s="139"/>
      <c r="D108" s="80"/>
      <c r="E108" s="80"/>
      <c r="F108" s="80"/>
      <c r="G108" s="80"/>
      <c r="H108" s="80"/>
      <c r="I108" s="80"/>
      <c r="J108" s="80"/>
      <c r="K108" s="80"/>
      <c r="M108" s="138"/>
    </row>
    <row r="109" spans="1:13" ht="33" customHeight="1" thickTop="1" x14ac:dyDescent="0.25">
      <c r="A109" s="148" t="s">
        <v>229</v>
      </c>
      <c r="B109" s="148" t="s">
        <v>230</v>
      </c>
      <c r="C109" s="86" t="s">
        <v>231</v>
      </c>
      <c r="D109" s="87"/>
      <c r="E109" s="87"/>
      <c r="F109" s="87"/>
      <c r="G109" s="87"/>
      <c r="H109" s="87"/>
      <c r="I109" s="87"/>
      <c r="J109" s="87"/>
      <c r="K109" s="87"/>
      <c r="L109" s="88" t="s">
        <v>258</v>
      </c>
      <c r="M109" s="89" t="s">
        <v>257</v>
      </c>
    </row>
    <row r="110" spans="1:13" ht="13.2" x14ac:dyDescent="0.25">
      <c r="A110" s="147">
        <f>IF(Sheet1!D$195,VLOOKUP(1,Sheet1!A148:B195,2),NA())</f>
        <v>1</v>
      </c>
      <c r="B110" s="147">
        <f>IF(Sheet1!D$195,VLOOKUP(Sheet1!D$86,Sheet1!A80:B147,2),NA())</f>
        <v>2024</v>
      </c>
      <c r="C110" s="146" t="str">
        <f t="shared" ref="C110:C159" si="4">IF(AND(OR(A110=" ",A110="#NA"),OR(D110&lt;&gt;0,E110&lt;&gt;0,F110&lt;&gt;0,G110&lt;&gt;0,H110&lt;&gt;0,I110&lt;&gt;0,J110&lt;&gt;0,K110&lt;&gt;0)),"Clear=&gt;"," ")</f>
        <v xml:space="preserve"> </v>
      </c>
      <c r="D110" s="92"/>
      <c r="E110" s="92"/>
      <c r="F110" s="92"/>
      <c r="G110" s="92"/>
      <c r="H110" s="92"/>
      <c r="I110" s="92"/>
      <c r="J110" s="92"/>
      <c r="K110" s="92"/>
      <c r="L110" s="95">
        <f>IF(Sheet1!D$195,SUM(D110:K110),NA())</f>
        <v>0</v>
      </c>
      <c r="M110" s="94" t="e">
        <f>IF(Sheet1!D$195,SUM(D191:K191),NA())</f>
        <v>#VALUE!</v>
      </c>
    </row>
    <row r="111" spans="1:13" ht="13.2" x14ac:dyDescent="0.25">
      <c r="A111" s="147" t="str">
        <f>IF(Sheet1!D$195,IF((A110&gt;=(Sheet1!D$148+$A$110)-1)," ",A110+1),NA())</f>
        <v xml:space="preserve"> </v>
      </c>
      <c r="B111" s="147" t="str">
        <f>IF(Sheet1!D$195,IF((B110&gt;=(Sheet1!D$148+$B$110)-1)," ",B110+1),NA())</f>
        <v xml:space="preserve"> </v>
      </c>
      <c r="C111" s="146" t="str">
        <f t="shared" si="4"/>
        <v xml:space="preserve"> </v>
      </c>
      <c r="D111" s="92"/>
      <c r="E111" s="92"/>
      <c r="F111" s="92"/>
      <c r="G111" s="92"/>
      <c r="H111" s="92"/>
      <c r="I111" s="92"/>
      <c r="J111" s="92"/>
      <c r="K111" s="92"/>
      <c r="L111" s="95">
        <f>IF(Sheet1!D$195,SUM(D111:K111),NA())</f>
        <v>0</v>
      </c>
      <c r="M111" s="94" t="e">
        <f>IF(Sheet1!D$195,SUM(D192:K192),NA())</f>
        <v>#VALUE!</v>
      </c>
    </row>
    <row r="112" spans="1:13" ht="13.2" x14ac:dyDescent="0.25">
      <c r="A112" s="147" t="str">
        <f>IF(Sheet1!D$195,IF((A111&gt;=(Sheet1!D$148+$A$110)-1)," ",A111+1),NA())</f>
        <v xml:space="preserve"> </v>
      </c>
      <c r="B112" s="147" t="str">
        <f>IF(Sheet1!D$195,IF((B111&gt;=(Sheet1!D$148+$B$110)-1)," ",B111+1),NA())</f>
        <v xml:space="preserve"> </v>
      </c>
      <c r="C112" s="146" t="str">
        <f t="shared" si="4"/>
        <v xml:space="preserve"> </v>
      </c>
      <c r="D112" s="92"/>
      <c r="E112" s="92"/>
      <c r="F112" s="92"/>
      <c r="G112" s="92"/>
      <c r="H112" s="92"/>
      <c r="I112" s="92"/>
      <c r="J112" s="92"/>
      <c r="K112" s="92"/>
      <c r="L112" s="95">
        <f>IF(Sheet1!D$195,SUM(D112:K112),NA())</f>
        <v>0</v>
      </c>
      <c r="M112" s="94" t="e">
        <f>IF(Sheet1!D$195,SUM(D193:K193),NA())</f>
        <v>#VALUE!</v>
      </c>
    </row>
    <row r="113" spans="1:13" ht="13.2" x14ac:dyDescent="0.25">
      <c r="A113" s="147" t="str">
        <f>IF(Sheet1!D$195,IF((A112&gt;=(Sheet1!D$148+$A$110)-1)," ",A112+1),NA())</f>
        <v xml:space="preserve"> </v>
      </c>
      <c r="B113" s="147" t="str">
        <f>IF(Sheet1!D$195,IF((B112&gt;=(Sheet1!D$148+$B$110)-1)," ",B112+1),NA())</f>
        <v xml:space="preserve"> </v>
      </c>
      <c r="C113" s="146" t="str">
        <f t="shared" si="4"/>
        <v xml:space="preserve"> </v>
      </c>
      <c r="D113" s="92"/>
      <c r="E113" s="92"/>
      <c r="F113" s="92"/>
      <c r="G113" s="92"/>
      <c r="H113" s="92"/>
      <c r="I113" s="92"/>
      <c r="J113" s="92"/>
      <c r="K113" s="92"/>
      <c r="L113" s="95">
        <f>IF(Sheet1!D$195,SUM(D113:K113),NA())</f>
        <v>0</v>
      </c>
      <c r="M113" s="94" t="e">
        <f>IF(Sheet1!D$195,SUM(D194:K194),NA())</f>
        <v>#VALUE!</v>
      </c>
    </row>
    <row r="114" spans="1:13" ht="13.2" x14ac:dyDescent="0.25">
      <c r="A114" s="147" t="str">
        <f>IF(Sheet1!D$195,IF((A113&gt;=(Sheet1!D$148+$A$110)-1)," ",A113+1),NA())</f>
        <v xml:space="preserve"> </v>
      </c>
      <c r="B114" s="147" t="str">
        <f>IF(Sheet1!D$195,IF((B113&gt;=(Sheet1!D$148+$B$110)-1)," ",B113+1),NA())</f>
        <v xml:space="preserve"> </v>
      </c>
      <c r="C114" s="146" t="str">
        <f t="shared" si="4"/>
        <v xml:space="preserve"> </v>
      </c>
      <c r="D114" s="92"/>
      <c r="E114" s="92"/>
      <c r="F114" s="92"/>
      <c r="G114" s="92"/>
      <c r="H114" s="92"/>
      <c r="I114" s="92"/>
      <c r="J114" s="92"/>
      <c r="K114" s="92"/>
      <c r="L114" s="95">
        <f>IF(Sheet1!D$195,SUM(D114:K114),NA())</f>
        <v>0</v>
      </c>
      <c r="M114" s="94" t="e">
        <f>IF(Sheet1!D$195,SUM(D195:K195),NA())</f>
        <v>#VALUE!</v>
      </c>
    </row>
    <row r="115" spans="1:13" ht="13.2" x14ac:dyDescent="0.25">
      <c r="A115" s="147" t="str">
        <f>IF(Sheet1!D$195,IF((A114&gt;=(Sheet1!D$148+$A$110)-1)," ",A114+1),NA())</f>
        <v xml:space="preserve"> </v>
      </c>
      <c r="B115" s="147" t="str">
        <f>IF(Sheet1!D$195,IF((B114&gt;=(Sheet1!D$148+$B$110)-1)," ",B114+1),NA())</f>
        <v xml:space="preserve"> </v>
      </c>
      <c r="C115" s="146" t="str">
        <f t="shared" si="4"/>
        <v xml:space="preserve"> </v>
      </c>
      <c r="D115" s="92"/>
      <c r="E115" s="92"/>
      <c r="F115" s="92"/>
      <c r="G115" s="92"/>
      <c r="H115" s="92"/>
      <c r="I115" s="92"/>
      <c r="J115" s="92"/>
      <c r="K115" s="92"/>
      <c r="L115" s="95">
        <f>IF(Sheet1!D$195,SUM(D115:K115),NA())</f>
        <v>0</v>
      </c>
      <c r="M115" s="94" t="e">
        <f>IF(Sheet1!D$195,SUM(D196:K196),NA())</f>
        <v>#VALUE!</v>
      </c>
    </row>
    <row r="116" spans="1:13" ht="13.2" x14ac:dyDescent="0.25">
      <c r="A116" s="147" t="str">
        <f>IF(Sheet1!D$195,IF((A115&gt;=(Sheet1!D$148+$A$110)-1)," ",A115+1),NA())</f>
        <v xml:space="preserve"> </v>
      </c>
      <c r="B116" s="147" t="str">
        <f>IF(Sheet1!D$195,IF((B115&gt;=(Sheet1!D$148+$B$110)-1)," ",B115+1),NA())</f>
        <v xml:space="preserve"> </v>
      </c>
      <c r="C116" s="146" t="str">
        <f t="shared" si="4"/>
        <v xml:space="preserve"> </v>
      </c>
      <c r="D116" s="92"/>
      <c r="E116" s="92"/>
      <c r="F116" s="92"/>
      <c r="G116" s="92"/>
      <c r="H116" s="92"/>
      <c r="I116" s="92"/>
      <c r="J116" s="92"/>
      <c r="K116" s="92"/>
      <c r="L116" s="95">
        <f>IF(Sheet1!D$195,SUM(D116:K116),NA())</f>
        <v>0</v>
      </c>
      <c r="M116" s="94" t="e">
        <f>IF(Sheet1!D$195,SUM(D197:K197),NA())</f>
        <v>#VALUE!</v>
      </c>
    </row>
    <row r="117" spans="1:13" ht="13.2" x14ac:dyDescent="0.25">
      <c r="A117" s="147" t="str">
        <f>IF(Sheet1!D$195,IF((A116&gt;=(Sheet1!D$148+$A$110)-1)," ",A116+1),NA())</f>
        <v xml:space="preserve"> </v>
      </c>
      <c r="B117" s="147" t="str">
        <f>IF(Sheet1!D$195,IF((B116&gt;=(Sheet1!D$148+$B$110)-1)," ",B116+1),NA())</f>
        <v xml:space="preserve"> </v>
      </c>
      <c r="C117" s="146" t="str">
        <f t="shared" si="4"/>
        <v xml:space="preserve"> </v>
      </c>
      <c r="D117" s="92"/>
      <c r="E117" s="92"/>
      <c r="F117" s="92"/>
      <c r="G117" s="92"/>
      <c r="H117" s="92"/>
      <c r="I117" s="92"/>
      <c r="J117" s="92"/>
      <c r="K117" s="92"/>
      <c r="L117" s="95">
        <f>IF(Sheet1!D$195,SUM(D117:K117),NA())</f>
        <v>0</v>
      </c>
      <c r="M117" s="94" t="e">
        <f>IF(Sheet1!D$195,SUM(D198:K198),NA())</f>
        <v>#VALUE!</v>
      </c>
    </row>
    <row r="118" spans="1:13" ht="13.2" x14ac:dyDescent="0.25">
      <c r="A118" s="147" t="str">
        <f>IF(Sheet1!D$195,IF((A117&gt;=(Sheet1!D$148+$A$110)-1)," ",A117+1),NA())</f>
        <v xml:space="preserve"> </v>
      </c>
      <c r="B118" s="147" t="str">
        <f>IF(Sheet1!D$195,IF((B117&gt;=(Sheet1!D$148+$B$110)-1)," ",B117+1),NA())</f>
        <v xml:space="preserve"> </v>
      </c>
      <c r="C118" s="146" t="str">
        <f t="shared" si="4"/>
        <v xml:space="preserve"> </v>
      </c>
      <c r="D118" s="92"/>
      <c r="E118" s="92"/>
      <c r="F118" s="92"/>
      <c r="G118" s="92"/>
      <c r="H118" s="92"/>
      <c r="I118" s="92"/>
      <c r="J118" s="92"/>
      <c r="K118" s="92"/>
      <c r="L118" s="95">
        <f>IF(Sheet1!D$195,SUM(D118:K118),NA())</f>
        <v>0</v>
      </c>
      <c r="M118" s="94" t="e">
        <f>IF(Sheet1!D$195,SUM(D199:K199),NA())</f>
        <v>#VALUE!</v>
      </c>
    </row>
    <row r="119" spans="1:13" ht="13.2" x14ac:dyDescent="0.25">
      <c r="A119" s="147" t="str">
        <f>IF(Sheet1!D$195,IF((A118&gt;=(Sheet1!D$148+$A$110)-1)," ",A118+1),NA())</f>
        <v xml:space="preserve"> </v>
      </c>
      <c r="B119" s="147" t="str">
        <f>IF(Sheet1!D$195,IF((B118&gt;=(Sheet1!D$148+$B$110)-1)," ",B118+1),NA())</f>
        <v xml:space="preserve"> </v>
      </c>
      <c r="C119" s="146" t="str">
        <f t="shared" si="4"/>
        <v xml:space="preserve"> </v>
      </c>
      <c r="D119" s="92"/>
      <c r="E119" s="92"/>
      <c r="F119" s="92"/>
      <c r="G119" s="92"/>
      <c r="H119" s="92"/>
      <c r="I119" s="92"/>
      <c r="J119" s="92"/>
      <c r="K119" s="92"/>
      <c r="L119" s="95">
        <f>IF(Sheet1!D$195,SUM(D119:K119),NA())</f>
        <v>0</v>
      </c>
      <c r="M119" s="94" t="e">
        <f>IF(Sheet1!D$195,SUM(D200:K200),NA())</f>
        <v>#VALUE!</v>
      </c>
    </row>
    <row r="120" spans="1:13" ht="13.2" x14ac:dyDescent="0.25">
      <c r="A120" s="147" t="str">
        <f>IF(Sheet1!D$195,IF((A119&gt;=(Sheet1!D$148+$A$110)-1)," ",A119+1),NA())</f>
        <v xml:space="preserve"> </v>
      </c>
      <c r="B120" s="147" t="str">
        <f>IF(Sheet1!D$195,IF((B119&gt;=(Sheet1!D$148+$B$110)-1)," ",B119+1),NA())</f>
        <v xml:space="preserve"> </v>
      </c>
      <c r="C120" s="146" t="str">
        <f t="shared" si="4"/>
        <v xml:space="preserve"> </v>
      </c>
      <c r="D120" s="92"/>
      <c r="E120" s="92"/>
      <c r="F120" s="92"/>
      <c r="G120" s="92"/>
      <c r="H120" s="92"/>
      <c r="I120" s="92"/>
      <c r="J120" s="92"/>
      <c r="K120" s="92"/>
      <c r="L120" s="95">
        <f>IF(Sheet1!D$195,SUM(D120:K120),NA())</f>
        <v>0</v>
      </c>
      <c r="M120" s="94" t="e">
        <f>IF(Sheet1!D$195,SUM(D201:K201),NA())</f>
        <v>#VALUE!</v>
      </c>
    </row>
    <row r="121" spans="1:13" ht="13.2" x14ac:dyDescent="0.25">
      <c r="A121" s="147" t="str">
        <f>IF(Sheet1!D$195,IF((A120&gt;=(Sheet1!D$148+$A$110)-1)," ",A120+1),NA())</f>
        <v xml:space="preserve"> </v>
      </c>
      <c r="B121" s="147" t="str">
        <f>IF(Sheet1!D$195,IF((B120&gt;=(Sheet1!D$148+$B$110)-1)," ",B120+1),NA())</f>
        <v xml:space="preserve"> </v>
      </c>
      <c r="C121" s="146" t="str">
        <f t="shared" si="4"/>
        <v xml:space="preserve"> </v>
      </c>
      <c r="D121" s="92"/>
      <c r="E121" s="92"/>
      <c r="F121" s="92"/>
      <c r="G121" s="92"/>
      <c r="H121" s="92"/>
      <c r="I121" s="92"/>
      <c r="J121" s="92"/>
      <c r="K121" s="92"/>
      <c r="L121" s="95">
        <f>IF(Sheet1!D$195,SUM(D121:K121),NA())</f>
        <v>0</v>
      </c>
      <c r="M121" s="94" t="e">
        <f>IF(Sheet1!D$195,SUM(D202:K202),NA())</f>
        <v>#VALUE!</v>
      </c>
    </row>
    <row r="122" spans="1:13" ht="13.2" x14ac:dyDescent="0.25">
      <c r="A122" s="147" t="str">
        <f>IF(Sheet1!D$195,IF((A121&gt;=(Sheet1!D$148+$A$110)-1)," ",A121+1),NA())</f>
        <v xml:space="preserve"> </v>
      </c>
      <c r="B122" s="147" t="str">
        <f>IF(Sheet1!D$195,IF((B121&gt;=(Sheet1!D$148+$B$110)-1)," ",B121+1),NA())</f>
        <v xml:space="preserve"> </v>
      </c>
      <c r="C122" s="146" t="str">
        <f t="shared" si="4"/>
        <v xml:space="preserve"> </v>
      </c>
      <c r="D122" s="92"/>
      <c r="E122" s="92"/>
      <c r="F122" s="92"/>
      <c r="G122" s="92"/>
      <c r="H122" s="92"/>
      <c r="I122" s="92"/>
      <c r="J122" s="92"/>
      <c r="K122" s="92"/>
      <c r="L122" s="95">
        <f>IF(Sheet1!D$195,SUM(D122:K122),NA())</f>
        <v>0</v>
      </c>
      <c r="M122" s="94" t="e">
        <f>IF(Sheet1!D$195,SUM(D203:K203),NA())</f>
        <v>#VALUE!</v>
      </c>
    </row>
    <row r="123" spans="1:13" ht="13.2" x14ac:dyDescent="0.25">
      <c r="A123" s="147" t="str">
        <f>IF(Sheet1!D$195,IF((A122&gt;=(Sheet1!D$148+$A$110)-1)," ",A122+1),NA())</f>
        <v xml:space="preserve"> </v>
      </c>
      <c r="B123" s="147" t="str">
        <f>IF(Sheet1!D$195,IF((B122&gt;=(Sheet1!D$148+$B$110)-1)," ",B122+1),NA())</f>
        <v xml:space="preserve"> </v>
      </c>
      <c r="C123" s="146" t="str">
        <f t="shared" si="4"/>
        <v xml:space="preserve"> </v>
      </c>
      <c r="D123" s="92"/>
      <c r="E123" s="92"/>
      <c r="F123" s="92"/>
      <c r="G123" s="92"/>
      <c r="H123" s="92"/>
      <c r="I123" s="92"/>
      <c r="J123" s="92"/>
      <c r="K123" s="92"/>
      <c r="L123" s="95">
        <f>IF(Sheet1!D$195,SUM(D123:K123),NA())</f>
        <v>0</v>
      </c>
      <c r="M123" s="94" t="e">
        <f>IF(Sheet1!D$195,SUM(D204:K204),NA())</f>
        <v>#VALUE!</v>
      </c>
    </row>
    <row r="124" spans="1:13" ht="13.2" x14ac:dyDescent="0.25">
      <c r="A124" s="147" t="str">
        <f>IF(Sheet1!D$195,IF((A123&gt;=(Sheet1!D$148+$A$110)-1)," ",A123+1),NA())</f>
        <v xml:space="preserve"> </v>
      </c>
      <c r="B124" s="147" t="str">
        <f>IF(Sheet1!D$195,IF((B123&gt;=(Sheet1!D$148+$B$110)-1)," ",B123+1),NA())</f>
        <v xml:space="preserve"> </v>
      </c>
      <c r="C124" s="146" t="str">
        <f t="shared" si="4"/>
        <v xml:space="preserve"> </v>
      </c>
      <c r="D124" s="92"/>
      <c r="E124" s="92"/>
      <c r="F124" s="92"/>
      <c r="G124" s="92"/>
      <c r="H124" s="92"/>
      <c r="I124" s="92"/>
      <c r="J124" s="92"/>
      <c r="K124" s="92"/>
      <c r="L124" s="95">
        <f>IF(Sheet1!D$195,SUM(D124:K124),NA())</f>
        <v>0</v>
      </c>
      <c r="M124" s="94" t="e">
        <f>IF(Sheet1!D$195,SUM(D205:K205),NA())</f>
        <v>#VALUE!</v>
      </c>
    </row>
    <row r="125" spans="1:13" ht="13.2" x14ac:dyDescent="0.25">
      <c r="A125" s="147" t="str">
        <f>IF(Sheet1!D$195,IF((A124&gt;=(Sheet1!D$148+$A$110)-1)," ",A124+1),NA())</f>
        <v xml:space="preserve"> </v>
      </c>
      <c r="B125" s="147" t="str">
        <f>IF(Sheet1!D$195,IF((B124&gt;=(Sheet1!D$148+$B$110)-1)," ",B124+1),NA())</f>
        <v xml:space="preserve"> </v>
      </c>
      <c r="C125" s="146" t="str">
        <f t="shared" si="4"/>
        <v xml:space="preserve"> </v>
      </c>
      <c r="D125" s="92"/>
      <c r="E125" s="92"/>
      <c r="F125" s="92"/>
      <c r="G125" s="92"/>
      <c r="H125" s="92"/>
      <c r="I125" s="92"/>
      <c r="J125" s="92"/>
      <c r="K125" s="92"/>
      <c r="L125" s="95">
        <f>IF(Sheet1!D$195,SUM(D125:K125),NA())</f>
        <v>0</v>
      </c>
      <c r="M125" s="94" t="e">
        <f>IF(Sheet1!D$195,SUM(D206:K206),NA())</f>
        <v>#VALUE!</v>
      </c>
    </row>
    <row r="126" spans="1:13" ht="13.2" x14ac:dyDescent="0.25">
      <c r="A126" s="147" t="str">
        <f>IF(Sheet1!D$195,IF((A125&gt;=(Sheet1!D$148+$A$110)-1)," ",A125+1),NA())</f>
        <v xml:space="preserve"> </v>
      </c>
      <c r="B126" s="147" t="str">
        <f>IF(Sheet1!D$195,IF((B125&gt;=(Sheet1!D$148+$B$110)-1)," ",B125+1),NA())</f>
        <v xml:space="preserve"> </v>
      </c>
      <c r="C126" s="146" t="str">
        <f t="shared" si="4"/>
        <v xml:space="preserve"> </v>
      </c>
      <c r="D126" s="92"/>
      <c r="E126" s="92"/>
      <c r="F126" s="92"/>
      <c r="G126" s="92"/>
      <c r="H126" s="92"/>
      <c r="I126" s="92"/>
      <c r="J126" s="92"/>
      <c r="K126" s="92"/>
      <c r="L126" s="95">
        <f>IF(Sheet1!D$195,SUM(D126:K126),NA())</f>
        <v>0</v>
      </c>
      <c r="M126" s="94" t="e">
        <f>IF(Sheet1!D$195,SUM(D207:K207),NA())</f>
        <v>#VALUE!</v>
      </c>
    </row>
    <row r="127" spans="1:13" ht="13.2" x14ac:dyDescent="0.25">
      <c r="A127" s="147" t="str">
        <f>IF(Sheet1!D$195,IF((A126&gt;=(Sheet1!D$148+$A$110)-1)," ",A126+1),NA())</f>
        <v xml:space="preserve"> </v>
      </c>
      <c r="B127" s="147" t="str">
        <f>IF(Sheet1!D$195,IF((B126&gt;=(Sheet1!D$148+$B$110)-1)," ",B126+1),NA())</f>
        <v xml:space="preserve"> </v>
      </c>
      <c r="C127" s="146" t="str">
        <f t="shared" si="4"/>
        <v xml:space="preserve"> </v>
      </c>
      <c r="D127" s="92"/>
      <c r="E127" s="92"/>
      <c r="F127" s="92"/>
      <c r="G127" s="92"/>
      <c r="H127" s="92"/>
      <c r="I127" s="92"/>
      <c r="J127" s="92"/>
      <c r="K127" s="92"/>
      <c r="L127" s="95">
        <f>IF(Sheet1!D$195,SUM(D127:K127),NA())</f>
        <v>0</v>
      </c>
      <c r="M127" s="94" t="e">
        <f>IF(Sheet1!D$195,SUM(D208:K208),NA())</f>
        <v>#VALUE!</v>
      </c>
    </row>
    <row r="128" spans="1:13" ht="13.2" x14ac:dyDescent="0.25">
      <c r="A128" s="147" t="str">
        <f>IF(Sheet1!D$195,IF((A127&gt;=(Sheet1!D$148+$A$110)-1)," ",A127+1),NA())</f>
        <v xml:space="preserve"> </v>
      </c>
      <c r="B128" s="147" t="str">
        <f>IF(Sheet1!D$195,IF((B127&gt;=(Sheet1!D$148+$B$110)-1)," ",B127+1),NA())</f>
        <v xml:space="preserve"> </v>
      </c>
      <c r="C128" s="146" t="str">
        <f t="shared" si="4"/>
        <v xml:space="preserve"> </v>
      </c>
      <c r="D128" s="92"/>
      <c r="E128" s="92"/>
      <c r="F128" s="92"/>
      <c r="G128" s="92"/>
      <c r="H128" s="92"/>
      <c r="I128" s="92"/>
      <c r="J128" s="92"/>
      <c r="K128" s="92"/>
      <c r="L128" s="95">
        <f>IF(Sheet1!D$195,SUM(D128:K128),NA())</f>
        <v>0</v>
      </c>
      <c r="M128" s="94" t="e">
        <f>IF(Sheet1!D$195,SUM(D209:K209),NA())</f>
        <v>#VALUE!</v>
      </c>
    </row>
    <row r="129" spans="1:13" ht="13.2" x14ac:dyDescent="0.25">
      <c r="A129" s="147" t="str">
        <f>IF(Sheet1!D$195,IF((A128&gt;=(Sheet1!D$148+$A$110)-1)," ",A128+1),NA())</f>
        <v xml:space="preserve"> </v>
      </c>
      <c r="B129" s="147" t="str">
        <f>IF(Sheet1!D$195,IF((B128&gt;=(Sheet1!D$148+$B$110)-1)," ",B128+1),NA())</f>
        <v xml:space="preserve"> </v>
      </c>
      <c r="C129" s="146" t="str">
        <f t="shared" si="4"/>
        <v xml:space="preserve"> </v>
      </c>
      <c r="D129" s="92"/>
      <c r="E129" s="92"/>
      <c r="F129" s="92"/>
      <c r="G129" s="92"/>
      <c r="H129" s="92"/>
      <c r="I129" s="92"/>
      <c r="J129" s="92"/>
      <c r="K129" s="92"/>
      <c r="L129" s="95">
        <f>IF(Sheet1!D$195,SUM(D129:K129),NA())</f>
        <v>0</v>
      </c>
      <c r="M129" s="94" t="e">
        <f>IF(Sheet1!D$195,SUM(D210:K210),NA())</f>
        <v>#VALUE!</v>
      </c>
    </row>
    <row r="130" spans="1:13" ht="13.2" x14ac:dyDescent="0.25">
      <c r="A130" s="147" t="str">
        <f>IF(Sheet1!D$195,IF((A129&gt;=(Sheet1!D$148+$A$110)-1)," ",A129+1),NA())</f>
        <v xml:space="preserve"> </v>
      </c>
      <c r="B130" s="147" t="str">
        <f>IF(Sheet1!D$195,IF((B129&gt;=(Sheet1!D$148+$B$110)-1)," ",B129+1),NA())</f>
        <v xml:space="preserve"> </v>
      </c>
      <c r="C130" s="146" t="str">
        <f t="shared" si="4"/>
        <v xml:space="preserve"> </v>
      </c>
      <c r="D130" s="92"/>
      <c r="E130" s="92"/>
      <c r="F130" s="92"/>
      <c r="G130" s="92"/>
      <c r="H130" s="92"/>
      <c r="I130" s="92"/>
      <c r="J130" s="92"/>
      <c r="K130" s="92"/>
      <c r="L130" s="95">
        <f>IF(Sheet1!D$195,SUM(D130:K130),NA())</f>
        <v>0</v>
      </c>
      <c r="M130" s="94" t="e">
        <f>IF(Sheet1!D$195,SUM(D211:K211),NA())</f>
        <v>#VALUE!</v>
      </c>
    </row>
    <row r="131" spans="1:13" ht="13.2" x14ac:dyDescent="0.25">
      <c r="A131" s="147" t="str">
        <f>IF(Sheet1!D$195,IF((A130&gt;=(Sheet1!D$148+$A$110)-1)," ",A130+1),NA())</f>
        <v xml:space="preserve"> </v>
      </c>
      <c r="B131" s="147" t="str">
        <f>IF(Sheet1!D$195,IF((B130&gt;=(Sheet1!D$148+$B$110)-1)," ",B130+1),NA())</f>
        <v xml:space="preserve"> </v>
      </c>
      <c r="C131" s="146" t="str">
        <f t="shared" si="4"/>
        <v xml:space="preserve"> </v>
      </c>
      <c r="D131" s="92"/>
      <c r="E131" s="92"/>
      <c r="F131" s="92"/>
      <c r="G131" s="92"/>
      <c r="H131" s="92"/>
      <c r="I131" s="92"/>
      <c r="J131" s="92"/>
      <c r="K131" s="92"/>
      <c r="L131" s="95">
        <f>IF(Sheet1!D$195,SUM(D131:K131),NA())</f>
        <v>0</v>
      </c>
      <c r="M131" s="94" t="e">
        <f>IF(Sheet1!D$195,SUM(D212:K212),NA())</f>
        <v>#VALUE!</v>
      </c>
    </row>
    <row r="132" spans="1:13" ht="13.2" x14ac:dyDescent="0.25">
      <c r="A132" s="147" t="str">
        <f>IF(Sheet1!D$195,IF((A131&gt;=(Sheet1!D$148+$A$110)-1)," ",A131+1),NA())</f>
        <v xml:space="preserve"> </v>
      </c>
      <c r="B132" s="147" t="str">
        <f>IF(Sheet1!D$195,IF((B131&gt;=(Sheet1!D$148+$B$110)-1)," ",B131+1),NA())</f>
        <v xml:space="preserve"> </v>
      </c>
      <c r="C132" s="146" t="str">
        <f t="shared" si="4"/>
        <v xml:space="preserve"> </v>
      </c>
      <c r="D132" s="92"/>
      <c r="E132" s="92"/>
      <c r="F132" s="92"/>
      <c r="G132" s="92"/>
      <c r="H132" s="92"/>
      <c r="I132" s="92"/>
      <c r="J132" s="92"/>
      <c r="K132" s="92"/>
      <c r="L132" s="95">
        <f>IF(Sheet1!D$195,SUM(D132:K132),NA())</f>
        <v>0</v>
      </c>
      <c r="M132" s="94" t="e">
        <f>IF(Sheet1!D$195,SUM(D213:K213),NA())</f>
        <v>#VALUE!</v>
      </c>
    </row>
    <row r="133" spans="1:13" ht="13.2" x14ac:dyDescent="0.25">
      <c r="A133" s="147" t="str">
        <f>IF(Sheet1!D$195,IF((A132&gt;=(Sheet1!D$148+$A$110)-1)," ",A132+1),NA())</f>
        <v xml:space="preserve"> </v>
      </c>
      <c r="B133" s="147" t="str">
        <f>IF(Sheet1!D$195,IF((B132&gt;=(Sheet1!D$148+$B$110)-1)," ",B132+1),NA())</f>
        <v xml:space="preserve"> </v>
      </c>
      <c r="C133" s="146" t="str">
        <f t="shared" si="4"/>
        <v xml:space="preserve"> </v>
      </c>
      <c r="D133" s="92"/>
      <c r="E133" s="92"/>
      <c r="F133" s="92"/>
      <c r="G133" s="92"/>
      <c r="H133" s="92"/>
      <c r="I133" s="92"/>
      <c r="J133" s="92"/>
      <c r="K133" s="92"/>
      <c r="L133" s="95">
        <f>IF(Sheet1!D$195,SUM(D133:K133),NA())</f>
        <v>0</v>
      </c>
      <c r="M133" s="94" t="e">
        <f>IF(Sheet1!D$195,SUM(D214:K214),NA())</f>
        <v>#VALUE!</v>
      </c>
    </row>
    <row r="134" spans="1:13" ht="13.2" x14ac:dyDescent="0.25">
      <c r="A134" s="147" t="str">
        <f>IF(Sheet1!D$195,IF((A133&gt;=(Sheet1!D$148+$A$110)-1)," ",A133+1),NA())</f>
        <v xml:space="preserve"> </v>
      </c>
      <c r="B134" s="147" t="str">
        <f>IF(Sheet1!D$195,IF((B133&gt;=(Sheet1!D$148+$B$110)-1)," ",B133+1),NA())</f>
        <v xml:space="preserve"> </v>
      </c>
      <c r="C134" s="146" t="str">
        <f t="shared" si="4"/>
        <v xml:space="preserve"> </v>
      </c>
      <c r="D134" s="92"/>
      <c r="E134" s="92"/>
      <c r="F134" s="92"/>
      <c r="G134" s="92"/>
      <c r="H134" s="92"/>
      <c r="I134" s="92"/>
      <c r="J134" s="92"/>
      <c r="K134" s="92"/>
      <c r="L134" s="95">
        <f>IF(Sheet1!D$195,SUM(D134:K134),NA())</f>
        <v>0</v>
      </c>
      <c r="M134" s="94" t="e">
        <f>IF(Sheet1!D$195,SUM(D215:K215),NA())</f>
        <v>#VALUE!</v>
      </c>
    </row>
    <row r="135" spans="1:13" ht="13.2" x14ac:dyDescent="0.25">
      <c r="A135" s="147" t="str">
        <f>IF(Sheet1!D$195,IF((A134&gt;=(Sheet1!D$148+$A$110)-1)," ",A134+1),NA())</f>
        <v xml:space="preserve"> </v>
      </c>
      <c r="B135" s="147" t="str">
        <f>IF(Sheet1!D$195,IF((B134&gt;=(Sheet1!D$148+$B$110)-1)," ",B134+1),NA())</f>
        <v xml:space="preserve"> </v>
      </c>
      <c r="C135" s="146" t="str">
        <f t="shared" si="4"/>
        <v xml:space="preserve"> </v>
      </c>
      <c r="D135" s="92"/>
      <c r="E135" s="92"/>
      <c r="F135" s="92"/>
      <c r="G135" s="92"/>
      <c r="H135" s="92"/>
      <c r="I135" s="92"/>
      <c r="J135" s="92"/>
      <c r="K135" s="92"/>
      <c r="L135" s="95">
        <f>IF(Sheet1!D$195,SUM(D135:K135),NA())</f>
        <v>0</v>
      </c>
      <c r="M135" s="94" t="e">
        <f>IF(Sheet1!D$195,SUM(D216:K216),NA())</f>
        <v>#VALUE!</v>
      </c>
    </row>
    <row r="136" spans="1:13" ht="13.2" x14ac:dyDescent="0.25">
      <c r="A136" s="147" t="str">
        <f>IF(Sheet1!D$195,IF((A135&gt;=(Sheet1!D$148+$A$110)-1)," ",A135+1),NA())</f>
        <v xml:space="preserve"> </v>
      </c>
      <c r="B136" s="147" t="str">
        <f>IF(Sheet1!D$195,IF((B135&gt;=(Sheet1!D$148+$B$110)-1)," ",B135+1),NA())</f>
        <v xml:space="preserve"> </v>
      </c>
      <c r="C136" s="146" t="str">
        <f t="shared" si="4"/>
        <v xml:space="preserve"> </v>
      </c>
      <c r="D136" s="92"/>
      <c r="E136" s="92"/>
      <c r="F136" s="92"/>
      <c r="G136" s="92"/>
      <c r="H136" s="92"/>
      <c r="I136" s="92"/>
      <c r="J136" s="92"/>
      <c r="K136" s="92"/>
      <c r="L136" s="95">
        <f>IF(Sheet1!D$195,SUM(D136:K136),NA())</f>
        <v>0</v>
      </c>
      <c r="M136" s="94" t="e">
        <f>IF(Sheet1!D$195,SUM(D217:K217),NA())</f>
        <v>#VALUE!</v>
      </c>
    </row>
    <row r="137" spans="1:13" ht="13.2" x14ac:dyDescent="0.25">
      <c r="A137" s="147" t="str">
        <f>IF(Sheet1!D$195,IF((A136&gt;=(Sheet1!D$148+$A$110)-1)," ",A136+1),NA())</f>
        <v xml:space="preserve"> </v>
      </c>
      <c r="B137" s="147" t="str">
        <f>IF(Sheet1!D$195,IF((B136&gt;=(Sheet1!D$148+$B$110)-1)," ",B136+1),NA())</f>
        <v xml:space="preserve"> </v>
      </c>
      <c r="C137" s="146" t="str">
        <f t="shared" si="4"/>
        <v xml:space="preserve"> </v>
      </c>
      <c r="D137" s="92"/>
      <c r="E137" s="92"/>
      <c r="F137" s="92"/>
      <c r="G137" s="92"/>
      <c r="H137" s="92"/>
      <c r="I137" s="92"/>
      <c r="J137" s="92"/>
      <c r="K137" s="92"/>
      <c r="L137" s="95">
        <f>IF(Sheet1!D$195,SUM(D137:K137),NA())</f>
        <v>0</v>
      </c>
      <c r="M137" s="94" t="e">
        <f>IF(Sheet1!D$195,SUM(D218:K218),NA())</f>
        <v>#VALUE!</v>
      </c>
    </row>
    <row r="138" spans="1:13" ht="13.2" x14ac:dyDescent="0.25">
      <c r="A138" s="147" t="str">
        <f>IF(Sheet1!D$195,IF((A137&gt;=(Sheet1!D$148+$A$110)-1)," ",A137+1),NA())</f>
        <v xml:space="preserve"> </v>
      </c>
      <c r="B138" s="147" t="str">
        <f>IF(Sheet1!D$195,IF((B137&gt;=(Sheet1!D$148+$B$110)-1)," ",B137+1),NA())</f>
        <v xml:space="preserve"> </v>
      </c>
      <c r="C138" s="146" t="str">
        <f t="shared" si="4"/>
        <v xml:space="preserve"> </v>
      </c>
      <c r="D138" s="92"/>
      <c r="E138" s="92"/>
      <c r="F138" s="92"/>
      <c r="G138" s="92"/>
      <c r="H138" s="92"/>
      <c r="I138" s="92"/>
      <c r="J138" s="92"/>
      <c r="K138" s="92"/>
      <c r="L138" s="95">
        <f>IF(Sheet1!D$195,SUM(D138:K138),NA())</f>
        <v>0</v>
      </c>
      <c r="M138" s="94" t="e">
        <f>IF(Sheet1!D$195,SUM(D219:K219),NA())</f>
        <v>#VALUE!</v>
      </c>
    </row>
    <row r="139" spans="1:13" ht="13.2" x14ac:dyDescent="0.25">
      <c r="A139" s="147" t="str">
        <f>IF(Sheet1!D$195,IF((A138&gt;=(Sheet1!D$148+$A$110)-1)," ",A138+1),NA())</f>
        <v xml:space="preserve"> </v>
      </c>
      <c r="B139" s="147" t="str">
        <f>IF(Sheet1!D$195,IF((B138&gt;=(Sheet1!D$148+$B$110)-1)," ",B138+1),NA())</f>
        <v xml:space="preserve"> </v>
      </c>
      <c r="C139" s="146" t="str">
        <f t="shared" si="4"/>
        <v xml:space="preserve"> </v>
      </c>
      <c r="D139" s="92"/>
      <c r="E139" s="92"/>
      <c r="F139" s="92"/>
      <c r="G139" s="92"/>
      <c r="H139" s="92"/>
      <c r="I139" s="92"/>
      <c r="J139" s="92"/>
      <c r="K139" s="92"/>
      <c r="L139" s="95">
        <f>IF(Sheet1!D$195,SUM(D139:K139),NA())</f>
        <v>0</v>
      </c>
      <c r="M139" s="94" t="e">
        <f>IF(Sheet1!D$195,SUM(D220:K220),NA())</f>
        <v>#VALUE!</v>
      </c>
    </row>
    <row r="140" spans="1:13" ht="13.2" x14ac:dyDescent="0.25">
      <c r="A140" s="147" t="str">
        <f>IF(Sheet1!D$195,IF((A139&gt;=(Sheet1!D$148+$A$110)-1)," ",A139+1),NA())</f>
        <v xml:space="preserve"> </v>
      </c>
      <c r="B140" s="147" t="str">
        <f>IF(Sheet1!D$195,IF((B139&gt;=(Sheet1!D$148+$B$110)-1)," ",B139+1),NA())</f>
        <v xml:space="preserve"> </v>
      </c>
      <c r="C140" s="146" t="str">
        <f t="shared" si="4"/>
        <v xml:space="preserve"> </v>
      </c>
      <c r="D140" s="92"/>
      <c r="E140" s="92"/>
      <c r="F140" s="92"/>
      <c r="G140" s="92"/>
      <c r="H140" s="92"/>
      <c r="I140" s="92"/>
      <c r="J140" s="92"/>
      <c r="K140" s="92"/>
      <c r="L140" s="95">
        <f>IF(Sheet1!D$195,SUM(D140:K140),NA())</f>
        <v>0</v>
      </c>
      <c r="M140" s="94" t="e">
        <f>IF(Sheet1!D$195,SUM(D221:K221),NA())</f>
        <v>#VALUE!</v>
      </c>
    </row>
    <row r="141" spans="1:13" ht="13.2" x14ac:dyDescent="0.25">
      <c r="A141" s="147" t="str">
        <f>IF(Sheet1!D$195,IF((A140&gt;=(Sheet1!D$148+$A$110)-1)," ",A140+1),NA())</f>
        <v xml:space="preserve"> </v>
      </c>
      <c r="B141" s="147" t="str">
        <f>IF(Sheet1!D$195,IF((B140&gt;=(Sheet1!D$148+$B$110)-1)," ",B140+1),NA())</f>
        <v xml:space="preserve"> </v>
      </c>
      <c r="C141" s="146" t="str">
        <f t="shared" si="4"/>
        <v xml:space="preserve"> </v>
      </c>
      <c r="D141" s="92"/>
      <c r="E141" s="92"/>
      <c r="F141" s="92"/>
      <c r="G141" s="92"/>
      <c r="H141" s="92"/>
      <c r="I141" s="92"/>
      <c r="J141" s="92"/>
      <c r="K141" s="92"/>
      <c r="L141" s="95">
        <f>IF(Sheet1!D$195,SUM(D141:K141),NA())</f>
        <v>0</v>
      </c>
      <c r="M141" s="94" t="e">
        <f>IF(Sheet1!D$195,SUM(D222:K222),NA())</f>
        <v>#VALUE!</v>
      </c>
    </row>
    <row r="142" spans="1:13" ht="13.2" x14ac:dyDescent="0.25">
      <c r="A142" s="147" t="str">
        <f>IF(Sheet1!D$195,IF((A141&gt;=(Sheet1!D$148+$A$110)-1)," ",A141+1),NA())</f>
        <v xml:space="preserve"> </v>
      </c>
      <c r="B142" s="147" t="str">
        <f>IF(Sheet1!D$195,IF((B141&gt;=(Sheet1!D$148+$B$110)-1)," ",B141+1),NA())</f>
        <v xml:space="preserve"> </v>
      </c>
      <c r="C142" s="146" t="str">
        <f t="shared" si="4"/>
        <v xml:space="preserve"> </v>
      </c>
      <c r="D142" s="92"/>
      <c r="E142" s="92"/>
      <c r="F142" s="92"/>
      <c r="G142" s="92"/>
      <c r="H142" s="92"/>
      <c r="I142" s="92"/>
      <c r="J142" s="92"/>
      <c r="K142" s="92"/>
      <c r="L142" s="95">
        <f>IF(Sheet1!D$195,SUM(D142:K142),NA())</f>
        <v>0</v>
      </c>
      <c r="M142" s="94" t="e">
        <f>IF(Sheet1!D$195,SUM(D223:K223),NA())</f>
        <v>#VALUE!</v>
      </c>
    </row>
    <row r="143" spans="1:13" ht="13.2" x14ac:dyDescent="0.25">
      <c r="A143" s="147" t="str">
        <f>IF(Sheet1!D$195,IF((A142&gt;=(Sheet1!D$148+$A$110)-1)," ",A142+1),NA())</f>
        <v xml:space="preserve"> </v>
      </c>
      <c r="B143" s="147" t="str">
        <f>IF(Sheet1!D$195,IF((B142&gt;=(Sheet1!D$148+$B$110)-1)," ",B142+1),NA())</f>
        <v xml:space="preserve"> </v>
      </c>
      <c r="C143" s="146" t="str">
        <f t="shared" si="4"/>
        <v xml:space="preserve"> </v>
      </c>
      <c r="D143" s="92"/>
      <c r="E143" s="92"/>
      <c r="F143" s="92"/>
      <c r="G143" s="92"/>
      <c r="H143" s="92"/>
      <c r="I143" s="92"/>
      <c r="J143" s="92"/>
      <c r="K143" s="92"/>
      <c r="L143" s="95">
        <f>IF(Sheet1!D$195,SUM(D143:K143),NA())</f>
        <v>0</v>
      </c>
      <c r="M143" s="94" t="e">
        <f>IF(Sheet1!D$195,SUM(D224:K224),NA())</f>
        <v>#VALUE!</v>
      </c>
    </row>
    <row r="144" spans="1:13" ht="13.2" x14ac:dyDescent="0.25">
      <c r="A144" s="147" t="str">
        <f>IF(Sheet1!D$195,IF((A143&gt;=(Sheet1!D$148+$A$110)-1)," ",A143+1),NA())</f>
        <v xml:space="preserve"> </v>
      </c>
      <c r="B144" s="147" t="str">
        <f>IF(Sheet1!D$195,IF((B143&gt;=(Sheet1!D$148+$B$110)-1)," ",B143+1),NA())</f>
        <v xml:space="preserve"> </v>
      </c>
      <c r="C144" s="146" t="str">
        <f t="shared" si="4"/>
        <v xml:space="preserve"> </v>
      </c>
      <c r="D144" s="92"/>
      <c r="E144" s="92"/>
      <c r="F144" s="92"/>
      <c r="G144" s="92"/>
      <c r="H144" s="92"/>
      <c r="I144" s="92"/>
      <c r="J144" s="92"/>
      <c r="K144" s="92"/>
      <c r="L144" s="95">
        <f>IF(Sheet1!D$195,SUM(D144:K144),NA())</f>
        <v>0</v>
      </c>
      <c r="M144" s="94" t="e">
        <f>IF(Sheet1!D$195,SUM(D225:K225),NA())</f>
        <v>#VALUE!</v>
      </c>
    </row>
    <row r="145" spans="1:13" ht="13.2" x14ac:dyDescent="0.25">
      <c r="A145" s="147" t="str">
        <f>IF(Sheet1!D$195,IF((A144&gt;=(Sheet1!D$148+$A$110)-1)," ",A144+1),NA())</f>
        <v xml:space="preserve"> </v>
      </c>
      <c r="B145" s="147" t="str">
        <f>IF(Sheet1!D$195,IF((B144&gt;=(Sheet1!D$148+$B$110)-1)," ",B144+1),NA())</f>
        <v xml:space="preserve"> </v>
      </c>
      <c r="C145" s="146" t="str">
        <f t="shared" si="4"/>
        <v xml:space="preserve"> </v>
      </c>
      <c r="D145" s="92"/>
      <c r="E145" s="92"/>
      <c r="F145" s="92"/>
      <c r="G145" s="92"/>
      <c r="H145" s="92"/>
      <c r="I145" s="92"/>
      <c r="J145" s="92"/>
      <c r="K145" s="92"/>
      <c r="L145" s="95">
        <f>IF(Sheet1!D$195,SUM(D145:K145),NA())</f>
        <v>0</v>
      </c>
      <c r="M145" s="94" t="e">
        <f>IF(Sheet1!D$195,SUM(D226:K226),NA())</f>
        <v>#VALUE!</v>
      </c>
    </row>
    <row r="146" spans="1:13" ht="13.2" x14ac:dyDescent="0.25">
      <c r="A146" s="147" t="str">
        <f>IF(Sheet1!D$195,IF((A145&gt;=(Sheet1!D$148+$A$110)-1)," ",A145+1),NA())</f>
        <v xml:space="preserve"> </v>
      </c>
      <c r="B146" s="147" t="str">
        <f>IF(Sheet1!D$195,IF((B145&gt;=(Sheet1!D$148+$B$110)-1)," ",B145+1),NA())</f>
        <v xml:space="preserve"> </v>
      </c>
      <c r="C146" s="146" t="str">
        <f t="shared" si="4"/>
        <v xml:space="preserve"> </v>
      </c>
      <c r="D146" s="92"/>
      <c r="E146" s="92"/>
      <c r="F146" s="92"/>
      <c r="G146" s="92"/>
      <c r="H146" s="92"/>
      <c r="I146" s="92"/>
      <c r="J146" s="92"/>
      <c r="K146" s="92"/>
      <c r="L146" s="95">
        <f>IF(Sheet1!D$195,SUM(D146:K146),NA())</f>
        <v>0</v>
      </c>
      <c r="M146" s="94" t="e">
        <f>IF(Sheet1!D$195,SUM(D227:K227),NA())</f>
        <v>#VALUE!</v>
      </c>
    </row>
    <row r="147" spans="1:13" ht="13.2" x14ac:dyDescent="0.25">
      <c r="A147" s="147" t="str">
        <f>IF(Sheet1!D$195,IF((A146&gt;=(Sheet1!D$148+$A$110)-1)," ",A146+1),NA())</f>
        <v xml:space="preserve"> </v>
      </c>
      <c r="B147" s="147" t="str">
        <f>IF(Sheet1!D$195,IF((B146&gt;=(Sheet1!D$148+$B$110)-1)," ",B146+1),NA())</f>
        <v xml:space="preserve"> </v>
      </c>
      <c r="C147" s="146" t="str">
        <f t="shared" si="4"/>
        <v xml:space="preserve"> </v>
      </c>
      <c r="D147" s="92"/>
      <c r="E147" s="92"/>
      <c r="F147" s="92"/>
      <c r="G147" s="92"/>
      <c r="H147" s="92"/>
      <c r="I147" s="92"/>
      <c r="J147" s="92"/>
      <c r="K147" s="92"/>
      <c r="L147" s="95">
        <f>IF(Sheet1!D$195,SUM(D147:K147),NA())</f>
        <v>0</v>
      </c>
      <c r="M147" s="94" t="e">
        <f>IF(Sheet1!D$195,SUM(D228:K228),NA())</f>
        <v>#VALUE!</v>
      </c>
    </row>
    <row r="148" spans="1:13" ht="13.2" x14ac:dyDescent="0.25">
      <c r="A148" s="147" t="str">
        <f>IF(Sheet1!D$195,IF((A147&gt;=(Sheet1!D$148+$A$110)-1)," ",A147+1),NA())</f>
        <v xml:space="preserve"> </v>
      </c>
      <c r="B148" s="147" t="str">
        <f>IF(Sheet1!D$195,IF((B147&gt;=(Sheet1!D$148+$B$110)-1)," ",B147+1),NA())</f>
        <v xml:space="preserve"> </v>
      </c>
      <c r="C148" s="146" t="str">
        <f t="shared" si="4"/>
        <v xml:space="preserve"> </v>
      </c>
      <c r="D148" s="92"/>
      <c r="E148" s="92"/>
      <c r="F148" s="92"/>
      <c r="G148" s="92"/>
      <c r="H148" s="92"/>
      <c r="I148" s="92"/>
      <c r="J148" s="92"/>
      <c r="K148" s="92"/>
      <c r="L148" s="95">
        <f>IF(Sheet1!D$195,SUM(D148:K148),NA())</f>
        <v>0</v>
      </c>
      <c r="M148" s="94" t="e">
        <f>IF(Sheet1!D$195,SUM(D229:K229),NA())</f>
        <v>#VALUE!</v>
      </c>
    </row>
    <row r="149" spans="1:13" ht="13.2" x14ac:dyDescent="0.25">
      <c r="A149" s="147" t="str">
        <f>IF(Sheet1!D$195,IF((A148&gt;=(Sheet1!D$148+$A$110)-1)," ",A148+1),NA())</f>
        <v xml:space="preserve"> </v>
      </c>
      <c r="B149" s="147" t="str">
        <f>IF(Sheet1!D$195,IF((B148&gt;=(Sheet1!D$148+$B$110)-1)," ",B148+1),NA())</f>
        <v xml:space="preserve"> </v>
      </c>
      <c r="C149" s="146" t="str">
        <f t="shared" si="4"/>
        <v xml:space="preserve"> </v>
      </c>
      <c r="D149" s="92"/>
      <c r="E149" s="92"/>
      <c r="F149" s="92"/>
      <c r="G149" s="92"/>
      <c r="H149" s="92"/>
      <c r="I149" s="92"/>
      <c r="J149" s="92"/>
      <c r="K149" s="92"/>
      <c r="L149" s="95">
        <f>IF(Sheet1!D$195,SUM(D149:K149),NA())</f>
        <v>0</v>
      </c>
      <c r="M149" s="94" t="e">
        <f>IF(Sheet1!D$195,SUM(D230:K230),NA())</f>
        <v>#VALUE!</v>
      </c>
    </row>
    <row r="150" spans="1:13" ht="13.2" x14ac:dyDescent="0.25">
      <c r="A150" s="147" t="str">
        <f>IF(Sheet1!D$195,IF((A149&gt;=(Sheet1!D$148+$A$110)-1)," ",A149+1),NA())</f>
        <v xml:space="preserve"> </v>
      </c>
      <c r="B150" s="147" t="str">
        <f>IF(Sheet1!D$195,IF((B149&gt;=(Sheet1!D$148+$B$110)-1)," ",B149+1),NA())</f>
        <v xml:space="preserve"> </v>
      </c>
      <c r="C150" s="146" t="str">
        <f t="shared" si="4"/>
        <v xml:space="preserve"> </v>
      </c>
      <c r="D150" s="92"/>
      <c r="E150" s="92"/>
      <c r="F150" s="92"/>
      <c r="G150" s="92"/>
      <c r="H150" s="92"/>
      <c r="I150" s="92"/>
      <c r="J150" s="92"/>
      <c r="K150" s="92"/>
      <c r="L150" s="95">
        <f>IF(Sheet1!D$195,SUM(D150:K150),NA())</f>
        <v>0</v>
      </c>
      <c r="M150" s="94" t="e">
        <f>IF(Sheet1!D$195,SUM(D231:K231),NA())</f>
        <v>#VALUE!</v>
      </c>
    </row>
    <row r="151" spans="1:13" ht="13.2" x14ac:dyDescent="0.25">
      <c r="A151" s="147" t="str">
        <f>IF(Sheet1!D$195,IF((A150&gt;=(Sheet1!D$148+$A$110)-1)," ",A150+1),NA())</f>
        <v xml:space="preserve"> </v>
      </c>
      <c r="B151" s="147" t="str">
        <f>IF(Sheet1!D$195,IF((B150&gt;=(Sheet1!D$148+$B$110)-1)," ",B150+1),NA())</f>
        <v xml:space="preserve"> </v>
      </c>
      <c r="C151" s="146" t="str">
        <f t="shared" si="4"/>
        <v xml:space="preserve"> </v>
      </c>
      <c r="D151" s="92"/>
      <c r="E151" s="92"/>
      <c r="F151" s="92"/>
      <c r="G151" s="92"/>
      <c r="H151" s="92"/>
      <c r="I151" s="92"/>
      <c r="J151" s="92"/>
      <c r="K151" s="92"/>
      <c r="L151" s="95">
        <f>IF(Sheet1!D$195,SUM(D151:K151),NA())</f>
        <v>0</v>
      </c>
      <c r="M151" s="94" t="e">
        <f>IF(Sheet1!D$195,SUM(D232:K232),NA())</f>
        <v>#VALUE!</v>
      </c>
    </row>
    <row r="152" spans="1:13" ht="13.2" x14ac:dyDescent="0.25">
      <c r="A152" s="147" t="str">
        <f>IF(Sheet1!D$195,IF((A151&gt;=(Sheet1!D$148+$A$110)-1)," ",A151+1),NA())</f>
        <v xml:space="preserve"> </v>
      </c>
      <c r="B152" s="147" t="str">
        <f>IF(Sheet1!D$195,IF((B151&gt;=(Sheet1!D$148+$B$110)-1)," ",B151+1),NA())</f>
        <v xml:space="preserve"> </v>
      </c>
      <c r="C152" s="146" t="str">
        <f t="shared" si="4"/>
        <v xml:space="preserve"> </v>
      </c>
      <c r="D152" s="92"/>
      <c r="E152" s="92"/>
      <c r="F152" s="92"/>
      <c r="G152" s="92"/>
      <c r="H152" s="92"/>
      <c r="I152" s="92"/>
      <c r="J152" s="92"/>
      <c r="K152" s="92"/>
      <c r="L152" s="95">
        <f>IF(Sheet1!D$195,SUM(D152:K152),NA())</f>
        <v>0</v>
      </c>
      <c r="M152" s="94" t="e">
        <f>IF(Sheet1!D$195,SUM(D233:K233),NA())</f>
        <v>#VALUE!</v>
      </c>
    </row>
    <row r="153" spans="1:13" ht="13.2" x14ac:dyDescent="0.25">
      <c r="A153" s="147" t="str">
        <f>IF(Sheet1!D$195,IF((A152&gt;=(Sheet1!D$148+$A$110)-1)," ",A152+1),NA())</f>
        <v xml:space="preserve"> </v>
      </c>
      <c r="B153" s="147" t="str">
        <f>IF(Sheet1!D$195,IF((B152&gt;=(Sheet1!D$148+$B$110)-1)," ",B152+1),NA())</f>
        <v xml:space="preserve"> </v>
      </c>
      <c r="C153" s="146" t="str">
        <f t="shared" si="4"/>
        <v xml:space="preserve"> </v>
      </c>
      <c r="D153" s="92"/>
      <c r="E153" s="92"/>
      <c r="F153" s="92"/>
      <c r="G153" s="92"/>
      <c r="H153" s="92"/>
      <c r="I153" s="92"/>
      <c r="J153" s="92"/>
      <c r="K153" s="92"/>
      <c r="L153" s="95">
        <f>IF(Sheet1!D$195,SUM(D153:K153),NA())</f>
        <v>0</v>
      </c>
      <c r="M153" s="94" t="e">
        <f>IF(Sheet1!D$195,SUM(D234:K234),NA())</f>
        <v>#VALUE!</v>
      </c>
    </row>
    <row r="154" spans="1:13" ht="13.2" x14ac:dyDescent="0.25">
      <c r="A154" s="147" t="str">
        <f>IF(Sheet1!D$195,IF((A153&gt;=(Sheet1!D$148+$A$110)-1)," ",A153+1),NA())</f>
        <v xml:space="preserve"> </v>
      </c>
      <c r="B154" s="147" t="str">
        <f>IF(Sheet1!D$195,IF((B153&gt;=(Sheet1!D$148+$B$110)-1)," ",B153+1),NA())</f>
        <v xml:space="preserve"> </v>
      </c>
      <c r="C154" s="146" t="str">
        <f t="shared" si="4"/>
        <v xml:space="preserve"> </v>
      </c>
      <c r="D154" s="92"/>
      <c r="E154" s="92"/>
      <c r="F154" s="92"/>
      <c r="G154" s="92"/>
      <c r="H154" s="92"/>
      <c r="I154" s="92"/>
      <c r="J154" s="92"/>
      <c r="K154" s="92"/>
      <c r="L154" s="95">
        <f>IF(Sheet1!D$195,SUM(D154:K154),NA())</f>
        <v>0</v>
      </c>
      <c r="M154" s="94" t="e">
        <f>IF(Sheet1!D$195,SUM(D235:K235),NA())</f>
        <v>#VALUE!</v>
      </c>
    </row>
    <row r="155" spans="1:13" ht="13.2" x14ac:dyDescent="0.25">
      <c r="A155" s="147" t="str">
        <f>IF(Sheet1!D$195,IF((A154&gt;=(Sheet1!D$148+$A$110)-1)," ",A154+1),NA())</f>
        <v xml:space="preserve"> </v>
      </c>
      <c r="B155" s="147" t="str">
        <f>IF(Sheet1!D$195,IF((B154&gt;=(Sheet1!D$148+$B$110)-1)," ",B154+1),NA())</f>
        <v xml:space="preserve"> </v>
      </c>
      <c r="C155" s="146" t="str">
        <f t="shared" si="4"/>
        <v xml:space="preserve"> </v>
      </c>
      <c r="D155" s="92"/>
      <c r="E155" s="92"/>
      <c r="F155" s="92"/>
      <c r="G155" s="92"/>
      <c r="H155" s="92"/>
      <c r="I155" s="92"/>
      <c r="J155" s="92"/>
      <c r="K155" s="92"/>
      <c r="L155" s="95">
        <f>IF(Sheet1!D$195,SUM(D155:K155),NA())</f>
        <v>0</v>
      </c>
      <c r="M155" s="94" t="e">
        <f>IF(Sheet1!D$195,SUM(D236:K236),NA())</f>
        <v>#VALUE!</v>
      </c>
    </row>
    <row r="156" spans="1:13" ht="13.8" thickBot="1" x14ac:dyDescent="0.3">
      <c r="A156" s="147" t="str">
        <f>IF(Sheet1!D$195,IF((A155&gt;=(Sheet1!D$148+$A$110)-1)," ",A155+1),NA())</f>
        <v xml:space="preserve"> </v>
      </c>
      <c r="B156" s="147" t="str">
        <f>IF(Sheet1!D$195,IF((B155&gt;=(Sheet1!D$148+$B$110)-1)," ",B155+1),NA())</f>
        <v xml:space="preserve"> </v>
      </c>
      <c r="C156" s="146" t="str">
        <f t="shared" si="4"/>
        <v xml:space="preserve"> </v>
      </c>
      <c r="D156" s="92"/>
      <c r="E156" s="92"/>
      <c r="F156" s="92"/>
      <c r="G156" s="92"/>
      <c r="H156" s="92"/>
      <c r="I156" s="92"/>
      <c r="J156" s="92"/>
      <c r="K156" s="92"/>
      <c r="L156" s="95">
        <f>IF(Sheet1!D$195,SUM(D156:K156),NA())</f>
        <v>0</v>
      </c>
      <c r="M156" s="94" t="e">
        <f>IF(Sheet1!D$195,SUM(D237:K237),NA())</f>
        <v>#VALUE!</v>
      </c>
    </row>
    <row r="157" spans="1:13" ht="13.8" hidden="1" thickBot="1" x14ac:dyDescent="0.3">
      <c r="A157" s="147" t="str">
        <f>IF(Sheet1!D$195,IF((A156&gt;=(Sheet1!D$148+$A$110)-1)," ",A156+1),NA())</f>
        <v xml:space="preserve"> </v>
      </c>
      <c r="B157" s="147" t="str">
        <f>IF(Sheet1!D$195,IF((B156&gt;=(Sheet1!D$148+$B$110)-1)," ",B156+1),NA())</f>
        <v xml:space="preserve"> </v>
      </c>
      <c r="C157" s="146" t="str">
        <f t="shared" si="4"/>
        <v xml:space="preserve"> </v>
      </c>
      <c r="D157" s="92"/>
      <c r="E157" s="92"/>
      <c r="F157" s="92"/>
      <c r="G157" s="92"/>
      <c r="H157" s="92"/>
      <c r="I157" s="92"/>
      <c r="J157" s="92"/>
      <c r="K157" s="92"/>
      <c r="L157" s="95">
        <f>IF(Sheet1!D$195,SUM(D157:K157),NA())</f>
        <v>0</v>
      </c>
      <c r="M157" s="94" t="e">
        <f>IF(Sheet1!D$195,SUM(D238:K238),NA())</f>
        <v>#VALUE!</v>
      </c>
    </row>
    <row r="158" spans="1:13" ht="13.8" hidden="1" thickBot="1" x14ac:dyDescent="0.3">
      <c r="A158" s="147" t="str">
        <f>IF(Sheet1!D$195,IF((A157&gt;=(Sheet1!D$148+$A$110)-1)," ",A157+1),NA())</f>
        <v xml:space="preserve"> </v>
      </c>
      <c r="B158" s="147" t="str">
        <f>IF(Sheet1!D$195,IF((B157&gt;=(Sheet1!D$148+$B$110)-1)," ",B157+1),NA())</f>
        <v xml:space="preserve"> </v>
      </c>
      <c r="C158" s="146" t="str">
        <f t="shared" si="4"/>
        <v xml:space="preserve"> </v>
      </c>
      <c r="D158" s="92"/>
      <c r="E158" s="92"/>
      <c r="F158" s="92"/>
      <c r="G158" s="92"/>
      <c r="H158" s="92"/>
      <c r="I158" s="92"/>
      <c r="J158" s="92"/>
      <c r="K158" s="92"/>
      <c r="L158" s="95">
        <f>IF(Sheet1!D$195,SUM(D158:K158),NA())</f>
        <v>0</v>
      </c>
      <c r="M158" s="94" t="e">
        <f>IF(Sheet1!D$195,SUM(D239:K239),NA())</f>
        <v>#VALUE!</v>
      </c>
    </row>
    <row r="159" spans="1:13" ht="13.8" hidden="1" thickBot="1" x14ac:dyDescent="0.3">
      <c r="A159" s="147" t="str">
        <f>IF(Sheet1!D$195,IF((A158&gt;=(Sheet1!D$148+$A$110)-1)," ",A158+1),NA())</f>
        <v xml:space="preserve"> </v>
      </c>
      <c r="B159" s="147" t="str">
        <f>IF(Sheet1!D$195,IF((B158&gt;=(Sheet1!D$148+$B$110)-1)," ",B158+1),NA())</f>
        <v xml:space="preserve"> </v>
      </c>
      <c r="C159" s="146" t="str">
        <f t="shared" si="4"/>
        <v xml:space="preserve"> </v>
      </c>
      <c r="D159" s="92"/>
      <c r="E159" s="92"/>
      <c r="F159" s="92"/>
      <c r="G159" s="92"/>
      <c r="H159" s="92"/>
      <c r="I159" s="92"/>
      <c r="J159" s="92"/>
      <c r="K159" s="92"/>
      <c r="L159" s="95">
        <f>IF(Sheet1!D$195,SUM(D159:K159),NA())</f>
        <v>0</v>
      </c>
      <c r="M159" s="94" t="e">
        <f>IF(Sheet1!D$195,SUM(D240:K240),NA())</f>
        <v>#VALUE!</v>
      </c>
    </row>
    <row r="160" spans="1:13" ht="13.8" thickTop="1" x14ac:dyDescent="0.25">
      <c r="A160" s="146" t="s">
        <v>256</v>
      </c>
      <c r="B160" s="150"/>
      <c r="C160" s="150"/>
      <c r="D160" s="97">
        <f>IF(Sheet1!D$195,SUM(D110:D159),NA())</f>
        <v>0</v>
      </c>
      <c r="E160" s="97">
        <f>IF(Sheet1!D$195,SUM(E110:E159),NA())</f>
        <v>0</v>
      </c>
      <c r="F160" s="97">
        <f>IF(Sheet1!D$195,SUM(F110:F159),NA())</f>
        <v>0</v>
      </c>
      <c r="G160" s="97">
        <f>IF(Sheet1!D$195,SUM(G110:G159),NA())</f>
        <v>0</v>
      </c>
      <c r="H160" s="97">
        <f>IF(Sheet1!D$195,SUM(H110:H159),NA())</f>
        <v>0</v>
      </c>
      <c r="I160" s="97">
        <f>IF(Sheet1!D$195,SUM(I110:I159),NA())</f>
        <v>0</v>
      </c>
      <c r="J160" s="97">
        <f>IF(Sheet1!D$195,SUM(J110:J159),NA())</f>
        <v>0</v>
      </c>
      <c r="K160" s="97">
        <f>IF(Sheet1!D$195,SUM(K110:K159),NA())</f>
        <v>0</v>
      </c>
      <c r="L160" s="95">
        <f>IF(Sheet1!D$195,SUM(L110:L159),NA())</f>
        <v>0</v>
      </c>
      <c r="M160" s="95" t="e">
        <f>IF(Sheet1!D$195,SUM(M110:M159),NA())</f>
        <v>#VALUE!</v>
      </c>
    </row>
    <row r="161" spans="1:13" ht="13.2" x14ac:dyDescent="0.25">
      <c r="A161" s="146" t="s">
        <v>235</v>
      </c>
      <c r="B161" s="150"/>
      <c r="C161" s="150"/>
      <c r="D161" s="98" t="str">
        <f t="shared" ref="D161:K161" si="5">IF($L$160=0,"",D160/$L$160)</f>
        <v/>
      </c>
      <c r="E161" s="99" t="str">
        <f t="shared" si="5"/>
        <v/>
      </c>
      <c r="F161" s="99" t="str">
        <f t="shared" si="5"/>
        <v/>
      </c>
      <c r="G161" s="99" t="str">
        <f t="shared" si="5"/>
        <v/>
      </c>
      <c r="H161" s="99" t="str">
        <f t="shared" si="5"/>
        <v/>
      </c>
      <c r="I161" s="99" t="str">
        <f t="shared" si="5"/>
        <v/>
      </c>
      <c r="J161" s="99" t="str">
        <f t="shared" si="5"/>
        <v/>
      </c>
      <c r="K161" s="99" t="str">
        <f t="shared" si="5"/>
        <v/>
      </c>
      <c r="L161" s="149"/>
      <c r="M161" s="127"/>
    </row>
    <row r="162" spans="1:13" ht="13.2" x14ac:dyDescent="0.25">
      <c r="A162" s="146" t="s">
        <v>255</v>
      </c>
      <c r="B162" s="150"/>
      <c r="C162" s="150"/>
      <c r="D162" s="98" t="e">
        <f t="shared" ref="D162:K162" si="6">IF($M$160=0,"",D241/$M$160)</f>
        <v>#VALUE!</v>
      </c>
      <c r="E162" s="98" t="e">
        <f t="shared" si="6"/>
        <v>#VALUE!</v>
      </c>
      <c r="F162" s="98" t="e">
        <f t="shared" si="6"/>
        <v>#VALUE!</v>
      </c>
      <c r="G162" s="98" t="e">
        <f t="shared" si="6"/>
        <v>#VALUE!</v>
      </c>
      <c r="H162" s="98" t="e">
        <f t="shared" si="6"/>
        <v>#VALUE!</v>
      </c>
      <c r="I162" s="98" t="e">
        <f t="shared" si="6"/>
        <v>#VALUE!</v>
      </c>
      <c r="J162" s="98" t="e">
        <f t="shared" si="6"/>
        <v>#VALUE!</v>
      </c>
      <c r="K162" s="98" t="e">
        <f t="shared" si="6"/>
        <v>#VALUE!</v>
      </c>
      <c r="L162" s="149"/>
      <c r="M162" s="127"/>
    </row>
    <row r="163" spans="1:13" ht="13.2" x14ac:dyDescent="0.25">
      <c r="A163" s="139"/>
      <c r="B163" s="139"/>
      <c r="C163" s="139"/>
      <c r="D163" s="101"/>
      <c r="E163" s="101"/>
      <c r="F163" s="101"/>
      <c r="G163" s="101"/>
      <c r="H163" s="101"/>
      <c r="I163" s="101"/>
      <c r="J163" s="101"/>
      <c r="K163" s="101"/>
      <c r="L163" s="101"/>
      <c r="M163" s="138"/>
    </row>
    <row r="164" spans="1:13" ht="13.2" x14ac:dyDescent="0.25">
      <c r="A164" s="144" t="s">
        <v>254</v>
      </c>
      <c r="B164" s="142"/>
      <c r="C164" s="142"/>
      <c r="D164" s="101"/>
      <c r="E164" s="101"/>
      <c r="F164" s="101"/>
      <c r="G164" s="101"/>
      <c r="H164" s="101"/>
      <c r="I164" s="101"/>
      <c r="J164" s="101"/>
      <c r="K164" s="101"/>
      <c r="L164" s="101"/>
      <c r="M164" s="138"/>
    </row>
    <row r="165" spans="1:13" ht="14.25" customHeight="1" x14ac:dyDescent="0.25">
      <c r="A165" s="143" t="s">
        <v>253</v>
      </c>
      <c r="B165" s="142"/>
      <c r="C165" s="142"/>
      <c r="D165" s="101"/>
      <c r="E165" s="101"/>
      <c r="F165" s="101"/>
      <c r="G165" s="101"/>
      <c r="H165" s="101"/>
      <c r="I165" s="101"/>
      <c r="J165" s="101"/>
      <c r="K165" s="101"/>
      <c r="L165" s="101"/>
      <c r="M165" s="138"/>
    </row>
    <row r="166" spans="1:13" ht="2.25" customHeight="1" x14ac:dyDescent="0.25">
      <c r="A166" s="146"/>
      <c r="B166" s="139"/>
      <c r="C166" s="139"/>
      <c r="D166" s="101"/>
      <c r="E166" s="101"/>
      <c r="F166" s="101"/>
      <c r="G166" s="101"/>
      <c r="H166" s="101"/>
      <c r="I166" s="101"/>
      <c r="J166" s="101"/>
      <c r="K166" s="101"/>
      <c r="L166" s="101"/>
      <c r="M166" s="138"/>
    </row>
    <row r="167" spans="1:13" ht="33" customHeight="1" x14ac:dyDescent="0.25">
      <c r="A167" s="148" t="s">
        <v>229</v>
      </c>
      <c r="B167" s="148" t="s">
        <v>230</v>
      </c>
      <c r="C167" s="139"/>
      <c r="D167" s="103" t="s">
        <v>239</v>
      </c>
      <c r="E167" s="103" t="s">
        <v>239</v>
      </c>
      <c r="F167" s="103" t="s">
        <v>239</v>
      </c>
      <c r="G167" s="103" t="s">
        <v>239</v>
      </c>
      <c r="H167" s="103" t="s">
        <v>239</v>
      </c>
      <c r="I167" s="103" t="s">
        <v>239</v>
      </c>
      <c r="J167" s="103" t="s">
        <v>239</v>
      </c>
      <c r="K167" s="103" t="s">
        <v>239</v>
      </c>
      <c r="L167" s="104" t="s">
        <v>252</v>
      </c>
      <c r="M167" s="138"/>
    </row>
    <row r="168" spans="1:13" ht="13.8" thickBot="1" x14ac:dyDescent="0.3">
      <c r="A168" s="147">
        <f>IF(Sheet1!D$193,IF(Sheet1!D148=50,51,VLOOKUP(Sheet1!D148+1,Sheet1!A148:B197,2)),NA())</f>
        <v>2</v>
      </c>
      <c r="B168" s="147">
        <f>IF(Sheet1!D$193,B110+Sheet1!D148,NA())</f>
        <v>2025</v>
      </c>
      <c r="C168" s="146" t="str">
        <f>IF(AND(OR(A168=" ",A168="#NA"),OR(D168&lt;&gt;0,E168&lt;&gt;0,F168&lt;&gt;0,G168&lt;&gt;0,H168&lt;&gt;0,I168&lt;&gt;0,J168&lt;&gt;0,K168&lt;&gt;0)),"Clear=&gt;"," ")</f>
        <v xml:space="preserve"> </v>
      </c>
      <c r="D168" s="105"/>
      <c r="E168" s="105"/>
      <c r="F168" s="105"/>
      <c r="G168" s="105"/>
      <c r="H168" s="105"/>
      <c r="I168" s="105"/>
      <c r="J168" s="105"/>
      <c r="K168" s="105"/>
      <c r="L168" s="95">
        <f>IF(Sheet1!D$195,SUM(D168:K168),NA())</f>
        <v>0</v>
      </c>
      <c r="M168" s="138"/>
    </row>
    <row r="169" spans="1:13" ht="13.8" thickTop="1" x14ac:dyDescent="0.25">
      <c r="A169" s="139"/>
      <c r="B169" s="145"/>
      <c r="C169" s="139"/>
      <c r="D169" s="107"/>
      <c r="E169" s="107"/>
      <c r="F169" s="107"/>
      <c r="G169" s="107"/>
      <c r="H169" s="107"/>
      <c r="I169" s="107"/>
      <c r="J169" s="107"/>
      <c r="K169" s="107"/>
      <c r="L169" s="101"/>
      <c r="M169" s="138"/>
    </row>
    <row r="170" spans="1:13" ht="13.2" x14ac:dyDescent="0.25">
      <c r="A170" s="139"/>
      <c r="B170" s="145"/>
      <c r="C170" s="139"/>
      <c r="D170" s="101"/>
      <c r="E170" s="101"/>
      <c r="F170" s="101"/>
      <c r="G170" s="101"/>
      <c r="H170" s="101"/>
      <c r="I170" s="101"/>
      <c r="J170" s="101"/>
      <c r="K170" s="101"/>
      <c r="L170" s="101"/>
      <c r="M170" s="138"/>
    </row>
    <row r="171" spans="1:13" ht="13.2" x14ac:dyDescent="0.25">
      <c r="A171" s="144" t="s">
        <v>251</v>
      </c>
      <c r="B171" s="142"/>
      <c r="C171" s="142"/>
      <c r="D171" s="101"/>
      <c r="E171" s="101"/>
      <c r="F171" s="101"/>
      <c r="G171" s="101"/>
      <c r="H171" s="101"/>
      <c r="I171" s="101"/>
      <c r="J171" s="101"/>
      <c r="K171" s="101"/>
      <c r="L171" s="101"/>
      <c r="M171" s="138"/>
    </row>
    <row r="172" spans="1:13" ht="13.2" x14ac:dyDescent="0.25">
      <c r="A172" s="143" t="s">
        <v>250</v>
      </c>
      <c r="B172" s="142"/>
      <c r="C172" s="142"/>
      <c r="D172" s="101"/>
      <c r="E172" s="101"/>
      <c r="F172" s="101"/>
      <c r="G172" s="101"/>
      <c r="H172" s="101"/>
      <c r="I172" s="101"/>
      <c r="J172" s="101"/>
      <c r="K172" s="101"/>
      <c r="L172" s="101"/>
      <c r="M172" s="138"/>
    </row>
    <row r="173" spans="1:13" ht="4.5" customHeight="1" x14ac:dyDescent="0.25">
      <c r="A173" s="141"/>
      <c r="B173" s="139"/>
      <c r="C173" s="139"/>
      <c r="D173" s="101"/>
      <c r="E173" s="101"/>
      <c r="F173" s="101"/>
      <c r="G173" s="101"/>
      <c r="H173" s="101"/>
      <c r="I173" s="101"/>
      <c r="J173" s="101"/>
      <c r="K173" s="101"/>
      <c r="L173" s="101"/>
      <c r="M173" s="138"/>
    </row>
    <row r="174" spans="1:13" ht="13.2" x14ac:dyDescent="0.25">
      <c r="A174" s="141" t="s">
        <v>249</v>
      </c>
      <c r="B174" s="139"/>
      <c r="C174" s="139"/>
      <c r="D174" s="139" t="s">
        <v>248</v>
      </c>
      <c r="M174" s="138"/>
    </row>
    <row r="175" spans="1:13" ht="15.75" customHeight="1" x14ac:dyDescent="0.25">
      <c r="A175" s="141"/>
      <c r="B175" s="139"/>
      <c r="C175" s="139"/>
      <c r="D175" s="139" t="s">
        <v>247</v>
      </c>
      <c r="E175" s="139"/>
      <c r="F175" s="139"/>
      <c r="G175" s="139"/>
      <c r="H175" s="139"/>
      <c r="I175" s="139"/>
      <c r="J175" s="139"/>
      <c r="M175" s="138"/>
    </row>
    <row r="176" spans="1:13" ht="13.5" customHeight="1" x14ac:dyDescent="0.25">
      <c r="A176" s="141"/>
      <c r="B176" s="139"/>
      <c r="C176" s="139"/>
      <c r="D176" s="139" t="s">
        <v>246</v>
      </c>
      <c r="M176" s="138"/>
    </row>
    <row r="177" spans="1:13" ht="12.75" customHeight="1" x14ac:dyDescent="0.25">
      <c r="A177" s="141"/>
      <c r="B177" s="139"/>
      <c r="C177" s="139"/>
      <c r="D177" s="139" t="s">
        <v>245</v>
      </c>
      <c r="M177" s="138"/>
    </row>
    <row r="178" spans="1:13" ht="13.2" x14ac:dyDescent="0.25">
      <c r="A178" s="141"/>
      <c r="B178" s="139"/>
      <c r="C178" s="139"/>
      <c r="D178" s="139" t="s">
        <v>244</v>
      </c>
      <c r="M178" s="138"/>
    </row>
    <row r="179" spans="1:13" ht="13.2" x14ac:dyDescent="0.25">
      <c r="A179" s="141"/>
      <c r="B179" s="139"/>
      <c r="C179" s="139"/>
      <c r="M179" s="138"/>
    </row>
    <row r="180" spans="1:13" ht="13.2" x14ac:dyDescent="0.25">
      <c r="A180" s="141"/>
      <c r="B180" s="139"/>
      <c r="C180" s="139"/>
      <c r="M180" s="138"/>
    </row>
    <row r="181" spans="1:13" ht="13.2" x14ac:dyDescent="0.25">
      <c r="A181" s="141"/>
      <c r="B181" s="139"/>
      <c r="C181" s="139"/>
      <c r="M181" s="138"/>
    </row>
    <row r="182" spans="1:13" ht="12.75" customHeight="1" x14ac:dyDescent="0.25">
      <c r="A182" s="141"/>
      <c r="B182" s="139"/>
      <c r="C182" s="139"/>
      <c r="M182" s="138"/>
    </row>
    <row r="183" spans="1:13" ht="18" customHeight="1" x14ac:dyDescent="0.25">
      <c r="A183" s="141"/>
      <c r="B183" s="139"/>
      <c r="C183" s="139"/>
      <c r="D183" s="139"/>
      <c r="E183" s="139"/>
      <c r="F183" s="139"/>
      <c r="G183" s="139"/>
      <c r="H183" s="139"/>
      <c r="I183" s="139"/>
      <c r="J183" s="139"/>
      <c r="M183" s="138"/>
    </row>
    <row r="184" spans="1:13" ht="13.2" x14ac:dyDescent="0.25">
      <c r="A184" s="140"/>
      <c r="D184" s="139"/>
      <c r="E184" s="139"/>
      <c r="F184" s="139"/>
      <c r="G184" s="139"/>
      <c r="H184" s="139"/>
      <c r="I184" s="139"/>
      <c r="J184" s="139"/>
      <c r="M184" s="138"/>
    </row>
    <row r="185" spans="1:13" ht="13.2" x14ac:dyDescent="0.25">
      <c r="A185" s="140"/>
      <c r="D185" s="139"/>
      <c r="E185" s="139"/>
      <c r="F185" s="139"/>
      <c r="G185" s="139"/>
      <c r="H185" s="139"/>
      <c r="I185" s="139"/>
      <c r="J185" s="139"/>
      <c r="M185" s="138"/>
    </row>
    <row r="186" spans="1:13" ht="13.2" x14ac:dyDescent="0.25">
      <c r="A186" s="140"/>
      <c r="D186" s="139"/>
      <c r="E186" s="139"/>
      <c r="F186" s="139"/>
      <c r="G186" s="139"/>
      <c r="H186" s="139"/>
      <c r="I186" s="139"/>
      <c r="J186" s="139"/>
      <c r="M186" s="138"/>
    </row>
    <row r="187" spans="1:13" ht="13.2" x14ac:dyDescent="0.25">
      <c r="D187" s="139"/>
      <c r="M187" s="138"/>
    </row>
    <row r="188" spans="1:13" ht="13.2" hidden="1" x14ac:dyDescent="0.25"/>
    <row r="189" spans="1:13" ht="13.2" hidden="1" x14ac:dyDescent="0.25">
      <c r="A189" s="126" t="s">
        <v>241</v>
      </c>
      <c r="B189" s="125"/>
      <c r="C189" s="125"/>
      <c r="D189" s="125"/>
      <c r="E189" s="125"/>
      <c r="F189" s="125"/>
      <c r="G189" s="125"/>
      <c r="H189" s="125"/>
      <c r="I189" s="125"/>
      <c r="J189" s="125"/>
      <c r="K189" s="124"/>
    </row>
    <row r="190" spans="1:13" ht="13.8" hidden="1" thickBot="1" x14ac:dyDescent="0.3"/>
    <row r="191" spans="1:13" ht="13.2" hidden="1" x14ac:dyDescent="0.25">
      <c r="B191" s="128">
        <f>IF(Sheet1!D$195,B110,NA())</f>
        <v>2024</v>
      </c>
      <c r="C191" s="128"/>
      <c r="D191" s="137" t="e">
        <f>IF(Sheet1!$D$195,CHOOSE(Sheet1!D$267,"",IF($C110="Clear=&gt;","",D110)),NA())</f>
        <v>#VALUE!</v>
      </c>
      <c r="E191" s="136" t="e">
        <f>IF(Sheet1!$D$195,CHOOSE(Sheet1!E$267,"",IF($C110="Clear=&gt;","",E110)),NA())</f>
        <v>#VALUE!</v>
      </c>
      <c r="F191" s="136" t="e">
        <f>IF(Sheet1!$D$195,CHOOSE(Sheet1!F$267,"",IF($C110="Clear=&gt;","",F110)),NA())</f>
        <v>#VALUE!</v>
      </c>
      <c r="G191" s="136" t="e">
        <f>IF(Sheet1!$D$195,CHOOSE(Sheet1!G$267,"",IF($C110="Clear=&gt;","",G110)),NA())</f>
        <v>#VALUE!</v>
      </c>
      <c r="H191" s="136" t="e">
        <f>IF(Sheet1!$D$195,CHOOSE(Sheet1!H$267,"",IF($C110="Clear=&gt;","",H110)),NA())</f>
        <v>#VALUE!</v>
      </c>
      <c r="I191" s="136" t="e">
        <f>IF(Sheet1!$D$195,CHOOSE(Sheet1!I$267,"",IF($C110="Clear=&gt;","",I110)),NA())</f>
        <v>#VALUE!</v>
      </c>
      <c r="J191" s="136" t="e">
        <f>IF(Sheet1!$D$195,CHOOSE(Sheet1!J$267,"",IF($C110="Clear=&gt;","",J110)),NA())</f>
        <v>#VALUE!</v>
      </c>
      <c r="K191" s="135" t="e">
        <f>IF(Sheet1!$D$195,CHOOSE(Sheet1!K$267,"",IF($C110="Clear=&gt;","",K110)),NA())</f>
        <v>#VALUE!</v>
      </c>
    </row>
    <row r="192" spans="1:13" ht="13.2" hidden="1" x14ac:dyDescent="0.25">
      <c r="B192" s="128" t="str">
        <f>IF(Sheet1!D$195,B111,NA())</f>
        <v xml:space="preserve"> </v>
      </c>
      <c r="C192" s="128"/>
      <c r="D192" s="131" t="e">
        <f>IF(Sheet1!$D$195,CHOOSE(Sheet1!D$267,"",IF($C111="Clear=&gt;","",D111)),NA())</f>
        <v>#VALUE!</v>
      </c>
      <c r="E192" s="130" t="e">
        <f>IF(Sheet1!$D$195,CHOOSE(Sheet1!E$267,"",IF($C111="Clear=&gt;","",E111)),NA())</f>
        <v>#VALUE!</v>
      </c>
      <c r="F192" s="130" t="e">
        <f>IF(Sheet1!$D$195,CHOOSE(Sheet1!F$267,"",IF($C111="Clear=&gt;","",F111)),NA())</f>
        <v>#VALUE!</v>
      </c>
      <c r="G192" s="130" t="e">
        <f>IF(Sheet1!$D$195,CHOOSE(Sheet1!G$267,"",IF($C111="Clear=&gt;","",G111)),NA())</f>
        <v>#VALUE!</v>
      </c>
      <c r="H192" s="130" t="e">
        <f>IF(Sheet1!$D$195,CHOOSE(Sheet1!H$267,"",IF($C111="Clear=&gt;","",H111)),NA())</f>
        <v>#VALUE!</v>
      </c>
      <c r="I192" s="130" t="e">
        <f>IF(Sheet1!$D$195,CHOOSE(Sheet1!I$267,"",IF($C111="Clear=&gt;","",I111)),NA())</f>
        <v>#VALUE!</v>
      </c>
      <c r="J192" s="130" t="e">
        <f>IF(Sheet1!$D$195,CHOOSE(Sheet1!J$267,"",IF($C111="Clear=&gt;","",J111)),NA())</f>
        <v>#VALUE!</v>
      </c>
      <c r="K192" s="129" t="e">
        <f>IF(Sheet1!$D$195,CHOOSE(Sheet1!K$267,"",IF($C111="Clear=&gt;","",K111)),NA())</f>
        <v>#VALUE!</v>
      </c>
    </row>
    <row r="193" spans="2:11" ht="13.2" hidden="1" x14ac:dyDescent="0.25">
      <c r="B193" s="128" t="str">
        <f>IF(Sheet1!D$195,B112,NA())</f>
        <v xml:space="preserve"> </v>
      </c>
      <c r="C193" s="128"/>
      <c r="D193" s="131" t="e">
        <f>IF(Sheet1!$D$195,CHOOSE(Sheet1!D$267,"",IF($C112="Clear=&gt;","",D112)),NA())</f>
        <v>#VALUE!</v>
      </c>
      <c r="E193" s="130" t="e">
        <f>IF(Sheet1!$D$195,CHOOSE(Sheet1!E$267,"",IF($C112="Clear=&gt;","",E112)),NA())</f>
        <v>#VALUE!</v>
      </c>
      <c r="F193" s="130" t="e">
        <f>IF(Sheet1!$D$195,CHOOSE(Sheet1!F$267,"",IF($C112="Clear=&gt;","",F112)),NA())</f>
        <v>#VALUE!</v>
      </c>
      <c r="G193" s="130" t="e">
        <f>IF(Sheet1!$D$195,CHOOSE(Sheet1!G$267,"",IF($C112="Clear=&gt;","",G112)),NA())</f>
        <v>#VALUE!</v>
      </c>
      <c r="H193" s="130" t="e">
        <f>IF(Sheet1!$D$195,CHOOSE(Sheet1!H$267,"",IF($C112="Clear=&gt;","",H112)),NA())</f>
        <v>#VALUE!</v>
      </c>
      <c r="I193" s="130" t="e">
        <f>IF(Sheet1!$D$195,CHOOSE(Sheet1!I$267,"",IF($C112="Clear=&gt;","",I112)),NA())</f>
        <v>#VALUE!</v>
      </c>
      <c r="J193" s="130" t="e">
        <f>IF(Sheet1!$D$195,CHOOSE(Sheet1!J$267,"",IF($C112="Clear=&gt;","",J112)),NA())</f>
        <v>#VALUE!</v>
      </c>
      <c r="K193" s="129" t="e">
        <f>IF(Sheet1!$D$195,CHOOSE(Sheet1!K$267,"",IF($C112="Clear=&gt;","",K112)),NA())</f>
        <v>#VALUE!</v>
      </c>
    </row>
    <row r="194" spans="2:11" ht="13.2" hidden="1" x14ac:dyDescent="0.25">
      <c r="B194" s="128" t="str">
        <f>IF(Sheet1!D$195,B113,NA())</f>
        <v xml:space="preserve"> </v>
      </c>
      <c r="C194" s="128"/>
      <c r="D194" s="131" t="e">
        <f>IF(Sheet1!$D$195,CHOOSE(Sheet1!D$267,"",IF($C113="Clear=&gt;","",D113)),NA())</f>
        <v>#VALUE!</v>
      </c>
      <c r="E194" s="130" t="e">
        <f>IF(Sheet1!$D$195,CHOOSE(Sheet1!E$267,"",IF($C113="Clear=&gt;","",E113)),NA())</f>
        <v>#VALUE!</v>
      </c>
      <c r="F194" s="130" t="e">
        <f>IF(Sheet1!$D$195,CHOOSE(Sheet1!F$267,"",IF($C113="Clear=&gt;","",F113)),NA())</f>
        <v>#VALUE!</v>
      </c>
      <c r="G194" s="130" t="e">
        <f>IF(Sheet1!$D$195,CHOOSE(Sheet1!G$267,"",IF($C113="Clear=&gt;","",G113)),NA())</f>
        <v>#VALUE!</v>
      </c>
      <c r="H194" s="130" t="e">
        <f>IF(Sheet1!$D$195,CHOOSE(Sheet1!H$267,"",IF($C113="Clear=&gt;","",H113)),NA())</f>
        <v>#VALUE!</v>
      </c>
      <c r="I194" s="130" t="e">
        <f>IF(Sheet1!$D$195,CHOOSE(Sheet1!I$267,"",IF($C113="Clear=&gt;","",I113)),NA())</f>
        <v>#VALUE!</v>
      </c>
      <c r="J194" s="130" t="e">
        <f>IF(Sheet1!$D$195,CHOOSE(Sheet1!J$267,"",IF($C113="Clear=&gt;","",J113)),NA())</f>
        <v>#VALUE!</v>
      </c>
      <c r="K194" s="129" t="e">
        <f>IF(Sheet1!$D$195,CHOOSE(Sheet1!K$267,"",IF($C113="Clear=&gt;","",K113)),NA())</f>
        <v>#VALUE!</v>
      </c>
    </row>
    <row r="195" spans="2:11" ht="13.2" hidden="1" x14ac:dyDescent="0.25">
      <c r="B195" s="128" t="str">
        <f>IF(Sheet1!D$195,B114,NA())</f>
        <v xml:space="preserve"> </v>
      </c>
      <c r="C195" s="128"/>
      <c r="D195" s="131" t="e">
        <f>IF(Sheet1!$D$195,CHOOSE(Sheet1!D$267,"",IF($C114="Clear=&gt;","",D114)),NA())</f>
        <v>#VALUE!</v>
      </c>
      <c r="E195" s="130" t="e">
        <f>IF(Sheet1!$D$195,CHOOSE(Sheet1!E$267,"",IF($C114="Clear=&gt;","",E114)),NA())</f>
        <v>#VALUE!</v>
      </c>
      <c r="F195" s="130" t="e">
        <f>IF(Sheet1!$D$195,CHOOSE(Sheet1!F$267,"",IF($C114="Clear=&gt;","",F114)),NA())</f>
        <v>#VALUE!</v>
      </c>
      <c r="G195" s="130" t="e">
        <f>IF(Sheet1!$D$195,CHOOSE(Sheet1!G$267,"",IF($C114="Clear=&gt;","",G114)),NA())</f>
        <v>#VALUE!</v>
      </c>
      <c r="H195" s="130" t="e">
        <f>IF(Sheet1!$D$195,CHOOSE(Sheet1!H$267,"",IF($C114="Clear=&gt;","",H114)),NA())</f>
        <v>#VALUE!</v>
      </c>
      <c r="I195" s="130" t="e">
        <f>IF(Sheet1!$D$195,CHOOSE(Sheet1!I$267,"",IF($C114="Clear=&gt;","",I114)),NA())</f>
        <v>#VALUE!</v>
      </c>
      <c r="J195" s="130" t="e">
        <f>IF(Sheet1!$D$195,CHOOSE(Sheet1!J$267,"",IF($C114="Clear=&gt;","",J114)),NA())</f>
        <v>#VALUE!</v>
      </c>
      <c r="K195" s="129" t="e">
        <f>IF(Sheet1!$D$195,CHOOSE(Sheet1!K$267,"",IF($C114="Clear=&gt;","",K114)),NA())</f>
        <v>#VALUE!</v>
      </c>
    </row>
    <row r="196" spans="2:11" ht="13.2" hidden="1" x14ac:dyDescent="0.25">
      <c r="B196" s="128" t="str">
        <f>IF(Sheet1!D$195,B115,NA())</f>
        <v xml:space="preserve"> </v>
      </c>
      <c r="C196" s="128"/>
      <c r="D196" s="131" t="e">
        <f>IF(Sheet1!$D$195,CHOOSE(Sheet1!D$267,"",IF($C115="Clear=&gt;","",D115)),NA())</f>
        <v>#VALUE!</v>
      </c>
      <c r="E196" s="130" t="e">
        <f>IF(Sheet1!$D$195,CHOOSE(Sheet1!E$267,"",IF($C115="Clear=&gt;","",E115)),NA())</f>
        <v>#VALUE!</v>
      </c>
      <c r="F196" s="130" t="e">
        <f>IF(Sheet1!$D$195,CHOOSE(Sheet1!F$267,"",IF($C115="Clear=&gt;","",F115)),NA())</f>
        <v>#VALUE!</v>
      </c>
      <c r="G196" s="130" t="e">
        <f>IF(Sheet1!$D$195,CHOOSE(Sheet1!G$267,"",IF($C115="Clear=&gt;","",G115)),NA())</f>
        <v>#VALUE!</v>
      </c>
      <c r="H196" s="130" t="e">
        <f>IF(Sheet1!$D$195,CHOOSE(Sheet1!H$267,"",IF($C115="Clear=&gt;","",H115)),NA())</f>
        <v>#VALUE!</v>
      </c>
      <c r="I196" s="130" t="e">
        <f>IF(Sheet1!$D$195,CHOOSE(Sheet1!I$267,"",IF($C115="Clear=&gt;","",I115)),NA())</f>
        <v>#VALUE!</v>
      </c>
      <c r="J196" s="130" t="e">
        <f>IF(Sheet1!$D$195,CHOOSE(Sheet1!J$267,"",IF($C115="Clear=&gt;","",J115)),NA())</f>
        <v>#VALUE!</v>
      </c>
      <c r="K196" s="129" t="e">
        <f>IF(Sheet1!$D$195,CHOOSE(Sheet1!K$267,"",IF($C115="Clear=&gt;","",K115)),NA())</f>
        <v>#VALUE!</v>
      </c>
    </row>
    <row r="197" spans="2:11" ht="13.2" hidden="1" x14ac:dyDescent="0.25">
      <c r="B197" s="128" t="str">
        <f>IF(Sheet1!D$195,B116,NA())</f>
        <v xml:space="preserve"> </v>
      </c>
      <c r="C197" s="128"/>
      <c r="D197" s="131" t="e">
        <f>IF(Sheet1!$D$195,CHOOSE(Sheet1!D$267,"",IF($C116="Clear=&gt;","",D116)),NA())</f>
        <v>#VALUE!</v>
      </c>
      <c r="E197" s="130" t="e">
        <f>IF(Sheet1!$D$195,CHOOSE(Sheet1!E$267,"",IF($C116="Clear=&gt;","",E116)),NA())</f>
        <v>#VALUE!</v>
      </c>
      <c r="F197" s="130" t="e">
        <f>IF(Sheet1!$D$195,CHOOSE(Sheet1!F$267,"",IF($C116="Clear=&gt;","",F116)),NA())</f>
        <v>#VALUE!</v>
      </c>
      <c r="G197" s="130" t="e">
        <f>IF(Sheet1!$D$195,CHOOSE(Sheet1!G$267,"",IF($C116="Clear=&gt;","",G116)),NA())</f>
        <v>#VALUE!</v>
      </c>
      <c r="H197" s="130" t="e">
        <f>IF(Sheet1!$D$195,CHOOSE(Sheet1!H$267,"",IF($C116="Clear=&gt;","",H116)),NA())</f>
        <v>#VALUE!</v>
      </c>
      <c r="I197" s="130" t="e">
        <f>IF(Sheet1!$D$195,CHOOSE(Sheet1!I$267,"",IF($C116="Clear=&gt;","",I116)),NA())</f>
        <v>#VALUE!</v>
      </c>
      <c r="J197" s="130" t="e">
        <f>IF(Sheet1!$D$195,CHOOSE(Sheet1!J$267,"",IF($C116="Clear=&gt;","",J116)),NA())</f>
        <v>#VALUE!</v>
      </c>
      <c r="K197" s="129" t="e">
        <f>IF(Sheet1!$D$195,CHOOSE(Sheet1!K$267,"",IF($C116="Clear=&gt;","",K116)),NA())</f>
        <v>#VALUE!</v>
      </c>
    </row>
    <row r="198" spans="2:11" ht="13.2" hidden="1" x14ac:dyDescent="0.25">
      <c r="B198" s="128" t="str">
        <f>IF(Sheet1!D$195,B117,NA())</f>
        <v xml:space="preserve"> </v>
      </c>
      <c r="C198" s="128"/>
      <c r="D198" s="131" t="e">
        <f>IF(Sheet1!$D$195,CHOOSE(Sheet1!D$267,"",IF($C117="Clear=&gt;","",D117)),NA())</f>
        <v>#VALUE!</v>
      </c>
      <c r="E198" s="130" t="e">
        <f>IF(Sheet1!$D$195,CHOOSE(Sheet1!E$267,"",IF($C117="Clear=&gt;","",E117)),NA())</f>
        <v>#VALUE!</v>
      </c>
      <c r="F198" s="130" t="e">
        <f>IF(Sheet1!$D$195,CHOOSE(Sheet1!F$267,"",IF($C117="Clear=&gt;","",F117)),NA())</f>
        <v>#VALUE!</v>
      </c>
      <c r="G198" s="130" t="e">
        <f>IF(Sheet1!$D$195,CHOOSE(Sheet1!G$267,"",IF($C117="Clear=&gt;","",G117)),NA())</f>
        <v>#VALUE!</v>
      </c>
      <c r="H198" s="130" t="e">
        <f>IF(Sheet1!$D$195,CHOOSE(Sheet1!H$267,"",IF($C117="Clear=&gt;","",H117)),NA())</f>
        <v>#VALUE!</v>
      </c>
      <c r="I198" s="130" t="e">
        <f>IF(Sheet1!$D$195,CHOOSE(Sheet1!I$267,"",IF($C117="Clear=&gt;","",I117)),NA())</f>
        <v>#VALUE!</v>
      </c>
      <c r="J198" s="130" t="e">
        <f>IF(Sheet1!$D$195,CHOOSE(Sheet1!J$267,"",IF($C117="Clear=&gt;","",J117)),NA())</f>
        <v>#VALUE!</v>
      </c>
      <c r="K198" s="129" t="e">
        <f>IF(Sheet1!$D$195,CHOOSE(Sheet1!K$267,"",IF($C117="Clear=&gt;","",K117)),NA())</f>
        <v>#VALUE!</v>
      </c>
    </row>
    <row r="199" spans="2:11" ht="13.2" hidden="1" x14ac:dyDescent="0.25">
      <c r="B199" s="128" t="str">
        <f>IF(Sheet1!D$195,B118,NA())</f>
        <v xml:space="preserve"> </v>
      </c>
      <c r="C199" s="128"/>
      <c r="D199" s="131" t="e">
        <f>IF(Sheet1!$D$195,CHOOSE(Sheet1!D$267,"",IF($C118="Clear=&gt;","",D118)),NA())</f>
        <v>#VALUE!</v>
      </c>
      <c r="E199" s="130" t="e">
        <f>IF(Sheet1!$D$195,CHOOSE(Sheet1!E$267,"",IF($C118="Clear=&gt;","",E118)),NA())</f>
        <v>#VALUE!</v>
      </c>
      <c r="F199" s="130" t="e">
        <f>IF(Sheet1!$D$195,CHOOSE(Sheet1!F$267,"",IF($C118="Clear=&gt;","",F118)),NA())</f>
        <v>#VALUE!</v>
      </c>
      <c r="G199" s="130" t="e">
        <f>IF(Sheet1!$D$195,CHOOSE(Sheet1!G$267,"",IF($C118="Clear=&gt;","",G118)),NA())</f>
        <v>#VALUE!</v>
      </c>
      <c r="H199" s="130" t="e">
        <f>IF(Sheet1!$D$195,CHOOSE(Sheet1!H$267,"",IF($C118="Clear=&gt;","",H118)),NA())</f>
        <v>#VALUE!</v>
      </c>
      <c r="I199" s="130" t="e">
        <f>IF(Sheet1!$D$195,CHOOSE(Sheet1!I$267,"",IF($C118="Clear=&gt;","",I118)),NA())</f>
        <v>#VALUE!</v>
      </c>
      <c r="J199" s="130" t="e">
        <f>IF(Sheet1!$D$195,CHOOSE(Sheet1!J$267,"",IF($C118="Clear=&gt;","",J118)),NA())</f>
        <v>#VALUE!</v>
      </c>
      <c r="K199" s="129" t="e">
        <f>IF(Sheet1!$D$195,CHOOSE(Sheet1!K$267,"",IF($C118="Clear=&gt;","",K118)),NA())</f>
        <v>#VALUE!</v>
      </c>
    </row>
    <row r="200" spans="2:11" ht="13.2" hidden="1" x14ac:dyDescent="0.25">
      <c r="B200" s="128" t="str">
        <f>IF(Sheet1!D$195,B119,NA())</f>
        <v xml:space="preserve"> </v>
      </c>
      <c r="C200" s="128"/>
      <c r="D200" s="131" t="e">
        <f>IF(Sheet1!$D$195,CHOOSE(Sheet1!D$267,"",IF($C119="Clear=&gt;","",D119)),NA())</f>
        <v>#VALUE!</v>
      </c>
      <c r="E200" s="130" t="e">
        <f>IF(Sheet1!$D$195,CHOOSE(Sheet1!E$267,"",IF($C119="Clear=&gt;","",E119)),NA())</f>
        <v>#VALUE!</v>
      </c>
      <c r="F200" s="130" t="e">
        <f>IF(Sheet1!$D$195,CHOOSE(Sheet1!F$267,"",IF($C119="Clear=&gt;","",F119)),NA())</f>
        <v>#VALUE!</v>
      </c>
      <c r="G200" s="130" t="e">
        <f>IF(Sheet1!$D$195,CHOOSE(Sheet1!G$267,"",IF($C119="Clear=&gt;","",G119)),NA())</f>
        <v>#VALUE!</v>
      </c>
      <c r="H200" s="130" t="e">
        <f>IF(Sheet1!$D$195,CHOOSE(Sheet1!H$267,"",IF($C119="Clear=&gt;","",H119)),NA())</f>
        <v>#VALUE!</v>
      </c>
      <c r="I200" s="130" t="e">
        <f>IF(Sheet1!$D$195,CHOOSE(Sheet1!I$267,"",IF($C119="Clear=&gt;","",I119)),NA())</f>
        <v>#VALUE!</v>
      </c>
      <c r="J200" s="130" t="e">
        <f>IF(Sheet1!$D$195,CHOOSE(Sheet1!J$267,"",IF($C119="Clear=&gt;","",J119)),NA())</f>
        <v>#VALUE!</v>
      </c>
      <c r="K200" s="129" t="e">
        <f>IF(Sheet1!$D$195,CHOOSE(Sheet1!K$267,"",IF($C119="Clear=&gt;","",K119)),NA())</f>
        <v>#VALUE!</v>
      </c>
    </row>
    <row r="201" spans="2:11" ht="13.2" hidden="1" x14ac:dyDescent="0.25">
      <c r="B201" s="128" t="str">
        <f>IF(Sheet1!D$195,B120,NA())</f>
        <v xml:space="preserve"> </v>
      </c>
      <c r="C201" s="128"/>
      <c r="D201" s="131" t="e">
        <f>IF(Sheet1!$D$195,CHOOSE(Sheet1!D$267,"",IF($C120="Clear=&gt;","",D120)),NA())</f>
        <v>#VALUE!</v>
      </c>
      <c r="E201" s="130" t="e">
        <f>IF(Sheet1!$D$195,CHOOSE(Sheet1!E$267,"",IF($C120="Clear=&gt;","",E120)),NA())</f>
        <v>#VALUE!</v>
      </c>
      <c r="F201" s="130" t="e">
        <f>IF(Sheet1!$D$195,CHOOSE(Sheet1!F$267,"",IF($C120="Clear=&gt;","",F120)),NA())</f>
        <v>#VALUE!</v>
      </c>
      <c r="G201" s="130" t="e">
        <f>IF(Sheet1!$D$195,CHOOSE(Sheet1!G$267,"",IF($C120="Clear=&gt;","",G120)),NA())</f>
        <v>#VALUE!</v>
      </c>
      <c r="H201" s="130" t="e">
        <f>IF(Sheet1!$D$195,CHOOSE(Sheet1!H$267,"",IF($C120="Clear=&gt;","",H120)),NA())</f>
        <v>#VALUE!</v>
      </c>
      <c r="I201" s="130" t="e">
        <f>IF(Sheet1!$D$195,CHOOSE(Sheet1!I$267,"",IF($C120="Clear=&gt;","",I120)),NA())</f>
        <v>#VALUE!</v>
      </c>
      <c r="J201" s="130" t="e">
        <f>IF(Sheet1!$D$195,CHOOSE(Sheet1!J$267,"",IF($C120="Clear=&gt;","",J120)),NA())</f>
        <v>#VALUE!</v>
      </c>
      <c r="K201" s="129" t="e">
        <f>IF(Sheet1!$D$195,CHOOSE(Sheet1!K$267,"",IF($C120="Clear=&gt;","",K120)),NA())</f>
        <v>#VALUE!</v>
      </c>
    </row>
    <row r="202" spans="2:11" ht="13.2" hidden="1" x14ac:dyDescent="0.25">
      <c r="B202" s="128" t="str">
        <f>IF(Sheet1!D$195,B121,NA())</f>
        <v xml:space="preserve"> </v>
      </c>
      <c r="C202" s="128"/>
      <c r="D202" s="131" t="e">
        <f>IF(Sheet1!$D$195,CHOOSE(Sheet1!D$267,"",IF($C121="Clear=&gt;","",D121)),NA())</f>
        <v>#VALUE!</v>
      </c>
      <c r="E202" s="130" t="e">
        <f>IF(Sheet1!$D$195,CHOOSE(Sheet1!E$267,"",IF($C121="Clear=&gt;","",E121)),NA())</f>
        <v>#VALUE!</v>
      </c>
      <c r="F202" s="130" t="e">
        <f>IF(Sheet1!$D$195,CHOOSE(Sheet1!F$267,"",IF($C121="Clear=&gt;","",F121)),NA())</f>
        <v>#VALUE!</v>
      </c>
      <c r="G202" s="130" t="e">
        <f>IF(Sheet1!$D$195,CHOOSE(Sheet1!G$267,"",IF($C121="Clear=&gt;","",G121)),NA())</f>
        <v>#VALUE!</v>
      </c>
      <c r="H202" s="130" t="e">
        <f>IF(Sheet1!$D$195,CHOOSE(Sheet1!H$267,"",IF($C121="Clear=&gt;","",H121)),NA())</f>
        <v>#VALUE!</v>
      </c>
      <c r="I202" s="130" t="e">
        <f>IF(Sheet1!$D$195,CHOOSE(Sheet1!I$267,"",IF($C121="Clear=&gt;","",I121)),NA())</f>
        <v>#VALUE!</v>
      </c>
      <c r="J202" s="130" t="e">
        <f>IF(Sheet1!$D$195,CHOOSE(Sheet1!J$267,"",IF($C121="Clear=&gt;","",J121)),NA())</f>
        <v>#VALUE!</v>
      </c>
      <c r="K202" s="129" t="e">
        <f>IF(Sheet1!$D$195,CHOOSE(Sheet1!K$267,"",IF($C121="Clear=&gt;","",K121)),NA())</f>
        <v>#VALUE!</v>
      </c>
    </row>
    <row r="203" spans="2:11" ht="13.2" hidden="1" x14ac:dyDescent="0.25">
      <c r="B203" s="128" t="str">
        <f>IF(Sheet1!D$195,B122,NA())</f>
        <v xml:space="preserve"> </v>
      </c>
      <c r="C203" s="128"/>
      <c r="D203" s="131" t="e">
        <f>IF(Sheet1!$D$195,CHOOSE(Sheet1!D$267,"",IF($C122="Clear=&gt;","",D122)),NA())</f>
        <v>#VALUE!</v>
      </c>
      <c r="E203" s="130" t="e">
        <f>IF(Sheet1!$D$195,CHOOSE(Sheet1!E$267,"",IF($C122="Clear=&gt;","",E122)),NA())</f>
        <v>#VALUE!</v>
      </c>
      <c r="F203" s="130" t="e">
        <f>IF(Sheet1!$D$195,CHOOSE(Sheet1!F$267,"",IF($C122="Clear=&gt;","",F122)),NA())</f>
        <v>#VALUE!</v>
      </c>
      <c r="G203" s="130" t="e">
        <f>IF(Sheet1!$D$195,CHOOSE(Sheet1!G$267,"",IF($C122="Clear=&gt;","",G122)),NA())</f>
        <v>#VALUE!</v>
      </c>
      <c r="H203" s="130" t="e">
        <f>IF(Sheet1!$D$195,CHOOSE(Sheet1!H$267,"",IF($C122="Clear=&gt;","",H122)),NA())</f>
        <v>#VALUE!</v>
      </c>
      <c r="I203" s="130" t="e">
        <f>IF(Sheet1!$D$195,CHOOSE(Sheet1!I$267,"",IF($C122="Clear=&gt;","",I122)),NA())</f>
        <v>#VALUE!</v>
      </c>
      <c r="J203" s="130" t="e">
        <f>IF(Sheet1!$D$195,CHOOSE(Sheet1!J$267,"",IF($C122="Clear=&gt;","",J122)),NA())</f>
        <v>#VALUE!</v>
      </c>
      <c r="K203" s="129" t="e">
        <f>IF(Sheet1!$D$195,CHOOSE(Sheet1!K$267,"",IF($C122="Clear=&gt;","",K122)),NA())</f>
        <v>#VALUE!</v>
      </c>
    </row>
    <row r="204" spans="2:11" ht="13.2" hidden="1" x14ac:dyDescent="0.25">
      <c r="B204" s="128" t="str">
        <f>IF(Sheet1!D$195,B123,NA())</f>
        <v xml:space="preserve"> </v>
      </c>
      <c r="C204" s="128"/>
      <c r="D204" s="131" t="e">
        <f>IF(Sheet1!$D$195,CHOOSE(Sheet1!D$267,"",IF($C123="Clear=&gt;","",D123)),NA())</f>
        <v>#VALUE!</v>
      </c>
      <c r="E204" s="130" t="e">
        <f>IF(Sheet1!$D$195,CHOOSE(Sheet1!E$267,"",IF($C123="Clear=&gt;","",E123)),NA())</f>
        <v>#VALUE!</v>
      </c>
      <c r="F204" s="130" t="e">
        <f>IF(Sheet1!$D$195,CHOOSE(Sheet1!F$267,"",IF($C123="Clear=&gt;","",F123)),NA())</f>
        <v>#VALUE!</v>
      </c>
      <c r="G204" s="130" t="e">
        <f>IF(Sheet1!$D$195,CHOOSE(Sheet1!G$267,"",IF($C123="Clear=&gt;","",G123)),NA())</f>
        <v>#VALUE!</v>
      </c>
      <c r="H204" s="130" t="e">
        <f>IF(Sheet1!$D$195,CHOOSE(Sheet1!H$267,"",IF($C123="Clear=&gt;","",H123)),NA())</f>
        <v>#VALUE!</v>
      </c>
      <c r="I204" s="130" t="e">
        <f>IF(Sheet1!$D$195,CHOOSE(Sheet1!I$267,"",IF($C123="Clear=&gt;","",I123)),NA())</f>
        <v>#VALUE!</v>
      </c>
      <c r="J204" s="130" t="e">
        <f>IF(Sheet1!$D$195,CHOOSE(Sheet1!J$267,"",IF($C123="Clear=&gt;","",J123)),NA())</f>
        <v>#VALUE!</v>
      </c>
      <c r="K204" s="129" t="e">
        <f>IF(Sheet1!$D$195,CHOOSE(Sheet1!K$267,"",IF($C123="Clear=&gt;","",K123)),NA())</f>
        <v>#VALUE!</v>
      </c>
    </row>
    <row r="205" spans="2:11" ht="13.2" hidden="1" x14ac:dyDescent="0.25">
      <c r="B205" s="128" t="str">
        <f>IF(Sheet1!D$195,B124,NA())</f>
        <v xml:space="preserve"> </v>
      </c>
      <c r="C205" s="128"/>
      <c r="D205" s="131" t="e">
        <f>IF(Sheet1!$D$195,CHOOSE(Sheet1!D$267,"",IF($C124="Clear=&gt;","",D124)),NA())</f>
        <v>#VALUE!</v>
      </c>
      <c r="E205" s="130" t="e">
        <f>IF(Sheet1!$D$195,CHOOSE(Sheet1!E$267,"",IF($C124="Clear=&gt;","",E124)),NA())</f>
        <v>#VALUE!</v>
      </c>
      <c r="F205" s="130" t="e">
        <f>IF(Sheet1!$D$195,CHOOSE(Sheet1!F$267,"",IF($C124="Clear=&gt;","",F124)),NA())</f>
        <v>#VALUE!</v>
      </c>
      <c r="G205" s="130" t="e">
        <f>IF(Sheet1!$D$195,CHOOSE(Sheet1!G$267,"",IF($C124="Clear=&gt;","",G124)),NA())</f>
        <v>#VALUE!</v>
      </c>
      <c r="H205" s="130" t="e">
        <f>IF(Sheet1!$D$195,CHOOSE(Sheet1!H$267,"",IF($C124="Clear=&gt;","",H124)),NA())</f>
        <v>#VALUE!</v>
      </c>
      <c r="I205" s="130" t="e">
        <f>IF(Sheet1!$D$195,CHOOSE(Sheet1!I$267,"",IF($C124="Clear=&gt;","",I124)),NA())</f>
        <v>#VALUE!</v>
      </c>
      <c r="J205" s="130" t="e">
        <f>IF(Sheet1!$D$195,CHOOSE(Sheet1!J$267,"",IF($C124="Clear=&gt;","",J124)),NA())</f>
        <v>#VALUE!</v>
      </c>
      <c r="K205" s="129" t="e">
        <f>IF(Sheet1!$D$195,CHOOSE(Sheet1!K$267,"",IF($C124="Clear=&gt;","",K124)),NA())</f>
        <v>#VALUE!</v>
      </c>
    </row>
    <row r="206" spans="2:11" ht="13.2" hidden="1" x14ac:dyDescent="0.25">
      <c r="B206" s="128" t="str">
        <f>IF(Sheet1!D$195,B125,NA())</f>
        <v xml:space="preserve"> </v>
      </c>
      <c r="C206" s="128"/>
      <c r="D206" s="131" t="e">
        <f>IF(Sheet1!$D$195,CHOOSE(Sheet1!D$267,"",IF($C125="Clear=&gt;","",D125)),NA())</f>
        <v>#VALUE!</v>
      </c>
      <c r="E206" s="130" t="e">
        <f>IF(Sheet1!$D$195,CHOOSE(Sheet1!E$267,"",IF($C125="Clear=&gt;","",E125)),NA())</f>
        <v>#VALUE!</v>
      </c>
      <c r="F206" s="130" t="e">
        <f>IF(Sheet1!$D$195,CHOOSE(Sheet1!F$267,"",IF($C125="Clear=&gt;","",F125)),NA())</f>
        <v>#VALUE!</v>
      </c>
      <c r="G206" s="130" t="e">
        <f>IF(Sheet1!$D$195,CHOOSE(Sheet1!G$267,"",IF($C125="Clear=&gt;","",G125)),NA())</f>
        <v>#VALUE!</v>
      </c>
      <c r="H206" s="130" t="e">
        <f>IF(Sheet1!$D$195,CHOOSE(Sheet1!H$267,"",IF($C125="Clear=&gt;","",H125)),NA())</f>
        <v>#VALUE!</v>
      </c>
      <c r="I206" s="130" t="e">
        <f>IF(Sheet1!$D$195,CHOOSE(Sheet1!I$267,"",IF($C125="Clear=&gt;","",I125)),NA())</f>
        <v>#VALUE!</v>
      </c>
      <c r="J206" s="130" t="e">
        <f>IF(Sheet1!$D$195,CHOOSE(Sheet1!J$267,"",IF($C125="Clear=&gt;","",J125)),NA())</f>
        <v>#VALUE!</v>
      </c>
      <c r="K206" s="129" t="e">
        <f>IF(Sheet1!$D$195,CHOOSE(Sheet1!K$267,"",IF($C125="Clear=&gt;","",K125)),NA())</f>
        <v>#VALUE!</v>
      </c>
    </row>
    <row r="207" spans="2:11" ht="13.2" hidden="1" x14ac:dyDescent="0.25">
      <c r="B207" s="128" t="str">
        <f>IF(Sheet1!D$195,B126,NA())</f>
        <v xml:space="preserve"> </v>
      </c>
      <c r="C207" s="128"/>
      <c r="D207" s="131" t="e">
        <f>IF(Sheet1!$D$195,CHOOSE(Sheet1!D$267,"",IF($C126="Clear=&gt;","",D126)),NA())</f>
        <v>#VALUE!</v>
      </c>
      <c r="E207" s="130" t="e">
        <f>IF(Sheet1!$D$195,CHOOSE(Sheet1!E$267,"",IF($C126="Clear=&gt;","",E126)),NA())</f>
        <v>#VALUE!</v>
      </c>
      <c r="F207" s="130" t="e">
        <f>IF(Sheet1!$D$195,CHOOSE(Sheet1!F$267,"",IF($C126="Clear=&gt;","",F126)),NA())</f>
        <v>#VALUE!</v>
      </c>
      <c r="G207" s="130" t="e">
        <f>IF(Sheet1!$D$195,CHOOSE(Sheet1!G$267,"",IF($C126="Clear=&gt;","",G126)),NA())</f>
        <v>#VALUE!</v>
      </c>
      <c r="H207" s="130" t="e">
        <f>IF(Sheet1!$D$195,CHOOSE(Sheet1!H$267,"",IF($C126="Clear=&gt;","",H126)),NA())</f>
        <v>#VALUE!</v>
      </c>
      <c r="I207" s="130" t="e">
        <f>IF(Sheet1!$D$195,CHOOSE(Sheet1!I$267,"",IF($C126="Clear=&gt;","",I126)),NA())</f>
        <v>#VALUE!</v>
      </c>
      <c r="J207" s="130" t="e">
        <f>IF(Sheet1!$D$195,CHOOSE(Sheet1!J$267,"",IF($C126="Clear=&gt;","",J126)),NA())</f>
        <v>#VALUE!</v>
      </c>
      <c r="K207" s="129" t="e">
        <f>IF(Sheet1!$D$195,CHOOSE(Sheet1!K$267,"",IF($C126="Clear=&gt;","",K126)),NA())</f>
        <v>#VALUE!</v>
      </c>
    </row>
    <row r="208" spans="2:11" ht="13.2" hidden="1" x14ac:dyDescent="0.25">
      <c r="B208" s="128" t="str">
        <f>IF(Sheet1!D$195,B127,NA())</f>
        <v xml:space="preserve"> </v>
      </c>
      <c r="C208" s="128"/>
      <c r="D208" s="131" t="e">
        <f>IF(Sheet1!$D$195,CHOOSE(Sheet1!D$267,"",IF($C127="Clear=&gt;","",D127)),NA())</f>
        <v>#VALUE!</v>
      </c>
      <c r="E208" s="130" t="e">
        <f>IF(Sheet1!$D$195,CHOOSE(Sheet1!E$267,"",IF($C127="Clear=&gt;","",E127)),NA())</f>
        <v>#VALUE!</v>
      </c>
      <c r="F208" s="130" t="e">
        <f>IF(Sheet1!$D$195,CHOOSE(Sheet1!F$267,"",IF($C127="Clear=&gt;","",F127)),NA())</f>
        <v>#VALUE!</v>
      </c>
      <c r="G208" s="130" t="e">
        <f>IF(Sheet1!$D$195,CHOOSE(Sheet1!G$267,"",IF($C127="Clear=&gt;","",G127)),NA())</f>
        <v>#VALUE!</v>
      </c>
      <c r="H208" s="130" t="e">
        <f>IF(Sheet1!$D$195,CHOOSE(Sheet1!H$267,"",IF($C127="Clear=&gt;","",H127)),NA())</f>
        <v>#VALUE!</v>
      </c>
      <c r="I208" s="130" t="e">
        <f>IF(Sheet1!$D$195,CHOOSE(Sheet1!I$267,"",IF($C127="Clear=&gt;","",I127)),NA())</f>
        <v>#VALUE!</v>
      </c>
      <c r="J208" s="130" t="e">
        <f>IF(Sheet1!$D$195,CHOOSE(Sheet1!J$267,"",IF($C127="Clear=&gt;","",J127)),NA())</f>
        <v>#VALUE!</v>
      </c>
      <c r="K208" s="129" t="e">
        <f>IF(Sheet1!$D$195,CHOOSE(Sheet1!K$267,"",IF($C127="Clear=&gt;","",K127)),NA())</f>
        <v>#VALUE!</v>
      </c>
    </row>
    <row r="209" spans="2:11" ht="13.2" hidden="1" x14ac:dyDescent="0.25">
      <c r="B209" s="128" t="str">
        <f>IF(Sheet1!D$195,B128,NA())</f>
        <v xml:space="preserve"> </v>
      </c>
      <c r="C209" s="128"/>
      <c r="D209" s="131" t="e">
        <f>IF(Sheet1!$D$195,CHOOSE(Sheet1!D$267,"",IF($C128="Clear=&gt;","",D128)),NA())</f>
        <v>#VALUE!</v>
      </c>
      <c r="E209" s="130" t="e">
        <f>IF(Sheet1!$D$195,CHOOSE(Sheet1!E$267,"",IF($C128="Clear=&gt;","",E128)),NA())</f>
        <v>#VALUE!</v>
      </c>
      <c r="F209" s="130" t="e">
        <f>IF(Sheet1!$D$195,CHOOSE(Sheet1!F$267,"",IF($C128="Clear=&gt;","",F128)),NA())</f>
        <v>#VALUE!</v>
      </c>
      <c r="G209" s="130" t="e">
        <f>IF(Sheet1!$D$195,CHOOSE(Sheet1!G$267,"",IF($C128="Clear=&gt;","",G128)),NA())</f>
        <v>#VALUE!</v>
      </c>
      <c r="H209" s="130" t="e">
        <f>IF(Sheet1!$D$195,CHOOSE(Sheet1!H$267,"",IF($C128="Clear=&gt;","",H128)),NA())</f>
        <v>#VALUE!</v>
      </c>
      <c r="I209" s="130" t="e">
        <f>IF(Sheet1!$D$195,CHOOSE(Sheet1!I$267,"",IF($C128="Clear=&gt;","",I128)),NA())</f>
        <v>#VALUE!</v>
      </c>
      <c r="J209" s="130" t="e">
        <f>IF(Sheet1!$D$195,CHOOSE(Sheet1!J$267,"",IF($C128="Clear=&gt;","",J128)),NA())</f>
        <v>#VALUE!</v>
      </c>
      <c r="K209" s="129" t="e">
        <f>IF(Sheet1!$D$195,CHOOSE(Sheet1!K$267,"",IF($C128="Clear=&gt;","",K128)),NA())</f>
        <v>#VALUE!</v>
      </c>
    </row>
    <row r="210" spans="2:11" ht="13.2" hidden="1" x14ac:dyDescent="0.25">
      <c r="B210" s="128" t="str">
        <f>IF(Sheet1!D$195,B129,NA())</f>
        <v xml:space="preserve"> </v>
      </c>
      <c r="C210" s="128"/>
      <c r="D210" s="131" t="e">
        <f>IF(Sheet1!$D$195,CHOOSE(Sheet1!D$267,"",IF($C129="Clear=&gt;","",D129)),NA())</f>
        <v>#VALUE!</v>
      </c>
      <c r="E210" s="130" t="e">
        <f>IF(Sheet1!$D$195,CHOOSE(Sheet1!E$267,"",IF($C129="Clear=&gt;","",E129)),NA())</f>
        <v>#VALUE!</v>
      </c>
      <c r="F210" s="130" t="e">
        <f>IF(Sheet1!$D$195,CHOOSE(Sheet1!F$267,"",IF($C129="Clear=&gt;","",F129)),NA())</f>
        <v>#VALUE!</v>
      </c>
      <c r="G210" s="130" t="e">
        <f>IF(Sheet1!$D$195,CHOOSE(Sheet1!G$267,"",IF($C129="Clear=&gt;","",G129)),NA())</f>
        <v>#VALUE!</v>
      </c>
      <c r="H210" s="130" t="e">
        <f>IF(Sheet1!$D$195,CHOOSE(Sheet1!H$267,"",IF($C129="Clear=&gt;","",H129)),NA())</f>
        <v>#VALUE!</v>
      </c>
      <c r="I210" s="130" t="e">
        <f>IF(Sheet1!$D$195,CHOOSE(Sheet1!I$267,"",IF($C129="Clear=&gt;","",I129)),NA())</f>
        <v>#VALUE!</v>
      </c>
      <c r="J210" s="130" t="e">
        <f>IF(Sheet1!$D$195,CHOOSE(Sheet1!J$267,"",IF($C129="Clear=&gt;","",J129)),NA())</f>
        <v>#VALUE!</v>
      </c>
      <c r="K210" s="129" t="e">
        <f>IF(Sheet1!$D$195,CHOOSE(Sheet1!K$267,"",IF($C129="Clear=&gt;","",K129)),NA())</f>
        <v>#VALUE!</v>
      </c>
    </row>
    <row r="211" spans="2:11" ht="13.2" hidden="1" x14ac:dyDescent="0.25">
      <c r="B211" s="128" t="str">
        <f>IF(Sheet1!D$195,B130,NA())</f>
        <v xml:space="preserve"> </v>
      </c>
      <c r="C211" s="128"/>
      <c r="D211" s="131" t="e">
        <f>IF(Sheet1!$D$195,CHOOSE(Sheet1!D$267,"",IF($C130="Clear=&gt;","",D130)),NA())</f>
        <v>#VALUE!</v>
      </c>
      <c r="E211" s="130" t="e">
        <f>IF(Sheet1!$D$195,CHOOSE(Sheet1!E$267,"",IF($C130="Clear=&gt;","",E130)),NA())</f>
        <v>#VALUE!</v>
      </c>
      <c r="F211" s="130" t="e">
        <f>IF(Sheet1!$D$195,CHOOSE(Sheet1!F$267,"",IF($C130="Clear=&gt;","",F130)),NA())</f>
        <v>#VALUE!</v>
      </c>
      <c r="G211" s="130" t="e">
        <f>IF(Sheet1!$D$195,CHOOSE(Sheet1!G$267,"",IF($C130="Clear=&gt;","",G130)),NA())</f>
        <v>#VALUE!</v>
      </c>
      <c r="H211" s="130" t="e">
        <f>IF(Sheet1!$D$195,CHOOSE(Sheet1!H$267,"",IF($C130="Clear=&gt;","",H130)),NA())</f>
        <v>#VALUE!</v>
      </c>
      <c r="I211" s="130" t="e">
        <f>IF(Sheet1!$D$195,CHOOSE(Sheet1!I$267,"",IF($C130="Clear=&gt;","",I130)),NA())</f>
        <v>#VALUE!</v>
      </c>
      <c r="J211" s="130" t="e">
        <f>IF(Sheet1!$D$195,CHOOSE(Sheet1!J$267,"",IF($C130="Clear=&gt;","",J130)),NA())</f>
        <v>#VALUE!</v>
      </c>
      <c r="K211" s="129" t="e">
        <f>IF(Sheet1!$D$195,CHOOSE(Sheet1!K$267,"",IF($C130="Clear=&gt;","",K130)),NA())</f>
        <v>#VALUE!</v>
      </c>
    </row>
    <row r="212" spans="2:11" ht="13.2" hidden="1" x14ac:dyDescent="0.25">
      <c r="B212" s="128" t="str">
        <f>IF(Sheet1!D$195,B131,NA())</f>
        <v xml:space="preserve"> </v>
      </c>
      <c r="C212" s="128"/>
      <c r="D212" s="131" t="e">
        <f>IF(Sheet1!$D$195,CHOOSE(Sheet1!D$267,"",IF($C131="Clear=&gt;","",D131)),NA())</f>
        <v>#VALUE!</v>
      </c>
      <c r="E212" s="130" t="e">
        <f>IF(Sheet1!$D$195,CHOOSE(Sheet1!E$267,"",IF($C131="Clear=&gt;","",E131)),NA())</f>
        <v>#VALUE!</v>
      </c>
      <c r="F212" s="130" t="e">
        <f>IF(Sheet1!$D$195,CHOOSE(Sheet1!F$267,"",IF($C131="Clear=&gt;","",F131)),NA())</f>
        <v>#VALUE!</v>
      </c>
      <c r="G212" s="130" t="e">
        <f>IF(Sheet1!$D$195,CHOOSE(Sheet1!G$267,"",IF($C131="Clear=&gt;","",G131)),NA())</f>
        <v>#VALUE!</v>
      </c>
      <c r="H212" s="130" t="e">
        <f>IF(Sheet1!$D$195,CHOOSE(Sheet1!H$267,"",IF($C131="Clear=&gt;","",H131)),NA())</f>
        <v>#VALUE!</v>
      </c>
      <c r="I212" s="130" t="e">
        <f>IF(Sheet1!$D$195,CHOOSE(Sheet1!I$267,"",IF($C131="Clear=&gt;","",I131)),NA())</f>
        <v>#VALUE!</v>
      </c>
      <c r="J212" s="130" t="e">
        <f>IF(Sheet1!$D$195,CHOOSE(Sheet1!J$267,"",IF($C131="Clear=&gt;","",J131)),NA())</f>
        <v>#VALUE!</v>
      </c>
      <c r="K212" s="129" t="e">
        <f>IF(Sheet1!$D$195,CHOOSE(Sheet1!K$267,"",IF($C131="Clear=&gt;","",K131)),NA())</f>
        <v>#VALUE!</v>
      </c>
    </row>
    <row r="213" spans="2:11" ht="13.2" hidden="1" x14ac:dyDescent="0.25">
      <c r="B213" s="128" t="str">
        <f>IF(Sheet1!D$195,B132,NA())</f>
        <v xml:space="preserve"> </v>
      </c>
      <c r="C213" s="128"/>
      <c r="D213" s="131" t="e">
        <f>IF(Sheet1!$D$195,CHOOSE(Sheet1!D$267,"",IF($C132="Clear=&gt;","",D132)),NA())</f>
        <v>#VALUE!</v>
      </c>
      <c r="E213" s="130" t="e">
        <f>IF(Sheet1!$D$195,CHOOSE(Sheet1!E$267,"",IF($C132="Clear=&gt;","",E132)),NA())</f>
        <v>#VALUE!</v>
      </c>
      <c r="F213" s="130" t="e">
        <f>IF(Sheet1!$D$195,CHOOSE(Sheet1!F$267,"",IF($C132="Clear=&gt;","",F132)),NA())</f>
        <v>#VALUE!</v>
      </c>
      <c r="G213" s="130" t="e">
        <f>IF(Sheet1!$D$195,CHOOSE(Sheet1!G$267,"",IF($C132="Clear=&gt;","",G132)),NA())</f>
        <v>#VALUE!</v>
      </c>
      <c r="H213" s="130" t="e">
        <f>IF(Sheet1!$D$195,CHOOSE(Sheet1!H$267,"",IF($C132="Clear=&gt;","",H132)),NA())</f>
        <v>#VALUE!</v>
      </c>
      <c r="I213" s="130" t="e">
        <f>IF(Sheet1!$D$195,CHOOSE(Sheet1!I$267,"",IF($C132="Clear=&gt;","",I132)),NA())</f>
        <v>#VALUE!</v>
      </c>
      <c r="J213" s="130" t="e">
        <f>IF(Sheet1!$D$195,CHOOSE(Sheet1!J$267,"",IF($C132="Clear=&gt;","",J132)),NA())</f>
        <v>#VALUE!</v>
      </c>
      <c r="K213" s="129" t="e">
        <f>IF(Sheet1!$D$195,CHOOSE(Sheet1!K$267,"",IF($C132="Clear=&gt;","",K132)),NA())</f>
        <v>#VALUE!</v>
      </c>
    </row>
    <row r="214" spans="2:11" ht="13.2" hidden="1" x14ac:dyDescent="0.25">
      <c r="B214" s="128" t="str">
        <f>IF(Sheet1!D$195,B133,NA())</f>
        <v xml:space="preserve"> </v>
      </c>
      <c r="C214" s="128"/>
      <c r="D214" s="131" t="e">
        <f>IF(Sheet1!$D$195,CHOOSE(Sheet1!D$267,"",IF($C133="Clear=&gt;","",D133)),NA())</f>
        <v>#VALUE!</v>
      </c>
      <c r="E214" s="130" t="e">
        <f>IF(Sheet1!$D$195,CHOOSE(Sheet1!E$267,"",IF($C133="Clear=&gt;","",E133)),NA())</f>
        <v>#VALUE!</v>
      </c>
      <c r="F214" s="130" t="e">
        <f>IF(Sheet1!$D$195,CHOOSE(Sheet1!F$267,"",IF($C133="Clear=&gt;","",F133)),NA())</f>
        <v>#VALUE!</v>
      </c>
      <c r="G214" s="130" t="e">
        <f>IF(Sheet1!$D$195,CHOOSE(Sheet1!G$267,"",IF($C133="Clear=&gt;","",G133)),NA())</f>
        <v>#VALUE!</v>
      </c>
      <c r="H214" s="130" t="e">
        <f>IF(Sheet1!$D$195,CHOOSE(Sheet1!H$267,"",IF($C133="Clear=&gt;","",H133)),NA())</f>
        <v>#VALUE!</v>
      </c>
      <c r="I214" s="130" t="e">
        <f>IF(Sheet1!$D$195,CHOOSE(Sheet1!I$267,"",IF($C133="Clear=&gt;","",I133)),NA())</f>
        <v>#VALUE!</v>
      </c>
      <c r="J214" s="130" t="e">
        <f>IF(Sheet1!$D$195,CHOOSE(Sheet1!J$267,"",IF($C133="Clear=&gt;","",J133)),NA())</f>
        <v>#VALUE!</v>
      </c>
      <c r="K214" s="129" t="e">
        <f>IF(Sheet1!$D$195,CHOOSE(Sheet1!K$267,"",IF($C133="Clear=&gt;","",K133)),NA())</f>
        <v>#VALUE!</v>
      </c>
    </row>
    <row r="215" spans="2:11" ht="13.2" hidden="1" x14ac:dyDescent="0.25">
      <c r="B215" s="128" t="str">
        <f>IF(Sheet1!D$195,B134,NA())</f>
        <v xml:space="preserve"> </v>
      </c>
      <c r="C215" s="128"/>
      <c r="D215" s="131" t="e">
        <f>IF(Sheet1!$D$195,CHOOSE(Sheet1!D$267,"",IF($C134="Clear=&gt;","",D134)),NA())</f>
        <v>#VALUE!</v>
      </c>
      <c r="E215" s="130" t="e">
        <f>IF(Sheet1!$D$195,CHOOSE(Sheet1!E$267,"",IF($C134="Clear=&gt;","",E134)),NA())</f>
        <v>#VALUE!</v>
      </c>
      <c r="F215" s="130" t="e">
        <f>IF(Sheet1!$D$195,CHOOSE(Sheet1!F$267,"",IF($C134="Clear=&gt;","",F134)),NA())</f>
        <v>#VALUE!</v>
      </c>
      <c r="G215" s="130" t="e">
        <f>IF(Sheet1!$D$195,CHOOSE(Sheet1!G$267,"",IF($C134="Clear=&gt;","",G134)),NA())</f>
        <v>#VALUE!</v>
      </c>
      <c r="H215" s="130" t="e">
        <f>IF(Sheet1!$D$195,CHOOSE(Sheet1!H$267,"",IF($C134="Clear=&gt;","",H134)),NA())</f>
        <v>#VALUE!</v>
      </c>
      <c r="I215" s="130" t="e">
        <f>IF(Sheet1!$D$195,CHOOSE(Sheet1!I$267,"",IF($C134="Clear=&gt;","",I134)),NA())</f>
        <v>#VALUE!</v>
      </c>
      <c r="J215" s="130" t="e">
        <f>IF(Sheet1!$D$195,CHOOSE(Sheet1!J$267,"",IF($C134="Clear=&gt;","",J134)),NA())</f>
        <v>#VALUE!</v>
      </c>
      <c r="K215" s="129" t="e">
        <f>IF(Sheet1!$D$195,CHOOSE(Sheet1!K$267,"",IF($C134="Clear=&gt;","",K134)),NA())</f>
        <v>#VALUE!</v>
      </c>
    </row>
    <row r="216" spans="2:11" ht="13.2" hidden="1" x14ac:dyDescent="0.25">
      <c r="B216" s="128" t="str">
        <f>IF(Sheet1!D$195,B135,NA())</f>
        <v xml:space="preserve"> </v>
      </c>
      <c r="C216" s="128"/>
      <c r="D216" s="131" t="e">
        <f>IF(Sheet1!$D$195,CHOOSE(Sheet1!D$267,"",IF($C135="Clear=&gt;","",D135)),NA())</f>
        <v>#VALUE!</v>
      </c>
      <c r="E216" s="130" t="e">
        <f>IF(Sheet1!$D$195,CHOOSE(Sheet1!E$267,"",IF($C135="Clear=&gt;","",E135)),NA())</f>
        <v>#VALUE!</v>
      </c>
      <c r="F216" s="130" t="e">
        <f>IF(Sheet1!$D$195,CHOOSE(Sheet1!F$267,"",IF($C135="Clear=&gt;","",F135)),NA())</f>
        <v>#VALUE!</v>
      </c>
      <c r="G216" s="130" t="e">
        <f>IF(Sheet1!$D$195,CHOOSE(Sheet1!G$267,"",IF($C135="Clear=&gt;","",G135)),NA())</f>
        <v>#VALUE!</v>
      </c>
      <c r="H216" s="130" t="e">
        <f>IF(Sheet1!$D$195,CHOOSE(Sheet1!H$267,"",IF($C135="Clear=&gt;","",H135)),NA())</f>
        <v>#VALUE!</v>
      </c>
      <c r="I216" s="130" t="e">
        <f>IF(Sheet1!$D$195,CHOOSE(Sheet1!I$267,"",IF($C135="Clear=&gt;","",I135)),NA())</f>
        <v>#VALUE!</v>
      </c>
      <c r="J216" s="130" t="e">
        <f>IF(Sheet1!$D$195,CHOOSE(Sheet1!J$267,"",IF($C135="Clear=&gt;","",J135)),NA())</f>
        <v>#VALUE!</v>
      </c>
      <c r="K216" s="129" t="e">
        <f>IF(Sheet1!$D$195,CHOOSE(Sheet1!K$267,"",IF($C135="Clear=&gt;","",K135)),NA())</f>
        <v>#VALUE!</v>
      </c>
    </row>
    <row r="217" spans="2:11" ht="13.2" hidden="1" x14ac:dyDescent="0.25">
      <c r="B217" s="128" t="str">
        <f>IF(Sheet1!D$195,B136,NA())</f>
        <v xml:space="preserve"> </v>
      </c>
      <c r="C217" s="128"/>
      <c r="D217" s="131" t="e">
        <f>IF(Sheet1!$D$195,CHOOSE(Sheet1!D$267,"",IF($C136="Clear=&gt;","",D136)),NA())</f>
        <v>#VALUE!</v>
      </c>
      <c r="E217" s="130" t="e">
        <f>IF(Sheet1!$D$195,CHOOSE(Sheet1!E$267,"",IF($C136="Clear=&gt;","",E136)),NA())</f>
        <v>#VALUE!</v>
      </c>
      <c r="F217" s="130" t="e">
        <f>IF(Sheet1!$D$195,CHOOSE(Sheet1!F$267,"",IF($C136="Clear=&gt;","",F136)),NA())</f>
        <v>#VALUE!</v>
      </c>
      <c r="G217" s="130" t="e">
        <f>IF(Sheet1!$D$195,CHOOSE(Sheet1!G$267,"",IF($C136="Clear=&gt;","",G136)),NA())</f>
        <v>#VALUE!</v>
      </c>
      <c r="H217" s="130" t="e">
        <f>IF(Sheet1!$D$195,CHOOSE(Sheet1!H$267,"",IF($C136="Clear=&gt;","",H136)),NA())</f>
        <v>#VALUE!</v>
      </c>
      <c r="I217" s="130" t="e">
        <f>IF(Sheet1!$D$195,CHOOSE(Sheet1!I$267,"",IF($C136="Clear=&gt;","",I136)),NA())</f>
        <v>#VALUE!</v>
      </c>
      <c r="J217" s="130" t="e">
        <f>IF(Sheet1!$D$195,CHOOSE(Sheet1!J$267,"",IF($C136="Clear=&gt;","",J136)),NA())</f>
        <v>#VALUE!</v>
      </c>
      <c r="K217" s="129" t="e">
        <f>IF(Sheet1!$D$195,CHOOSE(Sheet1!K$267,"",IF($C136="Clear=&gt;","",K136)),NA())</f>
        <v>#VALUE!</v>
      </c>
    </row>
    <row r="218" spans="2:11" ht="13.2" hidden="1" x14ac:dyDescent="0.25">
      <c r="B218" s="128" t="str">
        <f>IF(Sheet1!D$195,B137,NA())</f>
        <v xml:space="preserve"> </v>
      </c>
      <c r="C218" s="128"/>
      <c r="D218" s="131" t="e">
        <f>IF(Sheet1!$D$195,CHOOSE(Sheet1!D$267,"",IF($C137="Clear=&gt;","",D137)),NA())</f>
        <v>#VALUE!</v>
      </c>
      <c r="E218" s="130" t="e">
        <f>IF(Sheet1!$D$195,CHOOSE(Sheet1!E$267,"",IF($C137="Clear=&gt;","",E137)),NA())</f>
        <v>#VALUE!</v>
      </c>
      <c r="F218" s="130" t="e">
        <f>IF(Sheet1!$D$195,CHOOSE(Sheet1!F$267,"",IF($C137="Clear=&gt;","",F137)),NA())</f>
        <v>#VALUE!</v>
      </c>
      <c r="G218" s="130" t="e">
        <f>IF(Sheet1!$D$195,CHOOSE(Sheet1!G$267,"",IF($C137="Clear=&gt;","",G137)),NA())</f>
        <v>#VALUE!</v>
      </c>
      <c r="H218" s="130" t="e">
        <f>IF(Sheet1!$D$195,CHOOSE(Sheet1!H$267,"",IF($C137="Clear=&gt;","",H137)),NA())</f>
        <v>#VALUE!</v>
      </c>
      <c r="I218" s="130" t="e">
        <f>IF(Sheet1!$D$195,CHOOSE(Sheet1!I$267,"",IF($C137="Clear=&gt;","",I137)),NA())</f>
        <v>#VALUE!</v>
      </c>
      <c r="J218" s="130" t="e">
        <f>IF(Sheet1!$D$195,CHOOSE(Sheet1!J$267,"",IF($C137="Clear=&gt;","",J137)),NA())</f>
        <v>#VALUE!</v>
      </c>
      <c r="K218" s="129" t="e">
        <f>IF(Sheet1!$D$195,CHOOSE(Sheet1!K$267,"",IF($C137="Clear=&gt;","",K137)),NA())</f>
        <v>#VALUE!</v>
      </c>
    </row>
    <row r="219" spans="2:11" ht="13.2" hidden="1" x14ac:dyDescent="0.25">
      <c r="B219" s="128" t="str">
        <f>IF(Sheet1!D$195,B138,NA())</f>
        <v xml:space="preserve"> </v>
      </c>
      <c r="C219" s="128"/>
      <c r="D219" s="131" t="e">
        <f>IF(Sheet1!$D$195,CHOOSE(Sheet1!D$267,"",IF($C138="Clear=&gt;","",D138)),NA())</f>
        <v>#VALUE!</v>
      </c>
      <c r="E219" s="130" t="e">
        <f>IF(Sheet1!$D$195,CHOOSE(Sheet1!E$267,"",IF($C138="Clear=&gt;","",E138)),NA())</f>
        <v>#VALUE!</v>
      </c>
      <c r="F219" s="130" t="e">
        <f>IF(Sheet1!$D$195,CHOOSE(Sheet1!F$267,"",IF($C138="Clear=&gt;","",F138)),NA())</f>
        <v>#VALUE!</v>
      </c>
      <c r="G219" s="130" t="e">
        <f>IF(Sheet1!$D$195,CHOOSE(Sheet1!G$267,"",IF($C138="Clear=&gt;","",G138)),NA())</f>
        <v>#VALUE!</v>
      </c>
      <c r="H219" s="130" t="e">
        <f>IF(Sheet1!$D$195,CHOOSE(Sheet1!H$267,"",IF($C138="Clear=&gt;","",H138)),NA())</f>
        <v>#VALUE!</v>
      </c>
      <c r="I219" s="130" t="e">
        <f>IF(Sheet1!$D$195,CHOOSE(Sheet1!I$267,"",IF($C138="Clear=&gt;","",I138)),NA())</f>
        <v>#VALUE!</v>
      </c>
      <c r="J219" s="130" t="e">
        <f>IF(Sheet1!$D$195,CHOOSE(Sheet1!J$267,"",IF($C138="Clear=&gt;","",J138)),NA())</f>
        <v>#VALUE!</v>
      </c>
      <c r="K219" s="129" t="e">
        <f>IF(Sheet1!$D$195,CHOOSE(Sheet1!K$267,"",IF($C138="Clear=&gt;","",K138)),NA())</f>
        <v>#VALUE!</v>
      </c>
    </row>
    <row r="220" spans="2:11" ht="13.2" hidden="1" x14ac:dyDescent="0.25">
      <c r="B220" s="128" t="str">
        <f>IF(Sheet1!D$195,B139,NA())</f>
        <v xml:space="preserve"> </v>
      </c>
      <c r="C220" s="128"/>
      <c r="D220" s="131" t="e">
        <f>IF(Sheet1!$D$195,CHOOSE(Sheet1!D$267,"",IF($C139="Clear=&gt;","",D139)),NA())</f>
        <v>#VALUE!</v>
      </c>
      <c r="E220" s="130" t="e">
        <f>IF(Sheet1!$D$195,CHOOSE(Sheet1!E$267,"",IF($C139="Clear=&gt;","",E139)),NA())</f>
        <v>#VALUE!</v>
      </c>
      <c r="F220" s="130" t="e">
        <f>IF(Sheet1!$D$195,CHOOSE(Sheet1!F$267,"",IF($C139="Clear=&gt;","",F139)),NA())</f>
        <v>#VALUE!</v>
      </c>
      <c r="G220" s="130" t="e">
        <f>IF(Sheet1!$D$195,CHOOSE(Sheet1!G$267,"",IF($C139="Clear=&gt;","",G139)),NA())</f>
        <v>#VALUE!</v>
      </c>
      <c r="H220" s="130" t="e">
        <f>IF(Sheet1!$D$195,CHOOSE(Sheet1!H$267,"",IF($C139="Clear=&gt;","",H139)),NA())</f>
        <v>#VALUE!</v>
      </c>
      <c r="I220" s="130" t="e">
        <f>IF(Sheet1!$D$195,CHOOSE(Sheet1!I$267,"",IF($C139="Clear=&gt;","",I139)),NA())</f>
        <v>#VALUE!</v>
      </c>
      <c r="J220" s="130" t="e">
        <f>IF(Sheet1!$D$195,CHOOSE(Sheet1!J$267,"",IF($C139="Clear=&gt;","",J139)),NA())</f>
        <v>#VALUE!</v>
      </c>
      <c r="K220" s="129" t="e">
        <f>IF(Sheet1!$D$195,CHOOSE(Sheet1!K$267,"",IF($C139="Clear=&gt;","",K139)),NA())</f>
        <v>#VALUE!</v>
      </c>
    </row>
    <row r="221" spans="2:11" ht="13.2" hidden="1" x14ac:dyDescent="0.25">
      <c r="B221" s="128" t="str">
        <f>IF(Sheet1!D$195,B140,NA())</f>
        <v xml:space="preserve"> </v>
      </c>
      <c r="C221" s="128"/>
      <c r="D221" s="131" t="e">
        <f>IF(Sheet1!$D$195,CHOOSE(Sheet1!D$267,"",IF($C140="Clear=&gt;","",D140)),NA())</f>
        <v>#VALUE!</v>
      </c>
      <c r="E221" s="130" t="e">
        <f>IF(Sheet1!$D$195,CHOOSE(Sheet1!E$267,"",IF($C140="Clear=&gt;","",E140)),NA())</f>
        <v>#VALUE!</v>
      </c>
      <c r="F221" s="130" t="e">
        <f>IF(Sheet1!$D$195,CHOOSE(Sheet1!F$267,"",IF($C140="Clear=&gt;","",F140)),NA())</f>
        <v>#VALUE!</v>
      </c>
      <c r="G221" s="130" t="e">
        <f>IF(Sheet1!$D$195,CHOOSE(Sheet1!G$267,"",IF($C140="Clear=&gt;","",G140)),NA())</f>
        <v>#VALUE!</v>
      </c>
      <c r="H221" s="130" t="e">
        <f>IF(Sheet1!$D$195,CHOOSE(Sheet1!H$267,"",IF($C140="Clear=&gt;","",H140)),NA())</f>
        <v>#VALUE!</v>
      </c>
      <c r="I221" s="130" t="e">
        <f>IF(Sheet1!$D$195,CHOOSE(Sheet1!I$267,"",IF($C140="Clear=&gt;","",I140)),NA())</f>
        <v>#VALUE!</v>
      </c>
      <c r="J221" s="130" t="e">
        <f>IF(Sheet1!$D$195,CHOOSE(Sheet1!J$267,"",IF($C140="Clear=&gt;","",J140)),NA())</f>
        <v>#VALUE!</v>
      </c>
      <c r="K221" s="129" t="e">
        <f>IF(Sheet1!$D$195,CHOOSE(Sheet1!K$267,"",IF($C140="Clear=&gt;","",K140)),NA())</f>
        <v>#VALUE!</v>
      </c>
    </row>
    <row r="222" spans="2:11" ht="13.2" hidden="1" x14ac:dyDescent="0.25">
      <c r="B222" s="128" t="str">
        <f>IF(Sheet1!D$195,B141,NA())</f>
        <v xml:space="preserve"> </v>
      </c>
      <c r="C222" s="128"/>
      <c r="D222" s="131" t="e">
        <f>IF(Sheet1!$D$195,CHOOSE(Sheet1!D$267,"",IF($C141="Clear=&gt;","",D141)),NA())</f>
        <v>#VALUE!</v>
      </c>
      <c r="E222" s="130" t="e">
        <f>IF(Sheet1!$D$195,CHOOSE(Sheet1!E$267,"",IF($C141="Clear=&gt;","",E141)),NA())</f>
        <v>#VALUE!</v>
      </c>
      <c r="F222" s="130" t="e">
        <f>IF(Sheet1!$D$195,CHOOSE(Sheet1!F$267,"",IF($C141="Clear=&gt;","",F141)),NA())</f>
        <v>#VALUE!</v>
      </c>
      <c r="G222" s="130" t="e">
        <f>IF(Sheet1!$D$195,CHOOSE(Sheet1!G$267,"",IF($C141="Clear=&gt;","",G141)),NA())</f>
        <v>#VALUE!</v>
      </c>
      <c r="H222" s="130" t="e">
        <f>IF(Sheet1!$D$195,CHOOSE(Sheet1!H$267,"",IF($C141="Clear=&gt;","",H141)),NA())</f>
        <v>#VALUE!</v>
      </c>
      <c r="I222" s="130" t="e">
        <f>IF(Sheet1!$D$195,CHOOSE(Sheet1!I$267,"",IF($C141="Clear=&gt;","",I141)),NA())</f>
        <v>#VALUE!</v>
      </c>
      <c r="J222" s="130" t="e">
        <f>IF(Sheet1!$D$195,CHOOSE(Sheet1!J$267,"",IF($C141="Clear=&gt;","",J141)),NA())</f>
        <v>#VALUE!</v>
      </c>
      <c r="K222" s="129" t="e">
        <f>IF(Sheet1!$D$195,CHOOSE(Sheet1!K$267,"",IF($C141="Clear=&gt;","",K141)),NA())</f>
        <v>#VALUE!</v>
      </c>
    </row>
    <row r="223" spans="2:11" ht="13.2" hidden="1" x14ac:dyDescent="0.25">
      <c r="B223" s="128" t="str">
        <f>IF(Sheet1!D$195,B142,NA())</f>
        <v xml:space="preserve"> </v>
      </c>
      <c r="C223" s="128"/>
      <c r="D223" s="131" t="e">
        <f>IF(Sheet1!$D$195,CHOOSE(Sheet1!D$267,"",IF($C142="Clear=&gt;","",D142)),NA())</f>
        <v>#VALUE!</v>
      </c>
      <c r="E223" s="130" t="e">
        <f>IF(Sheet1!$D$195,CHOOSE(Sheet1!E$267,"",IF($C142="Clear=&gt;","",E142)),NA())</f>
        <v>#VALUE!</v>
      </c>
      <c r="F223" s="130" t="e">
        <f>IF(Sheet1!$D$195,CHOOSE(Sheet1!F$267,"",IF($C142="Clear=&gt;","",F142)),NA())</f>
        <v>#VALUE!</v>
      </c>
      <c r="G223" s="130" t="e">
        <f>IF(Sheet1!$D$195,CHOOSE(Sheet1!G$267,"",IF($C142="Clear=&gt;","",G142)),NA())</f>
        <v>#VALUE!</v>
      </c>
      <c r="H223" s="130" t="e">
        <f>IF(Sheet1!$D$195,CHOOSE(Sheet1!H$267,"",IF($C142="Clear=&gt;","",H142)),NA())</f>
        <v>#VALUE!</v>
      </c>
      <c r="I223" s="130" t="e">
        <f>IF(Sheet1!$D$195,CHOOSE(Sheet1!I$267,"",IF($C142="Clear=&gt;","",I142)),NA())</f>
        <v>#VALUE!</v>
      </c>
      <c r="J223" s="130" t="e">
        <f>IF(Sheet1!$D$195,CHOOSE(Sheet1!J$267,"",IF($C142="Clear=&gt;","",J142)),NA())</f>
        <v>#VALUE!</v>
      </c>
      <c r="K223" s="129" t="e">
        <f>IF(Sheet1!$D$195,CHOOSE(Sheet1!K$267,"",IF($C142="Clear=&gt;","",K142)),NA())</f>
        <v>#VALUE!</v>
      </c>
    </row>
    <row r="224" spans="2:11" ht="13.2" hidden="1" x14ac:dyDescent="0.25">
      <c r="B224" s="128" t="str">
        <f>IF(Sheet1!D$195,B143,NA())</f>
        <v xml:space="preserve"> </v>
      </c>
      <c r="C224" s="128"/>
      <c r="D224" s="131" t="e">
        <f>IF(Sheet1!$D$195,CHOOSE(Sheet1!D$267,"",IF($C143="Clear=&gt;","",D143)),NA())</f>
        <v>#VALUE!</v>
      </c>
      <c r="E224" s="130" t="e">
        <f>IF(Sheet1!$D$195,CHOOSE(Sheet1!E$267,"",IF($C143="Clear=&gt;","",E143)),NA())</f>
        <v>#VALUE!</v>
      </c>
      <c r="F224" s="130" t="e">
        <f>IF(Sheet1!$D$195,CHOOSE(Sheet1!F$267,"",IF($C143="Clear=&gt;","",F143)),NA())</f>
        <v>#VALUE!</v>
      </c>
      <c r="G224" s="130" t="e">
        <f>IF(Sheet1!$D$195,CHOOSE(Sheet1!G$267,"",IF($C143="Clear=&gt;","",G143)),NA())</f>
        <v>#VALUE!</v>
      </c>
      <c r="H224" s="130" t="e">
        <f>IF(Sheet1!$D$195,CHOOSE(Sheet1!H$267,"",IF($C143="Clear=&gt;","",H143)),NA())</f>
        <v>#VALUE!</v>
      </c>
      <c r="I224" s="130" t="e">
        <f>IF(Sheet1!$D$195,CHOOSE(Sheet1!I$267,"",IF($C143="Clear=&gt;","",I143)),NA())</f>
        <v>#VALUE!</v>
      </c>
      <c r="J224" s="130" t="e">
        <f>IF(Sheet1!$D$195,CHOOSE(Sheet1!J$267,"",IF($C143="Clear=&gt;","",J143)),NA())</f>
        <v>#VALUE!</v>
      </c>
      <c r="K224" s="129" t="e">
        <f>IF(Sheet1!$D$195,CHOOSE(Sheet1!K$267,"",IF($C143="Clear=&gt;","",K143)),NA())</f>
        <v>#VALUE!</v>
      </c>
    </row>
    <row r="225" spans="2:11" ht="13.2" hidden="1" x14ac:dyDescent="0.25">
      <c r="B225" s="128" t="str">
        <f>IF(Sheet1!D$195,B144,NA())</f>
        <v xml:space="preserve"> </v>
      </c>
      <c r="C225" s="128"/>
      <c r="D225" s="131" t="e">
        <f>IF(Sheet1!$D$195,CHOOSE(Sheet1!D$267,"",IF($C144="Clear=&gt;","",D144)),NA())</f>
        <v>#VALUE!</v>
      </c>
      <c r="E225" s="130" t="e">
        <f>IF(Sheet1!$D$195,CHOOSE(Sheet1!E$267,"",IF($C144="Clear=&gt;","",E144)),NA())</f>
        <v>#VALUE!</v>
      </c>
      <c r="F225" s="130" t="e">
        <f>IF(Sheet1!$D$195,CHOOSE(Sheet1!F$267,"",IF($C144="Clear=&gt;","",F144)),NA())</f>
        <v>#VALUE!</v>
      </c>
      <c r="G225" s="130" t="e">
        <f>IF(Sheet1!$D$195,CHOOSE(Sheet1!G$267,"",IF($C144="Clear=&gt;","",G144)),NA())</f>
        <v>#VALUE!</v>
      </c>
      <c r="H225" s="130" t="e">
        <f>IF(Sheet1!$D$195,CHOOSE(Sheet1!H$267,"",IF($C144="Clear=&gt;","",H144)),NA())</f>
        <v>#VALUE!</v>
      </c>
      <c r="I225" s="130" t="e">
        <f>IF(Sheet1!$D$195,CHOOSE(Sheet1!I$267,"",IF($C144="Clear=&gt;","",I144)),NA())</f>
        <v>#VALUE!</v>
      </c>
      <c r="J225" s="130" t="e">
        <f>IF(Sheet1!$D$195,CHOOSE(Sheet1!J$267,"",IF($C144="Clear=&gt;","",J144)),NA())</f>
        <v>#VALUE!</v>
      </c>
      <c r="K225" s="129" t="e">
        <f>IF(Sheet1!$D$195,CHOOSE(Sheet1!K$267,"",IF($C144="Clear=&gt;","",K144)),NA())</f>
        <v>#VALUE!</v>
      </c>
    </row>
    <row r="226" spans="2:11" ht="13.2" hidden="1" x14ac:dyDescent="0.25">
      <c r="B226" s="128" t="str">
        <f>IF(Sheet1!D$195,B145,NA())</f>
        <v xml:space="preserve"> </v>
      </c>
      <c r="C226" s="128"/>
      <c r="D226" s="131" t="e">
        <f>IF(Sheet1!$D$195,CHOOSE(Sheet1!D$267,"",IF($C145="Clear=&gt;","",D145)),NA())</f>
        <v>#VALUE!</v>
      </c>
      <c r="E226" s="130" t="e">
        <f>IF(Sheet1!$D$195,CHOOSE(Sheet1!E$267,"",IF($C145="Clear=&gt;","",E145)),NA())</f>
        <v>#VALUE!</v>
      </c>
      <c r="F226" s="130" t="e">
        <f>IF(Sheet1!$D$195,CHOOSE(Sheet1!F$267,"",IF($C145="Clear=&gt;","",F145)),NA())</f>
        <v>#VALUE!</v>
      </c>
      <c r="G226" s="130" t="e">
        <f>IF(Sheet1!$D$195,CHOOSE(Sheet1!G$267,"",IF($C145="Clear=&gt;","",G145)),NA())</f>
        <v>#VALUE!</v>
      </c>
      <c r="H226" s="130" t="e">
        <f>IF(Sheet1!$D$195,CHOOSE(Sheet1!H$267,"",IF($C145="Clear=&gt;","",H145)),NA())</f>
        <v>#VALUE!</v>
      </c>
      <c r="I226" s="130" t="e">
        <f>IF(Sheet1!$D$195,CHOOSE(Sheet1!I$267,"",IF($C145="Clear=&gt;","",I145)),NA())</f>
        <v>#VALUE!</v>
      </c>
      <c r="J226" s="130" t="e">
        <f>IF(Sheet1!$D$195,CHOOSE(Sheet1!J$267,"",IF($C145="Clear=&gt;","",J145)),NA())</f>
        <v>#VALUE!</v>
      </c>
      <c r="K226" s="129" t="e">
        <f>IF(Sheet1!$D$195,CHOOSE(Sheet1!K$267,"",IF($C145="Clear=&gt;","",K145)),NA())</f>
        <v>#VALUE!</v>
      </c>
    </row>
    <row r="227" spans="2:11" ht="13.2" hidden="1" x14ac:dyDescent="0.25">
      <c r="B227" s="128" t="str">
        <f>IF(Sheet1!D$195,B146,NA())</f>
        <v xml:space="preserve"> </v>
      </c>
      <c r="C227" s="128"/>
      <c r="D227" s="131" t="e">
        <f>IF(Sheet1!$D$195,CHOOSE(Sheet1!D$267,"",IF($C146="Clear=&gt;","",D146)),NA())</f>
        <v>#VALUE!</v>
      </c>
      <c r="E227" s="130" t="e">
        <f>IF(Sheet1!$D$195,CHOOSE(Sheet1!E$267,"",IF($C146="Clear=&gt;","",E146)),NA())</f>
        <v>#VALUE!</v>
      </c>
      <c r="F227" s="130" t="e">
        <f>IF(Sheet1!$D$195,CHOOSE(Sheet1!F$267,"",IF($C146="Clear=&gt;","",F146)),NA())</f>
        <v>#VALUE!</v>
      </c>
      <c r="G227" s="130" t="e">
        <f>IF(Sheet1!$D$195,CHOOSE(Sheet1!G$267,"",IF($C146="Clear=&gt;","",G146)),NA())</f>
        <v>#VALUE!</v>
      </c>
      <c r="H227" s="130" t="e">
        <f>IF(Sheet1!$D$195,CHOOSE(Sheet1!H$267,"",IF($C146="Clear=&gt;","",H146)),NA())</f>
        <v>#VALUE!</v>
      </c>
      <c r="I227" s="130" t="e">
        <f>IF(Sheet1!$D$195,CHOOSE(Sheet1!I$267,"",IF($C146="Clear=&gt;","",I146)),NA())</f>
        <v>#VALUE!</v>
      </c>
      <c r="J227" s="130" t="e">
        <f>IF(Sheet1!$D$195,CHOOSE(Sheet1!J$267,"",IF($C146="Clear=&gt;","",J146)),NA())</f>
        <v>#VALUE!</v>
      </c>
      <c r="K227" s="129" t="e">
        <f>IF(Sheet1!$D$195,CHOOSE(Sheet1!K$267,"",IF($C146="Clear=&gt;","",K146)),NA())</f>
        <v>#VALUE!</v>
      </c>
    </row>
    <row r="228" spans="2:11" ht="13.2" hidden="1" x14ac:dyDescent="0.25">
      <c r="B228" s="128" t="str">
        <f>IF(Sheet1!D$195,B147,NA())</f>
        <v xml:space="preserve"> </v>
      </c>
      <c r="C228" s="128"/>
      <c r="D228" s="131" t="e">
        <f>IF(Sheet1!$D$195,CHOOSE(Sheet1!D$267,"",IF($C147="Clear=&gt;","",D147)),NA())</f>
        <v>#VALUE!</v>
      </c>
      <c r="E228" s="130" t="e">
        <f>IF(Sheet1!$D$195,CHOOSE(Sheet1!E$267,"",IF($C147="Clear=&gt;","",E147)),NA())</f>
        <v>#VALUE!</v>
      </c>
      <c r="F228" s="130" t="e">
        <f>IF(Sheet1!$D$195,CHOOSE(Sheet1!F$267,"",IF($C147="Clear=&gt;","",F147)),NA())</f>
        <v>#VALUE!</v>
      </c>
      <c r="G228" s="130" t="e">
        <f>IF(Sheet1!$D$195,CHOOSE(Sheet1!G$267,"",IF($C147="Clear=&gt;","",G147)),NA())</f>
        <v>#VALUE!</v>
      </c>
      <c r="H228" s="130" t="e">
        <f>IF(Sheet1!$D$195,CHOOSE(Sheet1!H$267,"",IF($C147="Clear=&gt;","",H147)),NA())</f>
        <v>#VALUE!</v>
      </c>
      <c r="I228" s="130" t="e">
        <f>IF(Sheet1!$D$195,CHOOSE(Sheet1!I$267,"",IF($C147="Clear=&gt;","",I147)),NA())</f>
        <v>#VALUE!</v>
      </c>
      <c r="J228" s="130" t="e">
        <f>IF(Sheet1!$D$195,CHOOSE(Sheet1!J$267,"",IF($C147="Clear=&gt;","",J147)),NA())</f>
        <v>#VALUE!</v>
      </c>
      <c r="K228" s="129" t="e">
        <f>IF(Sheet1!$D$195,CHOOSE(Sheet1!K$267,"",IF($C147="Clear=&gt;","",K147)),NA())</f>
        <v>#VALUE!</v>
      </c>
    </row>
    <row r="229" spans="2:11" ht="13.2" hidden="1" x14ac:dyDescent="0.25">
      <c r="B229" s="128" t="str">
        <f>IF(Sheet1!D$195,B148,NA())</f>
        <v xml:space="preserve"> </v>
      </c>
      <c r="C229" s="128"/>
      <c r="D229" s="131" t="e">
        <f>IF(Sheet1!$D$195,CHOOSE(Sheet1!D$267,"",IF($C148="Clear=&gt;","",D148)),NA())</f>
        <v>#VALUE!</v>
      </c>
      <c r="E229" s="130" t="e">
        <f>IF(Sheet1!$D$195,CHOOSE(Sheet1!E$267,"",IF($C148="Clear=&gt;","",E148)),NA())</f>
        <v>#VALUE!</v>
      </c>
      <c r="F229" s="130" t="e">
        <f>IF(Sheet1!$D$195,CHOOSE(Sheet1!F$267,"",IF($C148="Clear=&gt;","",F148)),NA())</f>
        <v>#VALUE!</v>
      </c>
      <c r="G229" s="130" t="e">
        <f>IF(Sheet1!$D$195,CHOOSE(Sheet1!G$267,"",IF($C148="Clear=&gt;","",G148)),NA())</f>
        <v>#VALUE!</v>
      </c>
      <c r="H229" s="130" t="e">
        <f>IF(Sheet1!$D$195,CHOOSE(Sheet1!H$267,"",IF($C148="Clear=&gt;","",H148)),NA())</f>
        <v>#VALUE!</v>
      </c>
      <c r="I229" s="130" t="e">
        <f>IF(Sheet1!$D$195,CHOOSE(Sheet1!I$267,"",IF($C148="Clear=&gt;","",I148)),NA())</f>
        <v>#VALUE!</v>
      </c>
      <c r="J229" s="130" t="e">
        <f>IF(Sheet1!$D$195,CHOOSE(Sheet1!J$267,"",IF($C148="Clear=&gt;","",J148)),NA())</f>
        <v>#VALUE!</v>
      </c>
      <c r="K229" s="129" t="e">
        <f>IF(Sheet1!$D$195,CHOOSE(Sheet1!K$267,"",IF($C148="Clear=&gt;","",K148)),NA())</f>
        <v>#VALUE!</v>
      </c>
    </row>
    <row r="230" spans="2:11" ht="13.2" hidden="1" x14ac:dyDescent="0.25">
      <c r="B230" s="128" t="str">
        <f>IF(Sheet1!D$195,B149,NA())</f>
        <v xml:space="preserve"> </v>
      </c>
      <c r="C230" s="128"/>
      <c r="D230" s="131" t="e">
        <f>IF(Sheet1!$D$195,CHOOSE(Sheet1!D$267,"",IF($C149="Clear=&gt;","",D149)),NA())</f>
        <v>#VALUE!</v>
      </c>
      <c r="E230" s="130" t="e">
        <f>IF(Sheet1!$D$195,CHOOSE(Sheet1!E$267,"",IF($C149="Clear=&gt;","",E149)),NA())</f>
        <v>#VALUE!</v>
      </c>
      <c r="F230" s="130" t="e">
        <f>IF(Sheet1!$D$195,CHOOSE(Sheet1!F$267,"",IF($C149="Clear=&gt;","",F149)),NA())</f>
        <v>#VALUE!</v>
      </c>
      <c r="G230" s="130" t="e">
        <f>IF(Sheet1!$D$195,CHOOSE(Sheet1!G$267,"",IF($C149="Clear=&gt;","",G149)),NA())</f>
        <v>#VALUE!</v>
      </c>
      <c r="H230" s="130" t="e">
        <f>IF(Sheet1!$D$195,CHOOSE(Sheet1!H$267,"",IF($C149="Clear=&gt;","",H149)),NA())</f>
        <v>#VALUE!</v>
      </c>
      <c r="I230" s="130" t="e">
        <f>IF(Sheet1!$D$195,CHOOSE(Sheet1!I$267,"",IF($C149="Clear=&gt;","",I149)),NA())</f>
        <v>#VALUE!</v>
      </c>
      <c r="J230" s="130" t="e">
        <f>IF(Sheet1!$D$195,CHOOSE(Sheet1!J$267,"",IF($C149="Clear=&gt;","",J149)),NA())</f>
        <v>#VALUE!</v>
      </c>
      <c r="K230" s="129" t="e">
        <f>IF(Sheet1!$D$195,CHOOSE(Sheet1!K$267,"",IF($C149="Clear=&gt;","",K149)),NA())</f>
        <v>#VALUE!</v>
      </c>
    </row>
    <row r="231" spans="2:11" ht="13.2" hidden="1" x14ac:dyDescent="0.25">
      <c r="B231" s="128" t="str">
        <f>IF(Sheet1!D$195,B150,NA())</f>
        <v xml:space="preserve"> </v>
      </c>
      <c r="C231" s="128"/>
      <c r="D231" s="131" t="e">
        <f>IF(Sheet1!$D$195,CHOOSE(Sheet1!D$267,"",IF($C150="Clear=&gt;","",D150)),NA())</f>
        <v>#VALUE!</v>
      </c>
      <c r="E231" s="130" t="e">
        <f>IF(Sheet1!$D$195,CHOOSE(Sheet1!E$267,"",IF($C150="Clear=&gt;","",E150)),NA())</f>
        <v>#VALUE!</v>
      </c>
      <c r="F231" s="130" t="e">
        <f>IF(Sheet1!$D$195,CHOOSE(Sheet1!F$267,"",IF($C150="Clear=&gt;","",F150)),NA())</f>
        <v>#VALUE!</v>
      </c>
      <c r="G231" s="130" t="e">
        <f>IF(Sheet1!$D$195,CHOOSE(Sheet1!G$267,"",IF($C150="Clear=&gt;","",G150)),NA())</f>
        <v>#VALUE!</v>
      </c>
      <c r="H231" s="130" t="e">
        <f>IF(Sheet1!$D$195,CHOOSE(Sheet1!H$267,"",IF($C150="Clear=&gt;","",H150)),NA())</f>
        <v>#VALUE!</v>
      </c>
      <c r="I231" s="130" t="e">
        <f>IF(Sheet1!$D$195,CHOOSE(Sheet1!I$267,"",IF($C150="Clear=&gt;","",I150)),NA())</f>
        <v>#VALUE!</v>
      </c>
      <c r="J231" s="130" t="e">
        <f>IF(Sheet1!$D$195,CHOOSE(Sheet1!J$267,"",IF($C150="Clear=&gt;","",J150)),NA())</f>
        <v>#VALUE!</v>
      </c>
      <c r="K231" s="129" t="e">
        <f>IF(Sheet1!$D$195,CHOOSE(Sheet1!K$267,"",IF($C150="Clear=&gt;","",K150)),NA())</f>
        <v>#VALUE!</v>
      </c>
    </row>
    <row r="232" spans="2:11" ht="13.2" hidden="1" x14ac:dyDescent="0.25">
      <c r="B232" s="128" t="str">
        <f>IF(Sheet1!D$195,B151,NA())</f>
        <v xml:space="preserve"> </v>
      </c>
      <c r="C232" s="128"/>
      <c r="D232" s="131" t="e">
        <f>IF(Sheet1!$D$195,CHOOSE(Sheet1!D$267,"",IF($C151="Clear=&gt;","",D151)),NA())</f>
        <v>#VALUE!</v>
      </c>
      <c r="E232" s="130" t="e">
        <f>IF(Sheet1!$D$195,CHOOSE(Sheet1!E$267,"",IF($C151="Clear=&gt;","",E151)),NA())</f>
        <v>#VALUE!</v>
      </c>
      <c r="F232" s="130" t="e">
        <f>IF(Sheet1!$D$195,CHOOSE(Sheet1!F$267,"",IF($C151="Clear=&gt;","",F151)),NA())</f>
        <v>#VALUE!</v>
      </c>
      <c r="G232" s="130" t="e">
        <f>IF(Sheet1!$D$195,CHOOSE(Sheet1!G$267,"",IF($C151="Clear=&gt;","",G151)),NA())</f>
        <v>#VALUE!</v>
      </c>
      <c r="H232" s="130" t="e">
        <f>IF(Sheet1!$D$195,CHOOSE(Sheet1!H$267,"",IF($C151="Clear=&gt;","",H151)),NA())</f>
        <v>#VALUE!</v>
      </c>
      <c r="I232" s="130" t="e">
        <f>IF(Sheet1!$D$195,CHOOSE(Sheet1!I$267,"",IF($C151="Clear=&gt;","",I151)),NA())</f>
        <v>#VALUE!</v>
      </c>
      <c r="J232" s="130" t="e">
        <f>IF(Sheet1!$D$195,CHOOSE(Sheet1!J$267,"",IF($C151="Clear=&gt;","",J151)),NA())</f>
        <v>#VALUE!</v>
      </c>
      <c r="K232" s="129" t="e">
        <f>IF(Sheet1!$D$195,CHOOSE(Sheet1!K$267,"",IF($C151="Clear=&gt;","",K151)),NA())</f>
        <v>#VALUE!</v>
      </c>
    </row>
    <row r="233" spans="2:11" ht="13.2" hidden="1" x14ac:dyDescent="0.25">
      <c r="B233" s="128" t="str">
        <f>IF(Sheet1!D$195,B152,NA())</f>
        <v xml:space="preserve"> </v>
      </c>
      <c r="C233" s="128"/>
      <c r="D233" s="131" t="e">
        <f>IF(Sheet1!$D$195,CHOOSE(Sheet1!D$267,"",IF($C152="Clear=&gt;","",D152)),NA())</f>
        <v>#VALUE!</v>
      </c>
      <c r="E233" s="130" t="e">
        <f>IF(Sheet1!$D$195,CHOOSE(Sheet1!E$267,"",IF($C152="Clear=&gt;","",E152)),NA())</f>
        <v>#VALUE!</v>
      </c>
      <c r="F233" s="130" t="e">
        <f>IF(Sheet1!$D$195,CHOOSE(Sheet1!F$267,"",IF($C152="Clear=&gt;","",F152)),NA())</f>
        <v>#VALUE!</v>
      </c>
      <c r="G233" s="130" t="e">
        <f>IF(Sheet1!$D$195,CHOOSE(Sheet1!G$267,"",IF($C152="Clear=&gt;","",G152)),NA())</f>
        <v>#VALUE!</v>
      </c>
      <c r="H233" s="130" t="e">
        <f>IF(Sheet1!$D$195,CHOOSE(Sheet1!H$267,"",IF($C152="Clear=&gt;","",H152)),NA())</f>
        <v>#VALUE!</v>
      </c>
      <c r="I233" s="130" t="e">
        <f>IF(Sheet1!$D$195,CHOOSE(Sheet1!I$267,"",IF($C152="Clear=&gt;","",I152)),NA())</f>
        <v>#VALUE!</v>
      </c>
      <c r="J233" s="130" t="e">
        <f>IF(Sheet1!$D$195,CHOOSE(Sheet1!J$267,"",IF($C152="Clear=&gt;","",J152)),NA())</f>
        <v>#VALUE!</v>
      </c>
      <c r="K233" s="129" t="e">
        <f>IF(Sheet1!$D$195,CHOOSE(Sheet1!K$267,"",IF($C152="Clear=&gt;","",K152)),NA())</f>
        <v>#VALUE!</v>
      </c>
    </row>
    <row r="234" spans="2:11" ht="13.2" hidden="1" x14ac:dyDescent="0.25">
      <c r="B234" s="128" t="str">
        <f>IF(Sheet1!D$195,B153,NA())</f>
        <v xml:space="preserve"> </v>
      </c>
      <c r="C234" s="128"/>
      <c r="D234" s="131" t="e">
        <f>IF(Sheet1!$D$195,CHOOSE(Sheet1!D$267,"",IF($C153="Clear=&gt;","",D153)),NA())</f>
        <v>#VALUE!</v>
      </c>
      <c r="E234" s="130" t="e">
        <f>IF(Sheet1!$D$195,CHOOSE(Sheet1!E$267,"",IF($C153="Clear=&gt;","",E153)),NA())</f>
        <v>#VALUE!</v>
      </c>
      <c r="F234" s="130" t="e">
        <f>IF(Sheet1!$D$195,CHOOSE(Sheet1!F$267,"",IF($C153="Clear=&gt;","",F153)),NA())</f>
        <v>#VALUE!</v>
      </c>
      <c r="G234" s="130" t="e">
        <f>IF(Sheet1!$D$195,CHOOSE(Sheet1!G$267,"",IF($C153="Clear=&gt;","",G153)),NA())</f>
        <v>#VALUE!</v>
      </c>
      <c r="H234" s="130" t="e">
        <f>IF(Sheet1!$D$195,CHOOSE(Sheet1!H$267,"",IF($C153="Clear=&gt;","",H153)),NA())</f>
        <v>#VALUE!</v>
      </c>
      <c r="I234" s="130" t="e">
        <f>IF(Sheet1!$D$195,CHOOSE(Sheet1!I$267,"",IF($C153="Clear=&gt;","",I153)),NA())</f>
        <v>#VALUE!</v>
      </c>
      <c r="J234" s="130" t="e">
        <f>IF(Sheet1!$D$195,CHOOSE(Sheet1!J$267,"",IF($C153="Clear=&gt;","",J153)),NA())</f>
        <v>#VALUE!</v>
      </c>
      <c r="K234" s="129" t="e">
        <f>IF(Sheet1!$D$195,CHOOSE(Sheet1!K$267,"",IF($C153="Clear=&gt;","",K153)),NA())</f>
        <v>#VALUE!</v>
      </c>
    </row>
    <row r="235" spans="2:11" ht="13.2" hidden="1" x14ac:dyDescent="0.25">
      <c r="B235" s="128" t="str">
        <f>IF(Sheet1!D$195,B154,NA())</f>
        <v xml:space="preserve"> </v>
      </c>
      <c r="C235" s="128"/>
      <c r="D235" s="131" t="e">
        <f>IF(Sheet1!$D$195,CHOOSE(Sheet1!D$267,"",IF($C154="Clear=&gt;","",D154)),NA())</f>
        <v>#VALUE!</v>
      </c>
      <c r="E235" s="130" t="e">
        <f>IF(Sheet1!$D$195,CHOOSE(Sheet1!E$267,"",IF($C154="Clear=&gt;","",E154)),NA())</f>
        <v>#VALUE!</v>
      </c>
      <c r="F235" s="130" t="e">
        <f>IF(Sheet1!$D$195,CHOOSE(Sheet1!F$267,"",IF($C154="Clear=&gt;","",F154)),NA())</f>
        <v>#VALUE!</v>
      </c>
      <c r="G235" s="130" t="e">
        <f>IF(Sheet1!$D$195,CHOOSE(Sheet1!G$267,"",IF($C154="Clear=&gt;","",G154)),NA())</f>
        <v>#VALUE!</v>
      </c>
      <c r="H235" s="130" t="e">
        <f>IF(Sheet1!$D$195,CHOOSE(Sheet1!H$267,"",IF($C154="Clear=&gt;","",H154)),NA())</f>
        <v>#VALUE!</v>
      </c>
      <c r="I235" s="130" t="e">
        <f>IF(Sheet1!$D$195,CHOOSE(Sheet1!I$267,"",IF($C154="Clear=&gt;","",I154)),NA())</f>
        <v>#VALUE!</v>
      </c>
      <c r="J235" s="130" t="e">
        <f>IF(Sheet1!$D$195,CHOOSE(Sheet1!J$267,"",IF($C154="Clear=&gt;","",J154)),NA())</f>
        <v>#VALUE!</v>
      </c>
      <c r="K235" s="129" t="e">
        <f>IF(Sheet1!$D$195,CHOOSE(Sheet1!K$267,"",IF($C154="Clear=&gt;","",K154)),NA())</f>
        <v>#VALUE!</v>
      </c>
    </row>
    <row r="236" spans="2:11" ht="13.2" hidden="1" x14ac:dyDescent="0.25">
      <c r="B236" s="128" t="str">
        <f>IF(Sheet1!D$195,B155,NA())</f>
        <v xml:space="preserve"> </v>
      </c>
      <c r="C236" s="128"/>
      <c r="D236" s="131" t="e">
        <f>IF(Sheet1!$D$195,CHOOSE(Sheet1!D$267,"",IF($C155="Clear=&gt;","",D155)),NA())</f>
        <v>#VALUE!</v>
      </c>
      <c r="E236" s="130" t="e">
        <f>IF(Sheet1!$D$195,CHOOSE(Sheet1!E$267,"",IF($C155="Clear=&gt;","",E155)),NA())</f>
        <v>#VALUE!</v>
      </c>
      <c r="F236" s="130" t="e">
        <f>IF(Sheet1!$D$195,CHOOSE(Sheet1!F$267,"",IF($C155="Clear=&gt;","",F155)),NA())</f>
        <v>#VALUE!</v>
      </c>
      <c r="G236" s="130" t="e">
        <f>IF(Sheet1!$D$195,CHOOSE(Sheet1!G$267,"",IF($C155="Clear=&gt;","",G155)),NA())</f>
        <v>#VALUE!</v>
      </c>
      <c r="H236" s="130" t="e">
        <f>IF(Sheet1!$D$195,CHOOSE(Sheet1!H$267,"",IF($C155="Clear=&gt;","",H155)),NA())</f>
        <v>#VALUE!</v>
      </c>
      <c r="I236" s="130" t="e">
        <f>IF(Sheet1!$D$195,CHOOSE(Sheet1!I$267,"",IF($C155="Clear=&gt;","",I155)),NA())</f>
        <v>#VALUE!</v>
      </c>
      <c r="J236" s="130" t="e">
        <f>IF(Sheet1!$D$195,CHOOSE(Sheet1!J$267,"",IF($C155="Clear=&gt;","",J155)),NA())</f>
        <v>#VALUE!</v>
      </c>
      <c r="K236" s="129" t="e">
        <f>IF(Sheet1!$D$195,CHOOSE(Sheet1!K$267,"",IF($C155="Clear=&gt;","",K155)),NA())</f>
        <v>#VALUE!</v>
      </c>
    </row>
    <row r="237" spans="2:11" ht="13.2" hidden="1" x14ac:dyDescent="0.25">
      <c r="B237" s="128" t="str">
        <f>IF(Sheet1!D$195,B156,NA())</f>
        <v xml:space="preserve"> </v>
      </c>
      <c r="C237" s="128"/>
      <c r="D237" s="131" t="e">
        <f>IF(Sheet1!$D$195,CHOOSE(Sheet1!D$267,"",IF($C156="Clear=&gt;","",D156)),NA())</f>
        <v>#VALUE!</v>
      </c>
      <c r="E237" s="130" t="e">
        <f>IF(Sheet1!$D$195,CHOOSE(Sheet1!E$267,"",IF($C156="Clear=&gt;","",E156)),NA())</f>
        <v>#VALUE!</v>
      </c>
      <c r="F237" s="130" t="e">
        <f>IF(Sheet1!$D$195,CHOOSE(Sheet1!F$267,"",IF($C156="Clear=&gt;","",F156)),NA())</f>
        <v>#VALUE!</v>
      </c>
      <c r="G237" s="130" t="e">
        <f>IF(Sheet1!$D$195,CHOOSE(Sheet1!G$267,"",IF($C156="Clear=&gt;","",G156)),NA())</f>
        <v>#VALUE!</v>
      </c>
      <c r="H237" s="130" t="e">
        <f>IF(Sheet1!$D$195,CHOOSE(Sheet1!H$267,"",IF($C156="Clear=&gt;","",H156)),NA())</f>
        <v>#VALUE!</v>
      </c>
      <c r="I237" s="130" t="e">
        <f>IF(Sheet1!$D$195,CHOOSE(Sheet1!I$267,"",IF($C156="Clear=&gt;","",I156)),NA())</f>
        <v>#VALUE!</v>
      </c>
      <c r="J237" s="130" t="e">
        <f>IF(Sheet1!$D$195,CHOOSE(Sheet1!J$267,"",IF($C156="Clear=&gt;","",J156)),NA())</f>
        <v>#VALUE!</v>
      </c>
      <c r="K237" s="129" t="e">
        <f>IF(Sheet1!$D$195,CHOOSE(Sheet1!K$267,"",IF($C156="Clear=&gt;","",K156)),NA())</f>
        <v>#VALUE!</v>
      </c>
    </row>
    <row r="238" spans="2:11" ht="13.2" hidden="1" x14ac:dyDescent="0.25">
      <c r="B238" s="128" t="str">
        <f>IF(Sheet1!D$195,B157,NA())</f>
        <v xml:space="preserve"> </v>
      </c>
      <c r="C238" s="128"/>
      <c r="D238" s="131" t="e">
        <f>IF(Sheet1!$D$195,CHOOSE(Sheet1!D$267,"",IF($C157="Clear=&gt;","",D157)),NA())</f>
        <v>#VALUE!</v>
      </c>
      <c r="E238" s="130" t="e">
        <f>IF(Sheet1!$D$195,CHOOSE(Sheet1!E$267,"",IF($C157="Clear=&gt;","",E157)),NA())</f>
        <v>#VALUE!</v>
      </c>
      <c r="F238" s="130" t="e">
        <f>IF(Sheet1!$D$195,CHOOSE(Sheet1!F$267,"",IF($C157="Clear=&gt;","",F157)),NA())</f>
        <v>#VALUE!</v>
      </c>
      <c r="G238" s="130" t="e">
        <f>IF(Sheet1!$D$195,CHOOSE(Sheet1!G$267,"",IF($C157="Clear=&gt;","",G157)),NA())</f>
        <v>#VALUE!</v>
      </c>
      <c r="H238" s="130" t="e">
        <f>IF(Sheet1!$D$195,CHOOSE(Sheet1!H$267,"",IF($C157="Clear=&gt;","",H157)),NA())</f>
        <v>#VALUE!</v>
      </c>
      <c r="I238" s="130" t="e">
        <f>IF(Sheet1!$D$195,CHOOSE(Sheet1!I$267,"",IF($C157="Clear=&gt;","",I157)),NA())</f>
        <v>#VALUE!</v>
      </c>
      <c r="J238" s="130" t="e">
        <f>IF(Sheet1!$D$195,CHOOSE(Sheet1!J$267,"",IF($C157="Clear=&gt;","",J157)),NA())</f>
        <v>#VALUE!</v>
      </c>
      <c r="K238" s="129" t="e">
        <f>IF(Sheet1!$D$195,CHOOSE(Sheet1!K$267,"",IF($C157="Clear=&gt;","",K157)),NA())</f>
        <v>#VALUE!</v>
      </c>
    </row>
    <row r="239" spans="2:11" ht="13.2" hidden="1" x14ac:dyDescent="0.25">
      <c r="B239" s="128" t="str">
        <f>IF(Sheet1!D$195,B158,NA())</f>
        <v xml:space="preserve"> </v>
      </c>
      <c r="C239" s="128"/>
      <c r="D239" s="131" t="e">
        <f>IF(Sheet1!$D$195,CHOOSE(Sheet1!D$267,"",IF($C158="Clear=&gt;","",D158)),NA())</f>
        <v>#VALUE!</v>
      </c>
      <c r="E239" s="130" t="e">
        <f>IF(Sheet1!$D$195,CHOOSE(Sheet1!E$267,"",IF($C158="Clear=&gt;","",E158)),NA())</f>
        <v>#VALUE!</v>
      </c>
      <c r="F239" s="130" t="e">
        <f>IF(Sheet1!$D$195,CHOOSE(Sheet1!F$267,"",IF($C158="Clear=&gt;","",F158)),NA())</f>
        <v>#VALUE!</v>
      </c>
      <c r="G239" s="130" t="e">
        <f>IF(Sheet1!$D$195,CHOOSE(Sheet1!G$267,"",IF($C158="Clear=&gt;","",G158)),NA())</f>
        <v>#VALUE!</v>
      </c>
      <c r="H239" s="130" t="e">
        <f>IF(Sheet1!$D$195,CHOOSE(Sheet1!H$267,"",IF($C158="Clear=&gt;","",H158)),NA())</f>
        <v>#VALUE!</v>
      </c>
      <c r="I239" s="130" t="e">
        <f>IF(Sheet1!$D$195,CHOOSE(Sheet1!I$267,"",IF($C158="Clear=&gt;","",I158)),NA())</f>
        <v>#VALUE!</v>
      </c>
      <c r="J239" s="130" t="e">
        <f>IF(Sheet1!$D$195,CHOOSE(Sheet1!J$267,"",IF($C158="Clear=&gt;","",J158)),NA())</f>
        <v>#VALUE!</v>
      </c>
      <c r="K239" s="129" t="e">
        <f>IF(Sheet1!$D$195,CHOOSE(Sheet1!K$267,"",IF($C158="Clear=&gt;","",K158)),NA())</f>
        <v>#VALUE!</v>
      </c>
    </row>
    <row r="240" spans="2:11" ht="13.2" hidden="1" x14ac:dyDescent="0.25">
      <c r="B240" s="128" t="str">
        <f>IF(Sheet1!D$195,B159,NA())</f>
        <v xml:space="preserve"> </v>
      </c>
      <c r="C240" s="128"/>
      <c r="D240" s="131" t="e">
        <f>IF(Sheet1!$D$195,CHOOSE(Sheet1!D$267,"",IF($C159="Clear=&gt;","",D159)),NA())</f>
        <v>#VALUE!</v>
      </c>
      <c r="E240" s="130" t="e">
        <f>IF(Sheet1!$D$195,CHOOSE(Sheet1!E$267,"",IF($C159="Clear=&gt;","",E159)),NA())</f>
        <v>#VALUE!</v>
      </c>
      <c r="F240" s="130" t="e">
        <f>IF(Sheet1!$D$195,CHOOSE(Sheet1!F$267,"",IF($C159="Clear=&gt;","",F159)),NA())</f>
        <v>#VALUE!</v>
      </c>
      <c r="G240" s="130" t="e">
        <f>IF(Sheet1!$D$195,CHOOSE(Sheet1!G$267,"",IF($C159="Clear=&gt;","",G159)),NA())</f>
        <v>#VALUE!</v>
      </c>
      <c r="H240" s="130" t="e">
        <f>IF(Sheet1!$D$195,CHOOSE(Sheet1!H$267,"",IF($C159="Clear=&gt;","",H159)),NA())</f>
        <v>#VALUE!</v>
      </c>
      <c r="I240" s="130" t="e">
        <f>IF(Sheet1!$D$195,CHOOSE(Sheet1!I$267,"",IF($C159="Clear=&gt;","",I159)),NA())</f>
        <v>#VALUE!</v>
      </c>
      <c r="J240" s="130" t="e">
        <f>IF(Sheet1!$D$195,CHOOSE(Sheet1!J$267,"",IF($C159="Clear=&gt;","",J159)),NA())</f>
        <v>#VALUE!</v>
      </c>
      <c r="K240" s="129" t="e">
        <f>IF(Sheet1!$D$195,CHOOSE(Sheet1!K$267,"",IF($C159="Clear=&gt;","",K159)),NA())</f>
        <v>#VALUE!</v>
      </c>
    </row>
    <row r="241" spans="1:11" ht="13.2" hidden="1" x14ac:dyDescent="0.25">
      <c r="B241" s="128"/>
      <c r="C241" s="128" t="s">
        <v>242</v>
      </c>
      <c r="D241" s="127" t="e">
        <f>IF(Sheet1!D$195,SUM(D191:D240),NA())</f>
        <v>#VALUE!</v>
      </c>
      <c r="E241" s="127" t="e">
        <f>IF(Sheet1!D$195,SUM(E191:E240),NA())</f>
        <v>#VALUE!</v>
      </c>
      <c r="F241" s="127" t="e">
        <f>IF(Sheet1!D$195,SUM(F191:F240),NA())</f>
        <v>#VALUE!</v>
      </c>
      <c r="G241" s="127" t="e">
        <f>IF(Sheet1!D$195,SUM(G191:G240),NA())</f>
        <v>#VALUE!</v>
      </c>
      <c r="H241" s="127" t="e">
        <f>IF(Sheet1!D$195,SUM(H191:H240),NA())</f>
        <v>#VALUE!</v>
      </c>
      <c r="I241" s="127" t="e">
        <f>IF(Sheet1!D$195,SUM(I191:I240),NA())</f>
        <v>#VALUE!</v>
      </c>
      <c r="J241" s="127" t="e">
        <f>IF(Sheet1!D$195,SUM(J191:J240),NA())</f>
        <v>#VALUE!</v>
      </c>
      <c r="K241" s="127" t="e">
        <f>IF(Sheet1!D$195,SUM(K191:K240),NA())</f>
        <v>#VALUE!</v>
      </c>
    </row>
    <row r="242" spans="1:11" ht="13.2" hidden="1" x14ac:dyDescent="0.25"/>
    <row r="243" spans="1:11" ht="13.2" hidden="1" x14ac:dyDescent="0.25">
      <c r="A243" s="126" t="s">
        <v>243</v>
      </c>
      <c r="B243" s="125"/>
      <c r="C243" s="125"/>
      <c r="D243" s="125"/>
      <c r="E243" s="125"/>
      <c r="F243" s="125"/>
      <c r="G243" s="125"/>
      <c r="H243" s="125"/>
      <c r="I243" s="125"/>
      <c r="J243" s="125"/>
      <c r="K243" s="124"/>
    </row>
    <row r="244" spans="1:11" ht="13.2" hidden="1" x14ac:dyDescent="0.25"/>
    <row r="245" spans="1:11" ht="13.2" x14ac:dyDescent="0.25"/>
  </sheetData>
  <printOptions horizontalCentered="1"/>
  <pageMargins left="0.25" right="0.25" top="0.25" bottom="0.5" header="0.25" footer="0.25"/>
  <pageSetup scale="75" orientation="landscape" blackAndWhite="1" r:id="rId1"/>
  <headerFooter alignWithMargins="0">
    <oddFooter>&amp;R&amp;A,   Input Data,  Page 3 of 3,  (Printed:  &amp;D,   &amp;T ) Using ver 1.04r6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Fill="0" autoLine="0" autoPict="0">
                <anchor moveWithCells="1">
                  <from>
                    <xdr:col>3</xdr:col>
                    <xdr:colOff>0</xdr:colOff>
                    <xdr:row>105</xdr:row>
                    <xdr:rowOff>22860</xdr:rowOff>
                  </from>
                  <to>
                    <xdr:col>4</xdr:col>
                    <xdr:colOff>38100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Drop Down 25">
              <controlPr defaultSize="0" autoFill="0" autoLine="0" autoPict="0">
                <anchor moveWithCells="1">
                  <from>
                    <xdr:col>3</xdr:col>
                    <xdr:colOff>0</xdr:colOff>
                    <xdr:row>102</xdr:row>
                    <xdr:rowOff>152400</xdr:rowOff>
                  </from>
                  <to>
                    <xdr:col>4</xdr:col>
                    <xdr:colOff>30480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Drop Down 28">
              <controlPr defaultSize="0" autoFill="0" autoLine="0" autoPict="0">
                <anchor moveWithCells="1">
                  <from>
                    <xdr:col>4</xdr:col>
                    <xdr:colOff>30480</xdr:colOff>
                    <xdr:row>102</xdr:row>
                    <xdr:rowOff>152400</xdr:rowOff>
                  </from>
                  <to>
                    <xdr:col>5</xdr:col>
                    <xdr:colOff>38100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Drop Down 29">
              <controlPr defaultSize="0" autoFill="0" autoLine="0" autoPict="0">
                <anchor moveWithCells="1">
                  <from>
                    <xdr:col>5</xdr:col>
                    <xdr:colOff>30480</xdr:colOff>
                    <xdr:row>102</xdr:row>
                    <xdr:rowOff>152400</xdr:rowOff>
                  </from>
                  <to>
                    <xdr:col>6</xdr:col>
                    <xdr:colOff>45720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Drop Down 30">
              <controlPr defaultSize="0" autoFill="0" autoLine="0" autoPict="0">
                <anchor moveWithCells="1">
                  <from>
                    <xdr:col>6</xdr:col>
                    <xdr:colOff>38100</xdr:colOff>
                    <xdr:row>102</xdr:row>
                    <xdr:rowOff>152400</xdr:rowOff>
                  </from>
                  <to>
                    <xdr:col>7</xdr:col>
                    <xdr:colOff>30480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Drop Down 31">
              <controlPr defaultSize="0" autoFill="0" autoLine="0" autoPict="0">
                <anchor moveWithCells="1">
                  <from>
                    <xdr:col>7</xdr:col>
                    <xdr:colOff>38100</xdr:colOff>
                    <xdr:row>102</xdr:row>
                    <xdr:rowOff>152400</xdr:rowOff>
                  </from>
                  <to>
                    <xdr:col>8</xdr:col>
                    <xdr:colOff>38100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Drop Down 32">
              <controlPr defaultSize="0" autoFill="0" autoLine="0" autoPict="0">
                <anchor moveWithCells="1">
                  <from>
                    <xdr:col>8</xdr:col>
                    <xdr:colOff>30480</xdr:colOff>
                    <xdr:row>102</xdr:row>
                    <xdr:rowOff>152400</xdr:rowOff>
                  </from>
                  <to>
                    <xdr:col>9</xdr:col>
                    <xdr:colOff>45720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Drop Down 33">
              <controlPr defaultSize="0" autoFill="0" autoLine="0" autoPict="0">
                <anchor moveWithCells="1">
                  <from>
                    <xdr:col>9</xdr:col>
                    <xdr:colOff>38100</xdr:colOff>
                    <xdr:row>102</xdr:row>
                    <xdr:rowOff>152400</xdr:rowOff>
                  </from>
                  <to>
                    <xdr:col>10</xdr:col>
                    <xdr:colOff>38100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Drop Down 35">
              <controlPr defaultSize="0" autoFill="0" autoLine="0" autoPict="0">
                <anchor moveWithCells="1">
                  <from>
                    <xdr:col>10</xdr:col>
                    <xdr:colOff>30480</xdr:colOff>
                    <xdr:row>102</xdr:row>
                    <xdr:rowOff>152400</xdr:rowOff>
                  </from>
                  <to>
                    <xdr:col>11</xdr:col>
                    <xdr:colOff>30480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Drop Down 37">
              <controlPr defaultSize="0" autoFill="0" autoLine="0" autoPict="0">
                <anchor moveWithCells="1">
                  <from>
                    <xdr:col>4</xdr:col>
                    <xdr:colOff>38100</xdr:colOff>
                    <xdr:row>105</xdr:row>
                    <xdr:rowOff>22860</xdr:rowOff>
                  </from>
                  <to>
                    <xdr:col>5</xdr:col>
                    <xdr:colOff>30480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Drop Down 38">
              <controlPr defaultSize="0" autoFill="0" autoLine="0" autoPict="0">
                <anchor moveWithCells="1">
                  <from>
                    <xdr:col>5</xdr:col>
                    <xdr:colOff>30480</xdr:colOff>
                    <xdr:row>105</xdr:row>
                    <xdr:rowOff>22860</xdr:rowOff>
                  </from>
                  <to>
                    <xdr:col>6</xdr:col>
                    <xdr:colOff>30480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Drop Down 39">
              <controlPr defaultSize="0" autoFill="0" autoLine="0" autoPict="0">
                <anchor moveWithCells="1">
                  <from>
                    <xdr:col>6</xdr:col>
                    <xdr:colOff>22860</xdr:colOff>
                    <xdr:row>105</xdr:row>
                    <xdr:rowOff>22860</xdr:rowOff>
                  </from>
                  <to>
                    <xdr:col>7</xdr:col>
                    <xdr:colOff>30480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Drop Down 40">
              <controlPr defaultSize="0" autoFill="0" autoLine="0" autoPict="0">
                <anchor moveWithCells="1">
                  <from>
                    <xdr:col>7</xdr:col>
                    <xdr:colOff>38100</xdr:colOff>
                    <xdr:row>105</xdr:row>
                    <xdr:rowOff>22860</xdr:rowOff>
                  </from>
                  <to>
                    <xdr:col>8</xdr:col>
                    <xdr:colOff>38100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Drop Down 41">
              <controlPr defaultSize="0" autoFill="0" autoLine="0" autoPict="0">
                <anchor moveWithCells="1">
                  <from>
                    <xdr:col>8</xdr:col>
                    <xdr:colOff>38100</xdr:colOff>
                    <xdr:row>105</xdr:row>
                    <xdr:rowOff>22860</xdr:rowOff>
                  </from>
                  <to>
                    <xdr:col>9</xdr:col>
                    <xdr:colOff>45720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Drop Down 42">
              <controlPr defaultSize="0" autoFill="0" autoLine="0" autoPict="0">
                <anchor moveWithCells="1">
                  <from>
                    <xdr:col>9</xdr:col>
                    <xdr:colOff>38100</xdr:colOff>
                    <xdr:row>105</xdr:row>
                    <xdr:rowOff>22860</xdr:rowOff>
                  </from>
                  <to>
                    <xdr:col>10</xdr:col>
                    <xdr:colOff>45720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Drop Down 44">
              <controlPr defaultSize="0" autoFill="0" autoLine="0" autoPict="0">
                <anchor moveWithCells="1">
                  <from>
                    <xdr:col>10</xdr:col>
                    <xdr:colOff>38100</xdr:colOff>
                    <xdr:row>105</xdr:row>
                    <xdr:rowOff>22860</xdr:rowOff>
                  </from>
                  <to>
                    <xdr:col>11</xdr:col>
                    <xdr:colOff>30480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Drop Down 46">
              <controlPr defaultSize="0" autoFill="0" autoLine="0" autoPict="0">
                <anchor moveWithCells="1">
                  <from>
                    <xdr:col>3</xdr:col>
                    <xdr:colOff>7620</xdr:colOff>
                    <xdr:row>163</xdr:row>
                    <xdr:rowOff>152400</xdr:rowOff>
                  </from>
                  <to>
                    <xdr:col>4</xdr:col>
                    <xdr:colOff>38100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Drop Down 47">
              <controlPr defaultSize="0" autoFill="0" autoLine="0" autoPict="0">
                <anchor moveWithCells="1">
                  <from>
                    <xdr:col>4</xdr:col>
                    <xdr:colOff>30480</xdr:colOff>
                    <xdr:row>163</xdr:row>
                    <xdr:rowOff>152400</xdr:rowOff>
                  </from>
                  <to>
                    <xdr:col>5</xdr:col>
                    <xdr:colOff>22860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Drop Down 48">
              <controlPr defaultSize="0" autoFill="0" autoLine="0" autoPict="0">
                <anchor moveWithCells="1">
                  <from>
                    <xdr:col>5</xdr:col>
                    <xdr:colOff>22860</xdr:colOff>
                    <xdr:row>163</xdr:row>
                    <xdr:rowOff>152400</xdr:rowOff>
                  </from>
                  <to>
                    <xdr:col>6</xdr:col>
                    <xdr:colOff>38100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Drop Down 49">
              <controlPr defaultSize="0" autoFill="0" autoLine="0" autoPict="0">
                <anchor moveWithCells="1">
                  <from>
                    <xdr:col>6</xdr:col>
                    <xdr:colOff>38100</xdr:colOff>
                    <xdr:row>163</xdr:row>
                    <xdr:rowOff>152400</xdr:rowOff>
                  </from>
                  <to>
                    <xdr:col>7</xdr:col>
                    <xdr:colOff>22860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Drop Down 50">
              <controlPr defaultSize="0" autoFill="0" autoLine="0" autoPict="0">
                <anchor moveWithCells="1">
                  <from>
                    <xdr:col>7</xdr:col>
                    <xdr:colOff>30480</xdr:colOff>
                    <xdr:row>163</xdr:row>
                    <xdr:rowOff>152400</xdr:rowOff>
                  </from>
                  <to>
                    <xdr:col>8</xdr:col>
                    <xdr:colOff>30480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Drop Down 51">
              <controlPr defaultSize="0" autoFill="0" autoLine="0" autoPict="0">
                <anchor moveWithCells="1">
                  <from>
                    <xdr:col>8</xdr:col>
                    <xdr:colOff>38100</xdr:colOff>
                    <xdr:row>163</xdr:row>
                    <xdr:rowOff>152400</xdr:rowOff>
                  </from>
                  <to>
                    <xdr:col>9</xdr:col>
                    <xdr:colOff>30480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Drop Down 52">
              <controlPr defaultSize="0" autoFill="0" autoLine="0" autoPict="0">
                <anchor moveWithCells="1">
                  <from>
                    <xdr:col>9</xdr:col>
                    <xdr:colOff>30480</xdr:colOff>
                    <xdr:row>163</xdr:row>
                    <xdr:rowOff>152400</xdr:rowOff>
                  </from>
                  <to>
                    <xdr:col>10</xdr:col>
                    <xdr:colOff>30480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Drop Down 55">
              <controlPr defaultSize="0" autoFill="0" autoLine="0" autoPict="0">
                <anchor moveWithCells="1">
                  <from>
                    <xdr:col>3</xdr:col>
                    <xdr:colOff>0</xdr:colOff>
                    <xdr:row>11</xdr:row>
                    <xdr:rowOff>152400</xdr:rowOff>
                  </from>
                  <to>
                    <xdr:col>4</xdr:col>
                    <xdr:colOff>30480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Drop Down 56">
              <controlPr defaultSize="0" autoFill="0" autoLine="0" autoPict="0">
                <anchor moveWithCells="1">
                  <from>
                    <xdr:col>4</xdr:col>
                    <xdr:colOff>22860</xdr:colOff>
                    <xdr:row>11</xdr:row>
                    <xdr:rowOff>152400</xdr:rowOff>
                  </from>
                  <to>
                    <xdr:col>5</xdr:col>
                    <xdr:colOff>38100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Drop Down 83">
              <controlPr defaultSize="0" autoFill="0" autoLine="0" autoPict="0">
                <anchor moveWithCells="1">
                  <from>
                    <xdr:col>3</xdr:col>
                    <xdr:colOff>22860</xdr:colOff>
                    <xdr:row>170</xdr:row>
                    <xdr:rowOff>144780</xdr:rowOff>
                  </from>
                  <to>
                    <xdr:col>4</xdr:col>
                    <xdr:colOff>45720</xdr:colOff>
                    <xdr:row>172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0" name="Drop Down 54">
              <controlPr defaultSize="0" autoFill="0" autoLine="0" autoPict="0">
                <anchor moveWithCells="1">
                  <from>
                    <xdr:col>10</xdr:col>
                    <xdr:colOff>30480</xdr:colOff>
                    <xdr:row>163</xdr:row>
                    <xdr:rowOff>152400</xdr:rowOff>
                  </from>
                  <to>
                    <xdr:col>11</xdr:col>
                    <xdr:colOff>22860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1" name="Drop Down 57">
              <controlPr defaultSize="0" autoFill="0" autoLine="0" autoPict="0">
                <anchor moveWithCells="1">
                  <from>
                    <xdr:col>5</xdr:col>
                    <xdr:colOff>45720</xdr:colOff>
                    <xdr:row>11</xdr:row>
                    <xdr:rowOff>152400</xdr:rowOff>
                  </from>
                  <to>
                    <xdr:col>6</xdr:col>
                    <xdr:colOff>45720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2" name="Drop Down 58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152400</xdr:rowOff>
                  </from>
                  <to>
                    <xdr:col>7</xdr:col>
                    <xdr:colOff>38100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3" name="Drop Down 59">
              <controlPr defaultSize="0" autoFill="0" autoLine="0" autoPict="0">
                <anchor moveWithCells="1">
                  <from>
                    <xdr:col>7</xdr:col>
                    <xdr:colOff>30480</xdr:colOff>
                    <xdr:row>11</xdr:row>
                    <xdr:rowOff>152400</xdr:rowOff>
                  </from>
                  <to>
                    <xdr:col>8</xdr:col>
                    <xdr:colOff>22860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4" name="Drop Down 60">
              <controlPr defaultSize="0" autoFill="0" autoLine="0" autoPict="0">
                <anchor moveWithCells="1">
                  <from>
                    <xdr:col>8</xdr:col>
                    <xdr:colOff>7620</xdr:colOff>
                    <xdr:row>11</xdr:row>
                    <xdr:rowOff>152400</xdr:rowOff>
                  </from>
                  <to>
                    <xdr:col>9</xdr:col>
                    <xdr:colOff>7620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5" name="Drop Down 61">
              <controlPr defaultSize="0" autoFill="0" autoLine="0" autoPict="0">
                <anchor moveWithCells="1">
                  <from>
                    <xdr:col>9</xdr:col>
                    <xdr:colOff>0</xdr:colOff>
                    <xdr:row>11</xdr:row>
                    <xdr:rowOff>152400</xdr:rowOff>
                  </from>
                  <to>
                    <xdr:col>10</xdr:col>
                    <xdr:colOff>22860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6" name="Drop Down 64">
              <controlPr defaultSize="0" autoFill="0" autoLine="0" autoPict="0">
                <anchor moveWithCells="1">
                  <from>
                    <xdr:col>10</xdr:col>
                    <xdr:colOff>30480</xdr:colOff>
                    <xdr:row>11</xdr:row>
                    <xdr:rowOff>152400</xdr:rowOff>
                  </from>
                  <to>
                    <xdr:col>11</xdr:col>
                    <xdr:colOff>22860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7" name="Drop Down 37">
              <controlPr defaultSize="0" autoLine="0" autoPict="0">
                <anchor moveWithCells="1">
                  <from>
                    <xdr:col>3</xdr:col>
                    <xdr:colOff>22860</xdr:colOff>
                    <xdr:row>9</xdr:row>
                    <xdr:rowOff>68580</xdr:rowOff>
                  </from>
                  <to>
                    <xdr:col>4</xdr:col>
                    <xdr:colOff>22860</xdr:colOff>
                    <xdr:row>9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M245"/>
  <sheetViews>
    <sheetView showGridLines="0" workbookViewId="0"/>
  </sheetViews>
  <sheetFormatPr defaultColWidth="0" defaultRowHeight="12.75" customHeight="1" x14ac:dyDescent="0.25"/>
  <cols>
    <col min="1" max="1" width="8.5546875" style="58" customWidth="1"/>
    <col min="2" max="2" width="5.6640625" style="58" customWidth="1"/>
    <col min="3" max="3" width="6.6640625" style="58" customWidth="1"/>
    <col min="4" max="13" width="15.44140625" style="74" customWidth="1"/>
    <col min="14" max="256" width="8.6640625" style="58" customWidth="1"/>
    <col min="257" max="257" width="8.5546875" style="58" customWidth="1"/>
    <col min="258" max="258" width="5.6640625" style="58" customWidth="1"/>
    <col min="259" max="259" width="6.6640625" style="58" customWidth="1"/>
    <col min="260" max="269" width="15.44140625" style="58" customWidth="1"/>
    <col min="270" max="512" width="0" style="58" hidden="1"/>
    <col min="513" max="513" width="8.5546875" style="58" customWidth="1"/>
    <col min="514" max="514" width="5.6640625" style="58" customWidth="1"/>
    <col min="515" max="515" width="6.6640625" style="58" customWidth="1"/>
    <col min="516" max="525" width="15.44140625" style="58" customWidth="1"/>
    <col min="526" max="768" width="0" style="58" hidden="1"/>
    <col min="769" max="769" width="8.5546875" style="58" customWidth="1"/>
    <col min="770" max="770" width="5.6640625" style="58" customWidth="1"/>
    <col min="771" max="771" width="6.6640625" style="58" customWidth="1"/>
    <col min="772" max="781" width="15.44140625" style="58" customWidth="1"/>
    <col min="782" max="1024" width="0" style="58" hidden="1"/>
    <col min="1025" max="1025" width="8.5546875" style="58" customWidth="1"/>
    <col min="1026" max="1026" width="5.6640625" style="58" customWidth="1"/>
    <col min="1027" max="1027" width="6.6640625" style="58" customWidth="1"/>
    <col min="1028" max="1037" width="15.44140625" style="58" customWidth="1"/>
    <col min="1038" max="1280" width="0" style="58" hidden="1"/>
    <col min="1281" max="1281" width="8.5546875" style="58" customWidth="1"/>
    <col min="1282" max="1282" width="5.6640625" style="58" customWidth="1"/>
    <col min="1283" max="1283" width="6.6640625" style="58" customWidth="1"/>
    <col min="1284" max="1293" width="15.44140625" style="58" customWidth="1"/>
    <col min="1294" max="1536" width="0" style="58" hidden="1"/>
    <col min="1537" max="1537" width="8.5546875" style="58" customWidth="1"/>
    <col min="1538" max="1538" width="5.6640625" style="58" customWidth="1"/>
    <col min="1539" max="1539" width="6.6640625" style="58" customWidth="1"/>
    <col min="1540" max="1549" width="15.44140625" style="58" customWidth="1"/>
    <col min="1550" max="1792" width="0" style="58" hidden="1"/>
    <col min="1793" max="1793" width="8.5546875" style="58" customWidth="1"/>
    <col min="1794" max="1794" width="5.6640625" style="58" customWidth="1"/>
    <col min="1795" max="1795" width="6.6640625" style="58" customWidth="1"/>
    <col min="1796" max="1805" width="15.44140625" style="58" customWidth="1"/>
    <col min="1806" max="2048" width="0" style="58" hidden="1"/>
    <col min="2049" max="2049" width="8.5546875" style="58" customWidth="1"/>
    <col min="2050" max="2050" width="5.6640625" style="58" customWidth="1"/>
    <col min="2051" max="2051" width="6.6640625" style="58" customWidth="1"/>
    <col min="2052" max="2061" width="15.44140625" style="58" customWidth="1"/>
    <col min="2062" max="2304" width="0" style="58" hidden="1"/>
    <col min="2305" max="2305" width="8.5546875" style="58" customWidth="1"/>
    <col min="2306" max="2306" width="5.6640625" style="58" customWidth="1"/>
    <col min="2307" max="2307" width="6.6640625" style="58" customWidth="1"/>
    <col min="2308" max="2317" width="15.44140625" style="58" customWidth="1"/>
    <col min="2318" max="2560" width="0" style="58" hidden="1"/>
    <col min="2561" max="2561" width="8.5546875" style="58" customWidth="1"/>
    <col min="2562" max="2562" width="5.6640625" style="58" customWidth="1"/>
    <col min="2563" max="2563" width="6.6640625" style="58" customWidth="1"/>
    <col min="2564" max="2573" width="15.44140625" style="58" customWidth="1"/>
    <col min="2574" max="2816" width="0" style="58" hidden="1"/>
    <col min="2817" max="2817" width="8.5546875" style="58" customWidth="1"/>
    <col min="2818" max="2818" width="5.6640625" style="58" customWidth="1"/>
    <col min="2819" max="2819" width="6.6640625" style="58" customWidth="1"/>
    <col min="2820" max="2829" width="15.44140625" style="58" customWidth="1"/>
    <col min="2830" max="3072" width="0" style="58" hidden="1"/>
    <col min="3073" max="3073" width="8.5546875" style="58" customWidth="1"/>
    <col min="3074" max="3074" width="5.6640625" style="58" customWidth="1"/>
    <col min="3075" max="3075" width="6.6640625" style="58" customWidth="1"/>
    <col min="3076" max="3085" width="15.44140625" style="58" customWidth="1"/>
    <col min="3086" max="3328" width="0" style="58" hidden="1"/>
    <col min="3329" max="3329" width="8.5546875" style="58" customWidth="1"/>
    <col min="3330" max="3330" width="5.6640625" style="58" customWidth="1"/>
    <col min="3331" max="3331" width="6.6640625" style="58" customWidth="1"/>
    <col min="3332" max="3341" width="15.44140625" style="58" customWidth="1"/>
    <col min="3342" max="3584" width="0" style="58" hidden="1"/>
    <col min="3585" max="3585" width="8.5546875" style="58" customWidth="1"/>
    <col min="3586" max="3586" width="5.6640625" style="58" customWidth="1"/>
    <col min="3587" max="3587" width="6.6640625" style="58" customWidth="1"/>
    <col min="3588" max="3597" width="15.44140625" style="58" customWidth="1"/>
    <col min="3598" max="3840" width="0" style="58" hidden="1"/>
    <col min="3841" max="3841" width="8.5546875" style="58" customWidth="1"/>
    <col min="3842" max="3842" width="5.6640625" style="58" customWidth="1"/>
    <col min="3843" max="3843" width="6.6640625" style="58" customWidth="1"/>
    <col min="3844" max="3853" width="15.44140625" style="58" customWidth="1"/>
    <col min="3854" max="4096" width="0" style="58" hidden="1"/>
    <col min="4097" max="4097" width="8.5546875" style="58" customWidth="1"/>
    <col min="4098" max="4098" width="5.6640625" style="58" customWidth="1"/>
    <col min="4099" max="4099" width="6.6640625" style="58" customWidth="1"/>
    <col min="4100" max="4109" width="15.44140625" style="58" customWidth="1"/>
    <col min="4110" max="4352" width="0" style="58" hidden="1"/>
    <col min="4353" max="4353" width="8.5546875" style="58" customWidth="1"/>
    <col min="4354" max="4354" width="5.6640625" style="58" customWidth="1"/>
    <col min="4355" max="4355" width="6.6640625" style="58" customWidth="1"/>
    <col min="4356" max="4365" width="15.44140625" style="58" customWidth="1"/>
    <col min="4366" max="4608" width="0" style="58" hidden="1"/>
    <col min="4609" max="4609" width="8.5546875" style="58" customWidth="1"/>
    <col min="4610" max="4610" width="5.6640625" style="58" customWidth="1"/>
    <col min="4611" max="4611" width="6.6640625" style="58" customWidth="1"/>
    <col min="4612" max="4621" width="15.44140625" style="58" customWidth="1"/>
    <col min="4622" max="4864" width="0" style="58" hidden="1"/>
    <col min="4865" max="4865" width="8.5546875" style="58" customWidth="1"/>
    <col min="4866" max="4866" width="5.6640625" style="58" customWidth="1"/>
    <col min="4867" max="4867" width="6.6640625" style="58" customWidth="1"/>
    <col min="4868" max="4877" width="15.44140625" style="58" customWidth="1"/>
    <col min="4878" max="5120" width="0" style="58" hidden="1"/>
    <col min="5121" max="5121" width="8.5546875" style="58" customWidth="1"/>
    <col min="5122" max="5122" width="5.6640625" style="58" customWidth="1"/>
    <col min="5123" max="5123" width="6.6640625" style="58" customWidth="1"/>
    <col min="5124" max="5133" width="15.44140625" style="58" customWidth="1"/>
    <col min="5134" max="5376" width="0" style="58" hidden="1"/>
    <col min="5377" max="5377" width="8.5546875" style="58" customWidth="1"/>
    <col min="5378" max="5378" width="5.6640625" style="58" customWidth="1"/>
    <col min="5379" max="5379" width="6.6640625" style="58" customWidth="1"/>
    <col min="5380" max="5389" width="15.44140625" style="58" customWidth="1"/>
    <col min="5390" max="5632" width="0" style="58" hidden="1"/>
    <col min="5633" max="5633" width="8.5546875" style="58" customWidth="1"/>
    <col min="5634" max="5634" width="5.6640625" style="58" customWidth="1"/>
    <col min="5635" max="5635" width="6.6640625" style="58" customWidth="1"/>
    <col min="5636" max="5645" width="15.44140625" style="58" customWidth="1"/>
    <col min="5646" max="5888" width="0" style="58" hidden="1"/>
    <col min="5889" max="5889" width="8.5546875" style="58" customWidth="1"/>
    <col min="5890" max="5890" width="5.6640625" style="58" customWidth="1"/>
    <col min="5891" max="5891" width="6.6640625" style="58" customWidth="1"/>
    <col min="5892" max="5901" width="15.44140625" style="58" customWidth="1"/>
    <col min="5902" max="6144" width="0" style="58" hidden="1"/>
    <col min="6145" max="6145" width="8.5546875" style="58" customWidth="1"/>
    <col min="6146" max="6146" width="5.6640625" style="58" customWidth="1"/>
    <col min="6147" max="6147" width="6.6640625" style="58" customWidth="1"/>
    <col min="6148" max="6157" width="15.44140625" style="58" customWidth="1"/>
    <col min="6158" max="6400" width="0" style="58" hidden="1"/>
    <col min="6401" max="6401" width="8.5546875" style="58" customWidth="1"/>
    <col min="6402" max="6402" width="5.6640625" style="58" customWidth="1"/>
    <col min="6403" max="6403" width="6.6640625" style="58" customWidth="1"/>
    <col min="6404" max="6413" width="15.44140625" style="58" customWidth="1"/>
    <col min="6414" max="6656" width="0" style="58" hidden="1"/>
    <col min="6657" max="6657" width="8.5546875" style="58" customWidth="1"/>
    <col min="6658" max="6658" width="5.6640625" style="58" customWidth="1"/>
    <col min="6659" max="6659" width="6.6640625" style="58" customWidth="1"/>
    <col min="6660" max="6669" width="15.44140625" style="58" customWidth="1"/>
    <col min="6670" max="6912" width="0" style="58" hidden="1"/>
    <col min="6913" max="6913" width="8.5546875" style="58" customWidth="1"/>
    <col min="6914" max="6914" width="5.6640625" style="58" customWidth="1"/>
    <col min="6915" max="6915" width="6.6640625" style="58" customWidth="1"/>
    <col min="6916" max="6925" width="15.44140625" style="58" customWidth="1"/>
    <col min="6926" max="7168" width="0" style="58" hidden="1"/>
    <col min="7169" max="7169" width="8.5546875" style="58" customWidth="1"/>
    <col min="7170" max="7170" width="5.6640625" style="58" customWidth="1"/>
    <col min="7171" max="7171" width="6.6640625" style="58" customWidth="1"/>
    <col min="7172" max="7181" width="15.44140625" style="58" customWidth="1"/>
    <col min="7182" max="7424" width="0" style="58" hidden="1"/>
    <col min="7425" max="7425" width="8.5546875" style="58" customWidth="1"/>
    <col min="7426" max="7426" width="5.6640625" style="58" customWidth="1"/>
    <col min="7427" max="7427" width="6.6640625" style="58" customWidth="1"/>
    <col min="7428" max="7437" width="15.44140625" style="58" customWidth="1"/>
    <col min="7438" max="7680" width="0" style="58" hidden="1"/>
    <col min="7681" max="7681" width="8.5546875" style="58" customWidth="1"/>
    <col min="7682" max="7682" width="5.6640625" style="58" customWidth="1"/>
    <col min="7683" max="7683" width="6.6640625" style="58" customWidth="1"/>
    <col min="7684" max="7693" width="15.44140625" style="58" customWidth="1"/>
    <col min="7694" max="7936" width="0" style="58" hidden="1"/>
    <col min="7937" max="7937" width="8.5546875" style="58" customWidth="1"/>
    <col min="7938" max="7938" width="5.6640625" style="58" customWidth="1"/>
    <col min="7939" max="7939" width="6.6640625" style="58" customWidth="1"/>
    <col min="7940" max="7949" width="15.44140625" style="58" customWidth="1"/>
    <col min="7950" max="8192" width="0" style="58" hidden="1"/>
    <col min="8193" max="8193" width="8.5546875" style="58" customWidth="1"/>
    <col min="8194" max="8194" width="5.6640625" style="58" customWidth="1"/>
    <col min="8195" max="8195" width="6.6640625" style="58" customWidth="1"/>
    <col min="8196" max="8205" width="15.44140625" style="58" customWidth="1"/>
    <col min="8206" max="8448" width="0" style="58" hidden="1"/>
    <col min="8449" max="8449" width="8.5546875" style="58" customWidth="1"/>
    <col min="8450" max="8450" width="5.6640625" style="58" customWidth="1"/>
    <col min="8451" max="8451" width="6.6640625" style="58" customWidth="1"/>
    <col min="8452" max="8461" width="15.44140625" style="58" customWidth="1"/>
    <col min="8462" max="8704" width="0" style="58" hidden="1"/>
    <col min="8705" max="8705" width="8.5546875" style="58" customWidth="1"/>
    <col min="8706" max="8706" width="5.6640625" style="58" customWidth="1"/>
    <col min="8707" max="8707" width="6.6640625" style="58" customWidth="1"/>
    <col min="8708" max="8717" width="15.44140625" style="58" customWidth="1"/>
    <col min="8718" max="8960" width="0" style="58" hidden="1"/>
    <col min="8961" max="8961" width="8.5546875" style="58" customWidth="1"/>
    <col min="8962" max="8962" width="5.6640625" style="58" customWidth="1"/>
    <col min="8963" max="8963" width="6.6640625" style="58" customWidth="1"/>
    <col min="8964" max="8973" width="15.44140625" style="58" customWidth="1"/>
    <col min="8974" max="9216" width="0" style="58" hidden="1"/>
    <col min="9217" max="9217" width="8.5546875" style="58" customWidth="1"/>
    <col min="9218" max="9218" width="5.6640625" style="58" customWidth="1"/>
    <col min="9219" max="9219" width="6.6640625" style="58" customWidth="1"/>
    <col min="9220" max="9229" width="15.44140625" style="58" customWidth="1"/>
    <col min="9230" max="9472" width="0" style="58" hidden="1"/>
    <col min="9473" max="9473" width="8.5546875" style="58" customWidth="1"/>
    <col min="9474" max="9474" width="5.6640625" style="58" customWidth="1"/>
    <col min="9475" max="9475" width="6.6640625" style="58" customWidth="1"/>
    <col min="9476" max="9485" width="15.44140625" style="58" customWidth="1"/>
    <col min="9486" max="9728" width="0" style="58" hidden="1"/>
    <col min="9729" max="9729" width="8.5546875" style="58" customWidth="1"/>
    <col min="9730" max="9730" width="5.6640625" style="58" customWidth="1"/>
    <col min="9731" max="9731" width="6.6640625" style="58" customWidth="1"/>
    <col min="9732" max="9741" width="15.44140625" style="58" customWidth="1"/>
    <col min="9742" max="9984" width="0" style="58" hidden="1"/>
    <col min="9985" max="9985" width="8.5546875" style="58" customWidth="1"/>
    <col min="9986" max="9986" width="5.6640625" style="58" customWidth="1"/>
    <col min="9987" max="9987" width="6.6640625" style="58" customWidth="1"/>
    <col min="9988" max="9997" width="15.44140625" style="58" customWidth="1"/>
    <col min="9998" max="10240" width="0" style="58" hidden="1"/>
    <col min="10241" max="10241" width="8.5546875" style="58" customWidth="1"/>
    <col min="10242" max="10242" width="5.6640625" style="58" customWidth="1"/>
    <col min="10243" max="10243" width="6.6640625" style="58" customWidth="1"/>
    <col min="10244" max="10253" width="15.44140625" style="58" customWidth="1"/>
    <col min="10254" max="10496" width="0" style="58" hidden="1"/>
    <col min="10497" max="10497" width="8.5546875" style="58" customWidth="1"/>
    <col min="10498" max="10498" width="5.6640625" style="58" customWidth="1"/>
    <col min="10499" max="10499" width="6.6640625" style="58" customWidth="1"/>
    <col min="10500" max="10509" width="15.44140625" style="58" customWidth="1"/>
    <col min="10510" max="10752" width="0" style="58" hidden="1"/>
    <col min="10753" max="10753" width="8.5546875" style="58" customWidth="1"/>
    <col min="10754" max="10754" width="5.6640625" style="58" customWidth="1"/>
    <col min="10755" max="10755" width="6.6640625" style="58" customWidth="1"/>
    <col min="10756" max="10765" width="15.44140625" style="58" customWidth="1"/>
    <col min="10766" max="11008" width="0" style="58" hidden="1"/>
    <col min="11009" max="11009" width="8.5546875" style="58" customWidth="1"/>
    <col min="11010" max="11010" width="5.6640625" style="58" customWidth="1"/>
    <col min="11011" max="11011" width="6.6640625" style="58" customWidth="1"/>
    <col min="11012" max="11021" width="15.44140625" style="58" customWidth="1"/>
    <col min="11022" max="11264" width="0" style="58" hidden="1"/>
    <col min="11265" max="11265" width="8.5546875" style="58" customWidth="1"/>
    <col min="11266" max="11266" width="5.6640625" style="58" customWidth="1"/>
    <col min="11267" max="11267" width="6.6640625" style="58" customWidth="1"/>
    <col min="11268" max="11277" width="15.44140625" style="58" customWidth="1"/>
    <col min="11278" max="11520" width="0" style="58" hidden="1"/>
    <col min="11521" max="11521" width="8.5546875" style="58" customWidth="1"/>
    <col min="11522" max="11522" width="5.6640625" style="58" customWidth="1"/>
    <col min="11523" max="11523" width="6.6640625" style="58" customWidth="1"/>
    <col min="11524" max="11533" width="15.44140625" style="58" customWidth="1"/>
    <col min="11534" max="11776" width="0" style="58" hidden="1"/>
    <col min="11777" max="11777" width="8.5546875" style="58" customWidth="1"/>
    <col min="11778" max="11778" width="5.6640625" style="58" customWidth="1"/>
    <col min="11779" max="11779" width="6.6640625" style="58" customWidth="1"/>
    <col min="11780" max="11789" width="15.44140625" style="58" customWidth="1"/>
    <col min="11790" max="12032" width="0" style="58" hidden="1"/>
    <col min="12033" max="12033" width="8.5546875" style="58" customWidth="1"/>
    <col min="12034" max="12034" width="5.6640625" style="58" customWidth="1"/>
    <col min="12035" max="12035" width="6.6640625" style="58" customWidth="1"/>
    <col min="12036" max="12045" width="15.44140625" style="58" customWidth="1"/>
    <col min="12046" max="12288" width="0" style="58" hidden="1"/>
    <col min="12289" max="12289" width="8.5546875" style="58" customWidth="1"/>
    <col min="12290" max="12290" width="5.6640625" style="58" customWidth="1"/>
    <col min="12291" max="12291" width="6.6640625" style="58" customWidth="1"/>
    <col min="12292" max="12301" width="15.44140625" style="58" customWidth="1"/>
    <col min="12302" max="12544" width="0" style="58" hidden="1"/>
    <col min="12545" max="12545" width="8.5546875" style="58" customWidth="1"/>
    <col min="12546" max="12546" width="5.6640625" style="58" customWidth="1"/>
    <col min="12547" max="12547" width="6.6640625" style="58" customWidth="1"/>
    <col min="12548" max="12557" width="15.44140625" style="58" customWidth="1"/>
    <col min="12558" max="12800" width="0" style="58" hidden="1"/>
    <col min="12801" max="12801" width="8.5546875" style="58" customWidth="1"/>
    <col min="12802" max="12802" width="5.6640625" style="58" customWidth="1"/>
    <col min="12803" max="12803" width="6.6640625" style="58" customWidth="1"/>
    <col min="12804" max="12813" width="15.44140625" style="58" customWidth="1"/>
    <col min="12814" max="13056" width="0" style="58" hidden="1"/>
    <col min="13057" max="13057" width="8.5546875" style="58" customWidth="1"/>
    <col min="13058" max="13058" width="5.6640625" style="58" customWidth="1"/>
    <col min="13059" max="13059" width="6.6640625" style="58" customWidth="1"/>
    <col min="13060" max="13069" width="15.44140625" style="58" customWidth="1"/>
    <col min="13070" max="13312" width="0" style="58" hidden="1"/>
    <col min="13313" max="13313" width="8.5546875" style="58" customWidth="1"/>
    <col min="13314" max="13314" width="5.6640625" style="58" customWidth="1"/>
    <col min="13315" max="13315" width="6.6640625" style="58" customWidth="1"/>
    <col min="13316" max="13325" width="15.44140625" style="58" customWidth="1"/>
    <col min="13326" max="13568" width="0" style="58" hidden="1"/>
    <col min="13569" max="13569" width="8.5546875" style="58" customWidth="1"/>
    <col min="13570" max="13570" width="5.6640625" style="58" customWidth="1"/>
    <col min="13571" max="13571" width="6.6640625" style="58" customWidth="1"/>
    <col min="13572" max="13581" width="15.44140625" style="58" customWidth="1"/>
    <col min="13582" max="13824" width="0" style="58" hidden="1"/>
    <col min="13825" max="13825" width="8.5546875" style="58" customWidth="1"/>
    <col min="13826" max="13826" width="5.6640625" style="58" customWidth="1"/>
    <col min="13827" max="13827" width="6.6640625" style="58" customWidth="1"/>
    <col min="13828" max="13837" width="15.44140625" style="58" customWidth="1"/>
    <col min="13838" max="14080" width="0" style="58" hidden="1"/>
    <col min="14081" max="14081" width="8.5546875" style="58" customWidth="1"/>
    <col min="14082" max="14082" width="5.6640625" style="58" customWidth="1"/>
    <col min="14083" max="14083" width="6.6640625" style="58" customWidth="1"/>
    <col min="14084" max="14093" width="15.44140625" style="58" customWidth="1"/>
    <col min="14094" max="14336" width="0" style="58" hidden="1"/>
    <col min="14337" max="14337" width="8.5546875" style="58" customWidth="1"/>
    <col min="14338" max="14338" width="5.6640625" style="58" customWidth="1"/>
    <col min="14339" max="14339" width="6.6640625" style="58" customWidth="1"/>
    <col min="14340" max="14349" width="15.44140625" style="58" customWidth="1"/>
    <col min="14350" max="14592" width="0" style="58" hidden="1"/>
    <col min="14593" max="14593" width="8.5546875" style="58" customWidth="1"/>
    <col min="14594" max="14594" width="5.6640625" style="58" customWidth="1"/>
    <col min="14595" max="14595" width="6.6640625" style="58" customWidth="1"/>
    <col min="14596" max="14605" width="15.44140625" style="58" customWidth="1"/>
    <col min="14606" max="14848" width="0" style="58" hidden="1"/>
    <col min="14849" max="14849" width="8.5546875" style="58" customWidth="1"/>
    <col min="14850" max="14850" width="5.6640625" style="58" customWidth="1"/>
    <col min="14851" max="14851" width="6.6640625" style="58" customWidth="1"/>
    <col min="14852" max="14861" width="15.44140625" style="58" customWidth="1"/>
    <col min="14862" max="15104" width="0" style="58" hidden="1"/>
    <col min="15105" max="15105" width="8.5546875" style="58" customWidth="1"/>
    <col min="15106" max="15106" width="5.6640625" style="58" customWidth="1"/>
    <col min="15107" max="15107" width="6.6640625" style="58" customWidth="1"/>
    <col min="15108" max="15117" width="15.44140625" style="58" customWidth="1"/>
    <col min="15118" max="15360" width="0" style="58" hidden="1"/>
    <col min="15361" max="15361" width="8.5546875" style="58" customWidth="1"/>
    <col min="15362" max="15362" width="5.6640625" style="58" customWidth="1"/>
    <col min="15363" max="15363" width="6.6640625" style="58" customWidth="1"/>
    <col min="15364" max="15373" width="15.44140625" style="58" customWidth="1"/>
    <col min="15374" max="15616" width="0" style="58" hidden="1"/>
    <col min="15617" max="15617" width="8.5546875" style="58" customWidth="1"/>
    <col min="15618" max="15618" width="5.6640625" style="58" customWidth="1"/>
    <col min="15619" max="15619" width="6.6640625" style="58" customWidth="1"/>
    <col min="15620" max="15629" width="15.44140625" style="58" customWidth="1"/>
    <col min="15630" max="15872" width="0" style="58" hidden="1"/>
    <col min="15873" max="15873" width="8.5546875" style="58" customWidth="1"/>
    <col min="15874" max="15874" width="5.6640625" style="58" customWidth="1"/>
    <col min="15875" max="15875" width="6.6640625" style="58" customWidth="1"/>
    <col min="15876" max="15885" width="15.44140625" style="58" customWidth="1"/>
    <col min="15886" max="16128" width="0" style="58" hidden="1"/>
    <col min="16129" max="16129" width="8.5546875" style="58" customWidth="1"/>
    <col min="16130" max="16130" width="5.6640625" style="58" customWidth="1"/>
    <col min="16131" max="16131" width="6.6640625" style="58" customWidth="1"/>
    <col min="16132" max="16141" width="15.44140625" style="58" customWidth="1"/>
    <col min="16142" max="16384" width="0" style="58" hidden="1"/>
  </cols>
  <sheetData>
    <row r="1" spans="1:13" ht="13.2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2.7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13.2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13.2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ht="15.6" x14ac:dyDescent="0.3">
      <c r="A5" s="59" t="s">
        <v>278</v>
      </c>
      <c r="B5" s="60"/>
      <c r="C5" s="60"/>
      <c r="D5" s="61" t="s">
        <v>219</v>
      </c>
      <c r="E5" s="62">
        <f>VLOOKUP(Sheet1!D82,Sheet1!A82:B105,2)</f>
        <v>2024</v>
      </c>
      <c r="F5" s="62" t="str">
        <f>VLOOKUP(Sheet1!D56,Sheet1!A56:B56,2)&amp;"  )"</f>
        <v>Constant Dollars  )</v>
      </c>
      <c r="G5" s="60"/>
      <c r="H5" s="57"/>
      <c r="I5" s="57"/>
      <c r="J5" s="57"/>
      <c r="K5" s="57"/>
      <c r="L5" s="57"/>
      <c r="M5" s="57"/>
    </row>
    <row r="6" spans="1:13" ht="15.6" x14ac:dyDescent="0.3">
      <c r="A6" s="64" t="str">
        <f>IF(Sheet1!D193,"","(NOT FEASIBLE !!)")</f>
        <v/>
      </c>
      <c r="B6" s="60"/>
      <c r="C6" s="60"/>
      <c r="D6" s="61" t="s">
        <v>220</v>
      </c>
      <c r="E6" s="62" t="str">
        <f>VLOOKUP(Sheet1!D67,Sheet1!A66:B68,2)</f>
        <v xml:space="preserve"> ($)</v>
      </c>
      <c r="F6" s="61" t="s">
        <v>221</v>
      </c>
      <c r="G6" s="60"/>
      <c r="H6" s="57"/>
      <c r="I6" s="57"/>
      <c r="J6" s="57"/>
      <c r="K6" s="57"/>
      <c r="L6" s="57"/>
      <c r="M6" s="57"/>
    </row>
    <row r="7" spans="1:13" ht="13.2" x14ac:dyDescent="0.25">
      <c r="A7" s="74"/>
      <c r="B7" s="74"/>
      <c r="C7" s="128"/>
      <c r="M7" s="138"/>
    </row>
    <row r="8" spans="1:13" ht="13.2" x14ac:dyDescent="0.25">
      <c r="A8" s="74"/>
      <c r="B8" s="74"/>
      <c r="C8" s="128"/>
      <c r="M8" s="138"/>
    </row>
    <row r="9" spans="1:13" ht="17.25" customHeight="1" x14ac:dyDescent="0.25">
      <c r="A9" s="155" t="s">
        <v>222</v>
      </c>
      <c r="B9" s="142"/>
      <c r="C9" s="142"/>
      <c r="D9" s="71"/>
      <c r="E9" s="72"/>
      <c r="F9" s="72"/>
      <c r="G9" s="72"/>
      <c r="H9" s="73"/>
      <c r="M9" s="138"/>
    </row>
    <row r="10" spans="1:13" ht="21" customHeight="1" x14ac:dyDescent="0.25">
      <c r="A10" s="155" t="s">
        <v>223</v>
      </c>
      <c r="B10" s="155"/>
      <c r="C10" s="142"/>
      <c r="E10" s="75" t="s">
        <v>224</v>
      </c>
      <c r="M10" s="138"/>
    </row>
    <row r="11" spans="1:13" ht="20.100000000000001" customHeight="1" x14ac:dyDescent="0.25">
      <c r="A11" s="152"/>
      <c r="B11" s="152"/>
      <c r="C11" s="139"/>
      <c r="E11" s="78"/>
      <c r="M11" s="138"/>
    </row>
    <row r="12" spans="1:13" ht="13.5" customHeight="1" x14ac:dyDescent="0.25">
      <c r="A12" s="144" t="s">
        <v>269</v>
      </c>
      <c r="B12" s="142"/>
      <c r="C12" s="142"/>
      <c r="D12" s="80"/>
      <c r="E12" s="80"/>
      <c r="F12" s="80"/>
      <c r="G12" s="80"/>
      <c r="H12" s="80"/>
      <c r="I12" s="80"/>
      <c r="J12" s="80"/>
      <c r="K12" s="80"/>
      <c r="M12" s="138"/>
    </row>
    <row r="13" spans="1:13" ht="15" customHeight="1" x14ac:dyDescent="0.25">
      <c r="A13" s="143" t="s">
        <v>268</v>
      </c>
      <c r="B13" s="142"/>
      <c r="C13" s="142"/>
      <c r="D13" s="80"/>
      <c r="E13" s="80"/>
      <c r="F13" s="80"/>
      <c r="G13" s="80"/>
      <c r="H13" s="80"/>
      <c r="I13" s="80"/>
      <c r="J13" s="80"/>
      <c r="K13" s="80"/>
      <c r="M13" s="138"/>
    </row>
    <row r="14" spans="1:13" ht="3" customHeight="1" x14ac:dyDescent="0.25">
      <c r="A14" s="151"/>
      <c r="B14" s="139"/>
      <c r="C14" s="139"/>
      <c r="D14" s="80"/>
      <c r="E14" s="80"/>
      <c r="F14" s="80"/>
      <c r="G14" s="80"/>
      <c r="H14" s="80"/>
      <c r="I14" s="80"/>
      <c r="J14" s="80"/>
      <c r="K14" s="80"/>
      <c r="M14" s="138"/>
    </row>
    <row r="15" spans="1:13" ht="3" customHeight="1" thickBot="1" x14ac:dyDescent="0.3">
      <c r="A15" s="151"/>
      <c r="B15" s="139"/>
      <c r="C15" s="139"/>
      <c r="D15" s="80"/>
      <c r="E15" s="80"/>
      <c r="F15" s="80"/>
      <c r="G15" s="80"/>
      <c r="H15" s="80"/>
      <c r="I15" s="80"/>
      <c r="J15" s="80"/>
      <c r="K15" s="80"/>
      <c r="M15" s="138"/>
    </row>
    <row r="16" spans="1:13" ht="33" customHeight="1" thickTop="1" x14ac:dyDescent="0.25">
      <c r="A16" s="148" t="s">
        <v>229</v>
      </c>
      <c r="B16" s="148" t="s">
        <v>230</v>
      </c>
      <c r="C16" s="86" t="s">
        <v>231</v>
      </c>
      <c r="D16" s="162"/>
      <c r="E16" s="162"/>
      <c r="F16" s="87"/>
      <c r="G16" s="87"/>
      <c r="H16" s="87"/>
      <c r="I16" s="87"/>
      <c r="J16" s="87"/>
      <c r="K16" s="87"/>
      <c r="L16" s="104" t="s">
        <v>252</v>
      </c>
      <c r="M16" s="138"/>
    </row>
    <row r="17" spans="1:13" ht="13.2" x14ac:dyDescent="0.25">
      <c r="A17" s="147">
        <f>IF(Sheet1!D$196,VLOOKUP(1,Sheet1!A148:B197,2),NA())</f>
        <v>1</v>
      </c>
      <c r="B17" s="147">
        <f>IF(Sheet1!D$196,VLOOKUP(Sheet1!D$86,Sheet1!A80:B147,2),NA())</f>
        <v>2024</v>
      </c>
      <c r="C17" s="146" t="str">
        <f>IF(AND(OR(A17=" ",A17="#NA"),OR(D17&lt;&gt;0,E17&lt;&gt;0,F17&lt;&gt;0,G17&lt;&gt;0,H17&lt;&gt;0,I17&lt;&gt;0,J17&lt;&gt;0,K17&lt;&gt;0)),"Clear=&gt;"," ")</f>
        <v xml:space="preserve"> </v>
      </c>
      <c r="D17" s="92"/>
      <c r="E17" s="92"/>
      <c r="F17" s="92"/>
      <c r="G17" s="92"/>
      <c r="H17" s="92"/>
      <c r="I17" s="92"/>
      <c r="J17" s="92"/>
      <c r="K17" s="92"/>
      <c r="L17" s="95">
        <f>IF(Sheet1!D$196,SUM(D17:K17),NA())</f>
        <v>0</v>
      </c>
      <c r="M17" s="127"/>
    </row>
    <row r="18" spans="1:13" ht="13.2" x14ac:dyDescent="0.25">
      <c r="A18" s="147" t="str">
        <f>IF(Sheet1!D$196,IF((A17&gt;=(Sheet1!D$148+$A$17)-1)," ",A17+1),NA())</f>
        <v xml:space="preserve"> </v>
      </c>
      <c r="B18" s="147" t="str">
        <f>IF(Sheet1!D$196,IF((B17&gt;=(Sheet1!D$148+$B$17)-1)," ",B17+1),NA())</f>
        <v xml:space="preserve"> </v>
      </c>
      <c r="C18" s="146" t="str">
        <f t="shared" ref="C18:C66" si="0">IF(AND(OR(A18=" ",A18="#NA"),OR(D18&lt;&gt;0,E18&lt;&gt;0,F18&lt;&gt;0,G18&lt;&gt;0,H18&lt;&gt;0,I18&lt;&gt;0,J18&lt;&gt;0,K18&lt;&gt;0)),"Clear=&gt;"," ")</f>
        <v xml:space="preserve"> </v>
      </c>
      <c r="D18" s="92"/>
      <c r="E18" s="92"/>
      <c r="F18" s="92"/>
      <c r="G18" s="92"/>
      <c r="H18" s="92"/>
      <c r="I18" s="92"/>
      <c r="J18" s="92"/>
      <c r="K18" s="92"/>
      <c r="L18" s="95">
        <f>IF(Sheet1!D$196,SUM(D18:K18),NA())</f>
        <v>0</v>
      </c>
      <c r="M18" s="127"/>
    </row>
    <row r="19" spans="1:13" ht="13.2" x14ac:dyDescent="0.25">
      <c r="A19" s="147" t="str">
        <f>IF(Sheet1!D$196,IF((A18&gt;=(Sheet1!D$148+$A$17)-1)," ",A18+1),NA())</f>
        <v xml:space="preserve"> </v>
      </c>
      <c r="B19" s="147" t="str">
        <f>IF(Sheet1!D$196,IF((B18&gt;=(Sheet1!D$148+$B$17)-1)," ",B18+1),NA())</f>
        <v xml:space="preserve"> </v>
      </c>
      <c r="C19" s="146" t="str">
        <f t="shared" si="0"/>
        <v xml:space="preserve"> </v>
      </c>
      <c r="D19" s="92"/>
      <c r="E19" s="92"/>
      <c r="F19" s="92"/>
      <c r="G19" s="92"/>
      <c r="H19" s="92"/>
      <c r="I19" s="92"/>
      <c r="J19" s="92"/>
      <c r="K19" s="92"/>
      <c r="L19" s="95">
        <f>IF(Sheet1!D$196,SUM(D19:K19),NA())</f>
        <v>0</v>
      </c>
      <c r="M19" s="127"/>
    </row>
    <row r="20" spans="1:13" ht="13.2" x14ac:dyDescent="0.25">
      <c r="A20" s="147" t="str">
        <f>IF(Sheet1!D$196,IF((A19&gt;=(Sheet1!D$148+$A$17)-1)," ",A19+1),NA())</f>
        <v xml:space="preserve"> </v>
      </c>
      <c r="B20" s="147" t="str">
        <f>IF(Sheet1!D$196,IF((B19&gt;=(Sheet1!D$148+$B$17)-1)," ",B19+1),NA())</f>
        <v xml:space="preserve"> </v>
      </c>
      <c r="C20" s="146" t="str">
        <f t="shared" si="0"/>
        <v xml:space="preserve"> </v>
      </c>
      <c r="D20" s="92"/>
      <c r="E20" s="92"/>
      <c r="F20" s="92"/>
      <c r="G20" s="92"/>
      <c r="H20" s="92"/>
      <c r="I20" s="92"/>
      <c r="J20" s="92"/>
      <c r="K20" s="92"/>
      <c r="L20" s="95">
        <f>IF(Sheet1!D$196,SUM(D20:K20),NA())</f>
        <v>0</v>
      </c>
      <c r="M20" s="127"/>
    </row>
    <row r="21" spans="1:13" ht="13.2" x14ac:dyDescent="0.25">
      <c r="A21" s="147" t="str">
        <f>IF(Sheet1!D$196,IF((A20&gt;=(Sheet1!D$148+$A$17)-1)," ",A20+1),NA())</f>
        <v xml:space="preserve"> </v>
      </c>
      <c r="B21" s="147" t="str">
        <f>IF(Sheet1!D$196,IF((B20&gt;=(Sheet1!D$148+$B$17)-1)," ",B20+1),NA())</f>
        <v xml:space="preserve"> </v>
      </c>
      <c r="C21" s="146" t="str">
        <f t="shared" si="0"/>
        <v xml:space="preserve"> </v>
      </c>
      <c r="D21" s="92"/>
      <c r="E21" s="92"/>
      <c r="F21" s="92"/>
      <c r="G21" s="92"/>
      <c r="H21" s="92"/>
      <c r="I21" s="92"/>
      <c r="J21" s="92"/>
      <c r="K21" s="92"/>
      <c r="L21" s="95">
        <f>IF(Sheet1!D$196,SUM(D21:K21),NA())</f>
        <v>0</v>
      </c>
      <c r="M21" s="127"/>
    </row>
    <row r="22" spans="1:13" ht="13.2" x14ac:dyDescent="0.25">
      <c r="A22" s="147" t="str">
        <f>IF(Sheet1!D$196,IF((A21&gt;=(Sheet1!D$148+$A$17)-1)," ",A21+1),NA())</f>
        <v xml:space="preserve"> </v>
      </c>
      <c r="B22" s="147" t="str">
        <f>IF(Sheet1!D$196,IF((B21&gt;=(Sheet1!D$148+$B$17)-1)," ",B21+1),NA())</f>
        <v xml:space="preserve"> </v>
      </c>
      <c r="C22" s="146" t="str">
        <f t="shared" si="0"/>
        <v xml:space="preserve"> </v>
      </c>
      <c r="D22" s="92"/>
      <c r="E22" s="92"/>
      <c r="F22" s="92"/>
      <c r="G22" s="92"/>
      <c r="H22" s="92"/>
      <c r="I22" s="92"/>
      <c r="J22" s="92"/>
      <c r="K22" s="92"/>
      <c r="L22" s="95">
        <f>IF(Sheet1!D$196,SUM(D22:K22),NA())</f>
        <v>0</v>
      </c>
      <c r="M22" s="127"/>
    </row>
    <row r="23" spans="1:13" ht="13.2" x14ac:dyDescent="0.25">
      <c r="A23" s="147" t="str">
        <f>IF(Sheet1!D$196,IF((A22&gt;=(Sheet1!D$148+$A$17)-1)," ",A22+1),NA())</f>
        <v xml:space="preserve"> </v>
      </c>
      <c r="B23" s="147" t="str">
        <f>IF(Sheet1!D$196,IF((B22&gt;=(Sheet1!D$148+$B$17)-1)," ",B22+1),NA())</f>
        <v xml:space="preserve"> </v>
      </c>
      <c r="C23" s="146" t="str">
        <f t="shared" si="0"/>
        <v xml:space="preserve"> </v>
      </c>
      <c r="D23" s="92"/>
      <c r="E23" s="92"/>
      <c r="F23" s="92"/>
      <c r="G23" s="92"/>
      <c r="H23" s="92"/>
      <c r="I23" s="92"/>
      <c r="J23" s="92"/>
      <c r="K23" s="92"/>
      <c r="L23" s="95">
        <f>IF(Sheet1!D$196,SUM(D23:K23),NA())</f>
        <v>0</v>
      </c>
      <c r="M23" s="127"/>
    </row>
    <row r="24" spans="1:13" ht="13.2" x14ac:dyDescent="0.25">
      <c r="A24" s="147" t="str">
        <f>IF(Sheet1!D$196,IF((A23&gt;=(Sheet1!D$148+$A$17)-1)," ",A23+1),NA())</f>
        <v xml:space="preserve"> </v>
      </c>
      <c r="B24" s="147" t="str">
        <f>IF(Sheet1!D$196,IF((B23&gt;=(Sheet1!D$148+$B$17)-1)," ",B23+1),NA())</f>
        <v xml:space="preserve"> </v>
      </c>
      <c r="C24" s="146" t="str">
        <f t="shared" si="0"/>
        <v xml:space="preserve"> </v>
      </c>
      <c r="D24" s="92"/>
      <c r="E24" s="92"/>
      <c r="F24" s="92"/>
      <c r="G24" s="92"/>
      <c r="H24" s="92"/>
      <c r="I24" s="92"/>
      <c r="J24" s="92"/>
      <c r="K24" s="92"/>
      <c r="L24" s="95">
        <f>IF(Sheet1!D$196,SUM(D24:K24),NA())</f>
        <v>0</v>
      </c>
      <c r="M24" s="127"/>
    </row>
    <row r="25" spans="1:13" ht="13.2" x14ac:dyDescent="0.25">
      <c r="A25" s="147" t="str">
        <f>IF(Sheet1!D$196,IF((A24&gt;=(Sheet1!D$148+$A$17)-1)," ",A24+1),NA())</f>
        <v xml:space="preserve"> </v>
      </c>
      <c r="B25" s="147" t="str">
        <f>IF(Sheet1!D$196,IF((B24&gt;=(Sheet1!D$148+$B$17)-1)," ",B24+1),NA())</f>
        <v xml:space="preserve"> </v>
      </c>
      <c r="C25" s="146" t="str">
        <f t="shared" si="0"/>
        <v xml:space="preserve"> </v>
      </c>
      <c r="D25" s="92"/>
      <c r="E25" s="92"/>
      <c r="F25" s="92"/>
      <c r="G25" s="92"/>
      <c r="H25" s="92"/>
      <c r="I25" s="92"/>
      <c r="J25" s="92"/>
      <c r="K25" s="92"/>
      <c r="L25" s="95">
        <f>IF(Sheet1!D$196,SUM(D25:K25),NA())</f>
        <v>0</v>
      </c>
      <c r="M25" s="127"/>
    </row>
    <row r="26" spans="1:13" ht="13.2" x14ac:dyDescent="0.25">
      <c r="A26" s="147" t="str">
        <f>IF(Sheet1!D$196,IF((A25&gt;=(Sheet1!D$148+$A$17)-1)," ",A25+1),NA())</f>
        <v xml:space="preserve"> </v>
      </c>
      <c r="B26" s="147" t="str">
        <f>IF(Sheet1!D$196,IF((B25&gt;=(Sheet1!D$148+$B$17)-1)," ",B25+1),NA())</f>
        <v xml:space="preserve"> </v>
      </c>
      <c r="C26" s="146" t="str">
        <f t="shared" si="0"/>
        <v xml:space="preserve"> </v>
      </c>
      <c r="D26" s="92"/>
      <c r="E26" s="92"/>
      <c r="F26" s="92"/>
      <c r="G26" s="92"/>
      <c r="H26" s="92"/>
      <c r="I26" s="92"/>
      <c r="J26" s="92"/>
      <c r="K26" s="92"/>
      <c r="L26" s="95">
        <f>IF(Sheet1!D$196,SUM(D26:K26),NA())</f>
        <v>0</v>
      </c>
      <c r="M26" s="127"/>
    </row>
    <row r="27" spans="1:13" ht="13.2" x14ac:dyDescent="0.25">
      <c r="A27" s="147" t="str">
        <f>IF(Sheet1!D$196,IF((A26&gt;=(Sheet1!D$148+$A$17)-1)," ",A26+1),NA())</f>
        <v xml:space="preserve"> </v>
      </c>
      <c r="B27" s="147" t="str">
        <f>IF(Sheet1!D$196,IF((B26&gt;=(Sheet1!D$148+$B$17)-1)," ",B26+1),NA())</f>
        <v xml:space="preserve"> </v>
      </c>
      <c r="C27" s="146" t="str">
        <f t="shared" si="0"/>
        <v xml:space="preserve"> </v>
      </c>
      <c r="D27" s="92"/>
      <c r="E27" s="92"/>
      <c r="F27" s="92"/>
      <c r="G27" s="92"/>
      <c r="H27" s="92"/>
      <c r="I27" s="92"/>
      <c r="J27" s="92"/>
      <c r="K27" s="92"/>
      <c r="L27" s="95">
        <f>IF(Sheet1!D$196,SUM(D27:K27),NA())</f>
        <v>0</v>
      </c>
      <c r="M27" s="127"/>
    </row>
    <row r="28" spans="1:13" ht="13.2" x14ac:dyDescent="0.25">
      <c r="A28" s="147" t="str">
        <f>IF(Sheet1!D$196,IF((A27&gt;=(Sheet1!D$148+$A$17)-1)," ",A27+1),NA())</f>
        <v xml:space="preserve"> </v>
      </c>
      <c r="B28" s="147" t="str">
        <f>IF(Sheet1!D$196,IF((B27&gt;=(Sheet1!D$148+$B$17)-1)," ",B27+1),NA())</f>
        <v xml:space="preserve"> </v>
      </c>
      <c r="C28" s="146" t="str">
        <f t="shared" si="0"/>
        <v xml:space="preserve"> </v>
      </c>
      <c r="D28" s="92"/>
      <c r="E28" s="92"/>
      <c r="F28" s="92"/>
      <c r="G28" s="92"/>
      <c r="H28" s="92"/>
      <c r="I28" s="92"/>
      <c r="J28" s="92"/>
      <c r="K28" s="92"/>
      <c r="L28" s="95">
        <f>IF(Sheet1!D$196,SUM(D28:K28),NA())</f>
        <v>0</v>
      </c>
      <c r="M28" s="127"/>
    </row>
    <row r="29" spans="1:13" ht="13.2" x14ac:dyDescent="0.25">
      <c r="A29" s="147" t="str">
        <f>IF(Sheet1!D$196,IF((A28&gt;=(Sheet1!D$148+$A$17)-1)," ",A28+1),NA())</f>
        <v xml:space="preserve"> </v>
      </c>
      <c r="B29" s="147" t="str">
        <f>IF(Sheet1!D$196,IF((B28&gt;=(Sheet1!D$148+$B$17)-1)," ",B28+1),NA())</f>
        <v xml:space="preserve"> </v>
      </c>
      <c r="C29" s="146" t="str">
        <f t="shared" si="0"/>
        <v xml:space="preserve"> </v>
      </c>
      <c r="D29" s="92"/>
      <c r="E29" s="92"/>
      <c r="F29" s="92"/>
      <c r="G29" s="92"/>
      <c r="H29" s="92"/>
      <c r="I29" s="92"/>
      <c r="J29" s="92"/>
      <c r="K29" s="92"/>
      <c r="L29" s="95">
        <f>IF(Sheet1!D$196,SUM(D29:K29),NA())</f>
        <v>0</v>
      </c>
      <c r="M29" s="127"/>
    </row>
    <row r="30" spans="1:13" ht="13.2" x14ac:dyDescent="0.25">
      <c r="A30" s="147" t="str">
        <f>IF(Sheet1!D$196,IF((A29&gt;=(Sheet1!D$148+$A$17)-1)," ",A29+1),NA())</f>
        <v xml:space="preserve"> </v>
      </c>
      <c r="B30" s="147" t="str">
        <f>IF(Sheet1!D$196,IF((B29&gt;=(Sheet1!D$148+$B$17)-1)," ",B29+1),NA())</f>
        <v xml:space="preserve"> </v>
      </c>
      <c r="C30" s="146" t="str">
        <f t="shared" si="0"/>
        <v xml:space="preserve"> </v>
      </c>
      <c r="D30" s="92"/>
      <c r="E30" s="92"/>
      <c r="F30" s="92"/>
      <c r="G30" s="92"/>
      <c r="H30" s="92"/>
      <c r="I30" s="92"/>
      <c r="J30" s="92"/>
      <c r="K30" s="92"/>
      <c r="L30" s="95">
        <f>IF(Sheet1!D$196,SUM(D30:K30),NA())</f>
        <v>0</v>
      </c>
      <c r="M30" s="127"/>
    </row>
    <row r="31" spans="1:13" ht="13.2" x14ac:dyDescent="0.25">
      <c r="A31" s="147" t="str">
        <f>IF(Sheet1!D$196,IF((A30&gt;=(Sheet1!D$148+$A$17)-1)," ",A30+1),NA())</f>
        <v xml:space="preserve"> </v>
      </c>
      <c r="B31" s="147" t="str">
        <f>IF(Sheet1!D$196,IF((B30&gt;=(Sheet1!D$148+$B$17)-1)," ",B30+1),NA())</f>
        <v xml:space="preserve"> </v>
      </c>
      <c r="C31" s="146" t="str">
        <f t="shared" si="0"/>
        <v xml:space="preserve"> </v>
      </c>
      <c r="D31" s="92"/>
      <c r="E31" s="92"/>
      <c r="F31" s="92"/>
      <c r="G31" s="92"/>
      <c r="H31" s="92"/>
      <c r="I31" s="92"/>
      <c r="J31" s="92"/>
      <c r="K31" s="92"/>
      <c r="L31" s="95">
        <f>IF(Sheet1!D$196,SUM(D31:K31),NA())</f>
        <v>0</v>
      </c>
      <c r="M31" s="127"/>
    </row>
    <row r="32" spans="1:13" ht="13.2" x14ac:dyDescent="0.25">
      <c r="A32" s="147" t="str">
        <f>IF(Sheet1!D$196,IF((A31&gt;=(Sheet1!D$148+$A$17)-1)," ",A31+1),NA())</f>
        <v xml:space="preserve"> </v>
      </c>
      <c r="B32" s="147" t="str">
        <f>IF(Sheet1!D$196,IF((B31&gt;=(Sheet1!D$148+$B$17)-1)," ",B31+1),NA())</f>
        <v xml:space="preserve"> </v>
      </c>
      <c r="C32" s="146" t="str">
        <f t="shared" si="0"/>
        <v xml:space="preserve"> </v>
      </c>
      <c r="D32" s="92"/>
      <c r="E32" s="92"/>
      <c r="F32" s="92"/>
      <c r="G32" s="92"/>
      <c r="H32" s="92"/>
      <c r="I32" s="92"/>
      <c r="J32" s="92"/>
      <c r="K32" s="92"/>
      <c r="L32" s="95">
        <f>IF(Sheet1!D$196,SUM(D32:K32),NA())</f>
        <v>0</v>
      </c>
      <c r="M32" s="127"/>
    </row>
    <row r="33" spans="1:13" ht="13.2" x14ac:dyDescent="0.25">
      <c r="A33" s="147" t="str">
        <f>IF(Sheet1!D$196,IF((A32&gt;=(Sheet1!D$148+$A$17)-1)," ",A32+1),NA())</f>
        <v xml:space="preserve"> </v>
      </c>
      <c r="B33" s="147" t="str">
        <f>IF(Sheet1!D$196,IF((B32&gt;=(Sheet1!D$148+$B$17)-1)," ",B32+1),NA())</f>
        <v xml:space="preserve"> </v>
      </c>
      <c r="C33" s="146" t="str">
        <f t="shared" si="0"/>
        <v xml:space="preserve"> </v>
      </c>
      <c r="D33" s="92"/>
      <c r="E33" s="92"/>
      <c r="F33" s="92"/>
      <c r="G33" s="92"/>
      <c r="H33" s="92"/>
      <c r="I33" s="92"/>
      <c r="J33" s="92"/>
      <c r="K33" s="92"/>
      <c r="L33" s="95">
        <f>IF(Sheet1!D$196,SUM(D33:K33),NA())</f>
        <v>0</v>
      </c>
      <c r="M33" s="127"/>
    </row>
    <row r="34" spans="1:13" ht="13.2" x14ac:dyDescent="0.25">
      <c r="A34" s="147" t="str">
        <f>IF(Sheet1!D$196,IF((A33&gt;=(Sheet1!D$148+$A$17)-1)," ",A33+1),NA())</f>
        <v xml:space="preserve"> </v>
      </c>
      <c r="B34" s="147" t="str">
        <f>IF(Sheet1!D$196,IF((B33&gt;=(Sheet1!D$148+$B$17)-1)," ",B33+1),NA())</f>
        <v xml:space="preserve"> </v>
      </c>
      <c r="C34" s="146" t="str">
        <f t="shared" si="0"/>
        <v xml:space="preserve"> </v>
      </c>
      <c r="D34" s="92"/>
      <c r="E34" s="92"/>
      <c r="F34" s="92"/>
      <c r="G34" s="92"/>
      <c r="H34" s="92"/>
      <c r="I34" s="92"/>
      <c r="J34" s="92"/>
      <c r="K34" s="92"/>
      <c r="L34" s="95">
        <f>IF(Sheet1!D$196,SUM(D34:K34),NA())</f>
        <v>0</v>
      </c>
      <c r="M34" s="127"/>
    </row>
    <row r="35" spans="1:13" ht="13.2" x14ac:dyDescent="0.25">
      <c r="A35" s="147" t="str">
        <f>IF(Sheet1!D$196,IF((A34&gt;=(Sheet1!D$148+$A$17)-1)," ",A34+1),NA())</f>
        <v xml:space="preserve"> </v>
      </c>
      <c r="B35" s="147" t="str">
        <f>IF(Sheet1!D$196,IF((B34&gt;=(Sheet1!D$148+$B$17)-1)," ",B34+1),NA())</f>
        <v xml:space="preserve"> </v>
      </c>
      <c r="C35" s="146" t="str">
        <f t="shared" si="0"/>
        <v xml:space="preserve"> </v>
      </c>
      <c r="D35" s="92"/>
      <c r="E35" s="92"/>
      <c r="F35" s="92"/>
      <c r="G35" s="92"/>
      <c r="H35" s="92"/>
      <c r="I35" s="92"/>
      <c r="J35" s="92"/>
      <c r="K35" s="92"/>
      <c r="L35" s="95">
        <f>IF(Sheet1!D$196,SUM(D35:K35),NA())</f>
        <v>0</v>
      </c>
      <c r="M35" s="127"/>
    </row>
    <row r="36" spans="1:13" ht="13.2" x14ac:dyDescent="0.25">
      <c r="A36" s="147" t="str">
        <f>IF(Sheet1!D$196,IF((A35&gt;=(Sheet1!D$148+$A$17)-1)," ",A35+1),NA())</f>
        <v xml:space="preserve"> </v>
      </c>
      <c r="B36" s="147" t="str">
        <f>IF(Sheet1!D$196,IF((B35&gt;=(Sheet1!D$148+$B$17)-1)," ",B35+1),NA())</f>
        <v xml:space="preserve"> </v>
      </c>
      <c r="C36" s="146" t="str">
        <f t="shared" si="0"/>
        <v xml:space="preserve"> </v>
      </c>
      <c r="D36" s="92"/>
      <c r="E36" s="92"/>
      <c r="F36" s="92"/>
      <c r="G36" s="92"/>
      <c r="H36" s="92"/>
      <c r="I36" s="92"/>
      <c r="J36" s="92"/>
      <c r="K36" s="92"/>
      <c r="L36" s="95">
        <f>IF(Sheet1!D$196,SUM(D36:K36),NA())</f>
        <v>0</v>
      </c>
      <c r="M36" s="127"/>
    </row>
    <row r="37" spans="1:13" ht="13.2" x14ac:dyDescent="0.25">
      <c r="A37" s="147" t="str">
        <f>IF(Sheet1!D$196,IF((A36&gt;=(Sheet1!D$148+$A$17)-1)," ",A36+1),NA())</f>
        <v xml:space="preserve"> </v>
      </c>
      <c r="B37" s="147" t="str">
        <f>IF(Sheet1!D$196,IF((B36&gt;=(Sheet1!D$148+$B$17)-1)," ",B36+1),NA())</f>
        <v xml:space="preserve"> </v>
      </c>
      <c r="C37" s="146" t="str">
        <f t="shared" si="0"/>
        <v xml:space="preserve"> </v>
      </c>
      <c r="D37" s="92"/>
      <c r="E37" s="92"/>
      <c r="F37" s="92"/>
      <c r="G37" s="92"/>
      <c r="H37" s="92"/>
      <c r="I37" s="92"/>
      <c r="J37" s="92"/>
      <c r="K37" s="92"/>
      <c r="L37" s="95">
        <f>IF(Sheet1!D$196,SUM(D37:K37),NA())</f>
        <v>0</v>
      </c>
      <c r="M37" s="127"/>
    </row>
    <row r="38" spans="1:13" ht="13.2" x14ac:dyDescent="0.25">
      <c r="A38" s="147" t="str">
        <f>IF(Sheet1!D$196,IF((A37&gt;=(Sheet1!D$148+$A$17)-1)," ",A37+1),NA())</f>
        <v xml:space="preserve"> </v>
      </c>
      <c r="B38" s="147" t="str">
        <f>IF(Sheet1!D$196,IF((B37&gt;=(Sheet1!D$148+$B$17)-1)," ",B37+1),NA())</f>
        <v xml:space="preserve"> </v>
      </c>
      <c r="C38" s="146" t="str">
        <f t="shared" si="0"/>
        <v xml:space="preserve"> </v>
      </c>
      <c r="D38" s="92"/>
      <c r="E38" s="92"/>
      <c r="F38" s="92"/>
      <c r="G38" s="92"/>
      <c r="H38" s="92"/>
      <c r="I38" s="92"/>
      <c r="J38" s="92"/>
      <c r="K38" s="92"/>
      <c r="L38" s="95">
        <f>IF(Sheet1!D$196,SUM(D38:K38),NA())</f>
        <v>0</v>
      </c>
      <c r="M38" s="127"/>
    </row>
    <row r="39" spans="1:13" ht="13.2" x14ac:dyDescent="0.25">
      <c r="A39" s="147" t="str">
        <f>IF(Sheet1!D$196,IF((A38&gt;=(Sheet1!D$148+$A$17)-1)," ",A38+1),NA())</f>
        <v xml:space="preserve"> </v>
      </c>
      <c r="B39" s="147" t="str">
        <f>IF(Sheet1!D$196,IF((B38&gt;=(Sheet1!D$148+$B$17)-1)," ",B38+1),NA())</f>
        <v xml:space="preserve"> </v>
      </c>
      <c r="C39" s="146" t="str">
        <f t="shared" si="0"/>
        <v xml:space="preserve"> </v>
      </c>
      <c r="D39" s="92"/>
      <c r="E39" s="92"/>
      <c r="F39" s="92"/>
      <c r="G39" s="92"/>
      <c r="H39" s="92"/>
      <c r="I39" s="92"/>
      <c r="J39" s="92"/>
      <c r="K39" s="92"/>
      <c r="L39" s="95">
        <f>IF(Sheet1!D$196,SUM(D39:K39),NA())</f>
        <v>0</v>
      </c>
      <c r="M39" s="127"/>
    </row>
    <row r="40" spans="1:13" ht="13.2" x14ac:dyDescent="0.25">
      <c r="A40" s="147" t="str">
        <f>IF(Sheet1!D$196,IF((A39&gt;=(Sheet1!D$148+$A$17)-1)," ",A39+1),NA())</f>
        <v xml:space="preserve"> </v>
      </c>
      <c r="B40" s="147" t="str">
        <f>IF(Sheet1!D$196,IF((B39&gt;=(Sheet1!D$148+$B$17)-1)," ",B39+1),NA())</f>
        <v xml:space="preserve"> </v>
      </c>
      <c r="C40" s="146" t="str">
        <f t="shared" si="0"/>
        <v xml:space="preserve"> </v>
      </c>
      <c r="D40" s="92"/>
      <c r="E40" s="92"/>
      <c r="F40" s="92"/>
      <c r="G40" s="92"/>
      <c r="H40" s="92"/>
      <c r="I40" s="92"/>
      <c r="J40" s="92"/>
      <c r="K40" s="92"/>
      <c r="L40" s="95">
        <f>IF(Sheet1!D$196,SUM(D40:K40),NA())</f>
        <v>0</v>
      </c>
      <c r="M40" s="127"/>
    </row>
    <row r="41" spans="1:13" ht="13.2" x14ac:dyDescent="0.25">
      <c r="A41" s="147" t="str">
        <f>IF(Sheet1!D$196,IF((A40&gt;=(Sheet1!D$148+$A$17)-1)," ",A40+1),NA())</f>
        <v xml:space="preserve"> </v>
      </c>
      <c r="B41" s="147" t="str">
        <f>IF(Sheet1!D$196,IF((B40&gt;=(Sheet1!D$148+$B$17)-1)," ",B40+1),NA())</f>
        <v xml:space="preserve"> </v>
      </c>
      <c r="C41" s="146" t="str">
        <f t="shared" si="0"/>
        <v xml:space="preserve"> </v>
      </c>
      <c r="D41" s="92"/>
      <c r="E41" s="92"/>
      <c r="F41" s="92"/>
      <c r="G41" s="92"/>
      <c r="H41" s="92"/>
      <c r="I41" s="92"/>
      <c r="J41" s="92"/>
      <c r="K41" s="92"/>
      <c r="L41" s="95">
        <f>IF(Sheet1!D$196,SUM(D41:K41),NA())</f>
        <v>0</v>
      </c>
      <c r="M41" s="127"/>
    </row>
    <row r="42" spans="1:13" ht="13.2" x14ac:dyDescent="0.25">
      <c r="A42" s="147" t="str">
        <f>IF(Sheet1!D$196,IF((A41&gt;=(Sheet1!D$148+$A$17)-1)," ",A41+1),NA())</f>
        <v xml:space="preserve"> </v>
      </c>
      <c r="B42" s="147" t="str">
        <f>IF(Sheet1!D$196,IF((B41&gt;=(Sheet1!D$148+$B$17)-1)," ",B41+1),NA())</f>
        <v xml:space="preserve"> </v>
      </c>
      <c r="C42" s="146" t="str">
        <f t="shared" si="0"/>
        <v xml:space="preserve"> </v>
      </c>
      <c r="D42" s="92"/>
      <c r="E42" s="92"/>
      <c r="F42" s="92"/>
      <c r="G42" s="92"/>
      <c r="H42" s="92"/>
      <c r="I42" s="92"/>
      <c r="J42" s="92"/>
      <c r="K42" s="92"/>
      <c r="L42" s="95">
        <f>IF(Sheet1!D$196,SUM(D42:K42),NA())</f>
        <v>0</v>
      </c>
      <c r="M42" s="127"/>
    </row>
    <row r="43" spans="1:13" ht="13.2" x14ac:dyDescent="0.25">
      <c r="A43" s="147" t="str">
        <f>IF(Sheet1!D$196,IF((A42&gt;=(Sheet1!D$148+$A$17)-1)," ",A42+1),NA())</f>
        <v xml:space="preserve"> </v>
      </c>
      <c r="B43" s="147" t="str">
        <f>IF(Sheet1!D$196,IF((B42&gt;=(Sheet1!D$148+$B$17)-1)," ",B42+1),NA())</f>
        <v xml:space="preserve"> </v>
      </c>
      <c r="C43" s="146" t="str">
        <f t="shared" si="0"/>
        <v xml:space="preserve"> </v>
      </c>
      <c r="D43" s="92"/>
      <c r="E43" s="92"/>
      <c r="F43" s="92"/>
      <c r="G43" s="92"/>
      <c r="H43" s="92"/>
      <c r="I43" s="92"/>
      <c r="J43" s="92"/>
      <c r="K43" s="92"/>
      <c r="L43" s="95">
        <f>IF(Sheet1!D$196,SUM(D43:K43),NA())</f>
        <v>0</v>
      </c>
      <c r="M43" s="127"/>
    </row>
    <row r="44" spans="1:13" ht="13.2" x14ac:dyDescent="0.25">
      <c r="A44" s="147" t="str">
        <f>IF(Sheet1!D$196,IF((A43&gt;=(Sheet1!D$148+$A$17)-1)," ",A43+1),NA())</f>
        <v xml:space="preserve"> </v>
      </c>
      <c r="B44" s="147" t="str">
        <f>IF(Sheet1!D$196,IF((B43&gt;=(Sheet1!D$148+$B$17)-1)," ",B43+1),NA())</f>
        <v xml:space="preserve"> </v>
      </c>
      <c r="C44" s="146" t="str">
        <f t="shared" si="0"/>
        <v xml:space="preserve"> </v>
      </c>
      <c r="D44" s="92"/>
      <c r="E44" s="92"/>
      <c r="F44" s="92"/>
      <c r="G44" s="92"/>
      <c r="H44" s="92"/>
      <c r="I44" s="92"/>
      <c r="J44" s="92"/>
      <c r="K44" s="92"/>
      <c r="L44" s="95">
        <f>IF(Sheet1!D$196,SUM(D44:K44),NA())</f>
        <v>0</v>
      </c>
      <c r="M44" s="127"/>
    </row>
    <row r="45" spans="1:13" ht="13.2" x14ac:dyDescent="0.25">
      <c r="A45" s="147" t="str">
        <f>IF(Sheet1!D$196,IF((A44&gt;=(Sheet1!D$148+$A$17)-1)," ",A44+1),NA())</f>
        <v xml:space="preserve"> </v>
      </c>
      <c r="B45" s="147" t="str">
        <f>IF(Sheet1!D$196,IF((B44&gt;=(Sheet1!D$148+$B$17)-1)," ",B44+1),NA())</f>
        <v xml:space="preserve"> </v>
      </c>
      <c r="C45" s="146" t="str">
        <f t="shared" si="0"/>
        <v xml:space="preserve"> </v>
      </c>
      <c r="D45" s="92"/>
      <c r="E45" s="92"/>
      <c r="F45" s="92"/>
      <c r="G45" s="92"/>
      <c r="H45" s="92"/>
      <c r="I45" s="92"/>
      <c r="J45" s="92"/>
      <c r="K45" s="92"/>
      <c r="L45" s="95">
        <f>IF(Sheet1!D$196,SUM(D45:K45),NA())</f>
        <v>0</v>
      </c>
      <c r="M45" s="127"/>
    </row>
    <row r="46" spans="1:13" ht="13.2" x14ac:dyDescent="0.25">
      <c r="A46" s="147" t="str">
        <f>IF(Sheet1!D$196,IF((A45&gt;=(Sheet1!D$148+$A$17)-1)," ",A45+1),NA())</f>
        <v xml:space="preserve"> </v>
      </c>
      <c r="B46" s="147" t="str">
        <f>IF(Sheet1!D$196,IF((B45&gt;=(Sheet1!D$148+$B$17)-1)," ",B45+1),NA())</f>
        <v xml:space="preserve"> </v>
      </c>
      <c r="C46" s="146" t="str">
        <f t="shared" si="0"/>
        <v xml:space="preserve"> </v>
      </c>
      <c r="D46" s="92"/>
      <c r="E46" s="92"/>
      <c r="F46" s="92"/>
      <c r="G46" s="92"/>
      <c r="H46" s="92"/>
      <c r="I46" s="92"/>
      <c r="J46" s="92"/>
      <c r="K46" s="92"/>
      <c r="L46" s="95">
        <f>IF(Sheet1!D$196,SUM(D46:K46),NA())</f>
        <v>0</v>
      </c>
      <c r="M46" s="127"/>
    </row>
    <row r="47" spans="1:13" ht="13.2" x14ac:dyDescent="0.25">
      <c r="A47" s="147" t="str">
        <f>IF(Sheet1!D$196,IF((A46&gt;=(Sheet1!D$148+$A$17)-1)," ",A46+1),NA())</f>
        <v xml:space="preserve"> </v>
      </c>
      <c r="B47" s="147" t="str">
        <f>IF(Sheet1!D$196,IF((B46&gt;=(Sheet1!D$148+$B$17)-1)," ",B46+1),NA())</f>
        <v xml:space="preserve"> </v>
      </c>
      <c r="C47" s="146" t="str">
        <f t="shared" si="0"/>
        <v xml:space="preserve"> </v>
      </c>
      <c r="D47" s="92"/>
      <c r="E47" s="92"/>
      <c r="F47" s="92"/>
      <c r="G47" s="92"/>
      <c r="H47" s="92"/>
      <c r="I47" s="92"/>
      <c r="J47" s="92"/>
      <c r="K47" s="92"/>
      <c r="L47" s="95">
        <f>IF(Sheet1!D$196,SUM(D47:K47),NA())</f>
        <v>0</v>
      </c>
      <c r="M47" s="127"/>
    </row>
    <row r="48" spans="1:13" ht="13.2" x14ac:dyDescent="0.25">
      <c r="A48" s="147" t="str">
        <f>IF(Sheet1!D$196,IF((A47&gt;=(Sheet1!D$148+$A$17)-1)," ",A47+1),NA())</f>
        <v xml:space="preserve"> </v>
      </c>
      <c r="B48" s="147" t="str">
        <f>IF(Sheet1!D$196,IF((B47&gt;=(Sheet1!D$148+$B$17)-1)," ",B47+1),NA())</f>
        <v xml:space="preserve"> </v>
      </c>
      <c r="C48" s="146" t="str">
        <f t="shared" si="0"/>
        <v xml:space="preserve"> </v>
      </c>
      <c r="D48" s="92"/>
      <c r="E48" s="92"/>
      <c r="F48" s="92"/>
      <c r="G48" s="92"/>
      <c r="H48" s="92"/>
      <c r="I48" s="92"/>
      <c r="J48" s="92"/>
      <c r="K48" s="92"/>
      <c r="L48" s="95">
        <f>IF(Sheet1!D$196,SUM(D48:K48),NA())</f>
        <v>0</v>
      </c>
      <c r="M48" s="127"/>
    </row>
    <row r="49" spans="1:13" ht="13.2" x14ac:dyDescent="0.25">
      <c r="A49" s="147" t="str">
        <f>IF(Sheet1!D$196,IF((A48&gt;=(Sheet1!D$148+$A$17)-1)," ",A48+1),NA())</f>
        <v xml:space="preserve"> </v>
      </c>
      <c r="B49" s="147" t="str">
        <f>IF(Sheet1!D$196,IF((B48&gt;=(Sheet1!D$148+$B$17)-1)," ",B48+1),NA())</f>
        <v xml:space="preserve"> </v>
      </c>
      <c r="C49" s="146" t="str">
        <f t="shared" si="0"/>
        <v xml:space="preserve"> </v>
      </c>
      <c r="D49" s="92"/>
      <c r="E49" s="92"/>
      <c r="F49" s="92"/>
      <c r="G49" s="92"/>
      <c r="H49" s="92"/>
      <c r="I49" s="92"/>
      <c r="J49" s="92"/>
      <c r="K49" s="92"/>
      <c r="L49" s="95">
        <f>IF(Sheet1!D$196,SUM(D49:K49),NA())</f>
        <v>0</v>
      </c>
      <c r="M49" s="127"/>
    </row>
    <row r="50" spans="1:13" ht="13.2" x14ac:dyDescent="0.25">
      <c r="A50" s="147" t="str">
        <f>IF(Sheet1!D$196,IF((A49&gt;=(Sheet1!D$148+$A$17)-1)," ",A49+1),NA())</f>
        <v xml:space="preserve"> </v>
      </c>
      <c r="B50" s="147" t="str">
        <f>IF(Sheet1!D$196,IF((B49&gt;=(Sheet1!D$148+$B$17)-1)," ",B49+1),NA())</f>
        <v xml:space="preserve"> </v>
      </c>
      <c r="C50" s="146" t="str">
        <f t="shared" si="0"/>
        <v xml:space="preserve"> </v>
      </c>
      <c r="D50" s="92"/>
      <c r="E50" s="92"/>
      <c r="F50" s="92"/>
      <c r="G50" s="92"/>
      <c r="H50" s="92"/>
      <c r="I50" s="92"/>
      <c r="J50" s="92"/>
      <c r="K50" s="92"/>
      <c r="L50" s="95">
        <f>IF(Sheet1!D$196,SUM(D50:K50),NA())</f>
        <v>0</v>
      </c>
      <c r="M50" s="127"/>
    </row>
    <row r="51" spans="1:13" ht="13.2" x14ac:dyDescent="0.25">
      <c r="A51" s="147" t="str">
        <f>IF(Sheet1!D$196,IF((A50&gt;=(Sheet1!D$148+$A$17)-1)," ",A50+1),NA())</f>
        <v xml:space="preserve"> </v>
      </c>
      <c r="B51" s="147" t="str">
        <f>IF(Sheet1!D$196,IF((B50&gt;=(Sheet1!D$148+$B$17)-1)," ",B50+1),NA())</f>
        <v xml:space="preserve"> </v>
      </c>
      <c r="C51" s="146" t="str">
        <f t="shared" si="0"/>
        <v xml:space="preserve"> </v>
      </c>
      <c r="D51" s="92"/>
      <c r="E51" s="92"/>
      <c r="F51" s="92"/>
      <c r="G51" s="92"/>
      <c r="H51" s="92"/>
      <c r="I51" s="92"/>
      <c r="J51" s="92"/>
      <c r="K51" s="92"/>
      <c r="L51" s="95">
        <f>IF(Sheet1!D$196,SUM(D51:K51),NA())</f>
        <v>0</v>
      </c>
      <c r="M51" s="127"/>
    </row>
    <row r="52" spans="1:13" ht="13.2" x14ac:dyDescent="0.25">
      <c r="A52" s="147" t="str">
        <f>IF(Sheet1!D$196,IF((A51&gt;=(Sheet1!D$148+$A$17)-1)," ",A51+1),NA())</f>
        <v xml:space="preserve"> </v>
      </c>
      <c r="B52" s="147" t="str">
        <f>IF(Sheet1!D$196,IF((B51&gt;=(Sheet1!D$148+$B$17)-1)," ",B51+1),NA())</f>
        <v xml:space="preserve"> </v>
      </c>
      <c r="C52" s="146" t="str">
        <f t="shared" si="0"/>
        <v xml:space="preserve"> </v>
      </c>
      <c r="D52" s="92"/>
      <c r="E52" s="92"/>
      <c r="F52" s="92"/>
      <c r="G52" s="92"/>
      <c r="H52" s="92"/>
      <c r="I52" s="92"/>
      <c r="J52" s="92"/>
      <c r="K52" s="92"/>
      <c r="L52" s="95">
        <f>IF(Sheet1!D$196,SUM(D52:K52),NA())</f>
        <v>0</v>
      </c>
      <c r="M52" s="127"/>
    </row>
    <row r="53" spans="1:13" ht="13.2" x14ac:dyDescent="0.25">
      <c r="A53" s="147" t="str">
        <f>IF(Sheet1!D$196,IF((A52&gt;=(Sheet1!D$148+$A$17)-1)," ",A52+1),NA())</f>
        <v xml:space="preserve"> </v>
      </c>
      <c r="B53" s="147" t="str">
        <f>IF(Sheet1!D$196,IF((B52&gt;=(Sheet1!D$148+$B$17)-1)," ",B52+1),NA())</f>
        <v xml:space="preserve"> </v>
      </c>
      <c r="C53" s="146" t="str">
        <f t="shared" si="0"/>
        <v xml:space="preserve"> </v>
      </c>
      <c r="D53" s="92"/>
      <c r="E53" s="92"/>
      <c r="F53" s="92"/>
      <c r="G53" s="92"/>
      <c r="H53" s="92"/>
      <c r="I53" s="92"/>
      <c r="J53" s="92"/>
      <c r="K53" s="92"/>
      <c r="L53" s="95">
        <f>IF(Sheet1!D$196,SUM(D53:K53),NA())</f>
        <v>0</v>
      </c>
      <c r="M53" s="127"/>
    </row>
    <row r="54" spans="1:13" ht="13.2" x14ac:dyDescent="0.25">
      <c r="A54" s="147" t="str">
        <f>IF(Sheet1!D$196,IF((A53&gt;=(Sheet1!D$148+$A$17)-1)," ",A53+1),NA())</f>
        <v xml:space="preserve"> </v>
      </c>
      <c r="B54" s="147" t="str">
        <f>IF(Sheet1!D$196,IF((B53&gt;=(Sheet1!D$148+$B$17)-1)," ",B53+1),NA())</f>
        <v xml:space="preserve"> </v>
      </c>
      <c r="C54" s="146" t="str">
        <f t="shared" si="0"/>
        <v xml:space="preserve"> </v>
      </c>
      <c r="D54" s="92"/>
      <c r="E54" s="92"/>
      <c r="F54" s="92"/>
      <c r="G54" s="92"/>
      <c r="H54" s="92"/>
      <c r="I54" s="92"/>
      <c r="J54" s="92"/>
      <c r="K54" s="92"/>
      <c r="L54" s="95">
        <f>IF(Sheet1!D$196,SUM(D54:K54),NA())</f>
        <v>0</v>
      </c>
      <c r="M54" s="127"/>
    </row>
    <row r="55" spans="1:13" ht="13.2" x14ac:dyDescent="0.25">
      <c r="A55" s="147" t="str">
        <f>IF(Sheet1!D$196,IF((A54&gt;=(Sheet1!D$148+$A$17)-1)," ",A54+1),NA())</f>
        <v xml:space="preserve"> </v>
      </c>
      <c r="B55" s="147" t="str">
        <f>IF(Sheet1!D$196,IF((B54&gt;=(Sheet1!D$148+$B$17)-1)," ",B54+1),NA())</f>
        <v xml:space="preserve"> </v>
      </c>
      <c r="C55" s="146" t="str">
        <f t="shared" si="0"/>
        <v xml:space="preserve"> </v>
      </c>
      <c r="D55" s="92"/>
      <c r="E55" s="92"/>
      <c r="F55" s="92"/>
      <c r="G55" s="92"/>
      <c r="H55" s="92"/>
      <c r="I55" s="92"/>
      <c r="J55" s="92"/>
      <c r="K55" s="92"/>
      <c r="L55" s="95">
        <f>IF(Sheet1!D$196,SUM(D55:K55),NA())</f>
        <v>0</v>
      </c>
      <c r="M55" s="127"/>
    </row>
    <row r="56" spans="1:13" ht="13.2" x14ac:dyDescent="0.25">
      <c r="A56" s="147" t="str">
        <f>IF(Sheet1!D$196,IF((A55&gt;=(Sheet1!D$148+$A$17)-1)," ",A55+1),NA())</f>
        <v xml:space="preserve"> </v>
      </c>
      <c r="B56" s="147" t="str">
        <f>IF(Sheet1!D$196,IF((B55&gt;=(Sheet1!D$148+$B$17)-1)," ",B55+1),NA())</f>
        <v xml:space="preserve"> </v>
      </c>
      <c r="C56" s="146" t="str">
        <f t="shared" si="0"/>
        <v xml:space="preserve"> </v>
      </c>
      <c r="D56" s="92"/>
      <c r="E56" s="92"/>
      <c r="F56" s="92"/>
      <c r="G56" s="92"/>
      <c r="H56" s="92"/>
      <c r="I56" s="92"/>
      <c r="J56" s="92"/>
      <c r="K56" s="92"/>
      <c r="L56" s="95">
        <f>IF(Sheet1!D$196,SUM(D56:K56),NA())</f>
        <v>0</v>
      </c>
      <c r="M56" s="127"/>
    </row>
    <row r="57" spans="1:13" ht="13.2" x14ac:dyDescent="0.25">
      <c r="A57" s="147" t="str">
        <f>IF(Sheet1!D$196,IF((A56&gt;=(Sheet1!D$148+$A$17)-1)," ",A56+1),NA())</f>
        <v xml:space="preserve"> </v>
      </c>
      <c r="B57" s="147" t="str">
        <f>IF(Sheet1!D$196,IF((B56&gt;=(Sheet1!D$148+$B$17)-1)," ",B56+1),NA())</f>
        <v xml:space="preserve"> </v>
      </c>
      <c r="C57" s="146" t="str">
        <f t="shared" si="0"/>
        <v xml:space="preserve"> </v>
      </c>
      <c r="D57" s="92"/>
      <c r="E57" s="92"/>
      <c r="F57" s="92"/>
      <c r="G57" s="92"/>
      <c r="H57" s="92"/>
      <c r="I57" s="92"/>
      <c r="J57" s="92"/>
      <c r="K57" s="92"/>
      <c r="L57" s="95">
        <f>IF(Sheet1!D$196,SUM(D57:K57),NA())</f>
        <v>0</v>
      </c>
      <c r="M57" s="127"/>
    </row>
    <row r="58" spans="1:13" ht="13.2" x14ac:dyDescent="0.25">
      <c r="A58" s="147" t="str">
        <f>IF(Sheet1!D$196,IF((A57&gt;=(Sheet1!D$148+$A$17)-1)," ",A57+1),NA())</f>
        <v xml:space="preserve"> </v>
      </c>
      <c r="B58" s="147" t="str">
        <f>IF(Sheet1!D$196,IF((B57&gt;=(Sheet1!D$148+$B$17)-1)," ",B57+1),NA())</f>
        <v xml:space="preserve"> </v>
      </c>
      <c r="C58" s="146" t="str">
        <f t="shared" si="0"/>
        <v xml:space="preserve"> </v>
      </c>
      <c r="D58" s="92"/>
      <c r="E58" s="92"/>
      <c r="F58" s="92"/>
      <c r="G58" s="92"/>
      <c r="H58" s="92"/>
      <c r="I58" s="92"/>
      <c r="J58" s="92"/>
      <c r="K58" s="92"/>
      <c r="L58" s="95">
        <f>IF(Sheet1!D$196,SUM(D58:K58),NA())</f>
        <v>0</v>
      </c>
      <c r="M58" s="127"/>
    </row>
    <row r="59" spans="1:13" ht="13.2" x14ac:dyDescent="0.25">
      <c r="A59" s="147" t="str">
        <f>IF(Sheet1!D$196,IF((A58&gt;=(Sheet1!D$148+$A$17)-1)," ",A58+1),NA())</f>
        <v xml:space="preserve"> </v>
      </c>
      <c r="B59" s="147" t="str">
        <f>IF(Sheet1!D$196,IF((B58&gt;=(Sheet1!D$148+$B$17)-1)," ",B58+1),NA())</f>
        <v xml:space="preserve"> </v>
      </c>
      <c r="C59" s="146" t="str">
        <f t="shared" si="0"/>
        <v xml:space="preserve"> </v>
      </c>
      <c r="D59" s="92"/>
      <c r="E59" s="92"/>
      <c r="F59" s="92"/>
      <c r="G59" s="92"/>
      <c r="H59" s="92"/>
      <c r="I59" s="92"/>
      <c r="J59" s="92"/>
      <c r="K59" s="92"/>
      <c r="L59" s="95">
        <f>IF(Sheet1!D$196,SUM(D59:K59),NA())</f>
        <v>0</v>
      </c>
      <c r="M59" s="127"/>
    </row>
    <row r="60" spans="1:13" ht="13.2" x14ac:dyDescent="0.25">
      <c r="A60" s="147" t="str">
        <f>IF(Sheet1!D$196,IF((A59&gt;=(Sheet1!D$148+$A$17)-1)," ",A59+1),NA())</f>
        <v xml:space="preserve"> </v>
      </c>
      <c r="B60" s="147" t="str">
        <f>IF(Sheet1!D$196,IF((B59&gt;=(Sheet1!D$148+$B$17)-1)," ",B59+1),NA())</f>
        <v xml:space="preserve"> </v>
      </c>
      <c r="C60" s="146" t="str">
        <f t="shared" si="0"/>
        <v xml:space="preserve"> </v>
      </c>
      <c r="D60" s="92"/>
      <c r="E60" s="92"/>
      <c r="F60" s="92"/>
      <c r="G60" s="92"/>
      <c r="H60" s="92"/>
      <c r="I60" s="92"/>
      <c r="J60" s="92"/>
      <c r="K60" s="92"/>
      <c r="L60" s="95">
        <f>IF(Sheet1!D$196,SUM(D60:K60),NA())</f>
        <v>0</v>
      </c>
      <c r="M60" s="127"/>
    </row>
    <row r="61" spans="1:13" ht="13.2" x14ac:dyDescent="0.25">
      <c r="A61" s="147" t="str">
        <f>IF(Sheet1!D$196,IF((A60&gt;=(Sheet1!D$148+$A$17)-1)," ",A60+1),NA())</f>
        <v xml:space="preserve"> </v>
      </c>
      <c r="B61" s="147" t="str">
        <f>IF(Sheet1!D$196,IF((B60&gt;=(Sheet1!D$148+$B$17)-1)," ",B60+1),NA())</f>
        <v xml:space="preserve"> </v>
      </c>
      <c r="C61" s="146" t="str">
        <f t="shared" si="0"/>
        <v xml:space="preserve"> </v>
      </c>
      <c r="D61" s="92"/>
      <c r="E61" s="92"/>
      <c r="F61" s="92"/>
      <c r="G61" s="92"/>
      <c r="H61" s="92"/>
      <c r="I61" s="92"/>
      <c r="J61" s="92"/>
      <c r="K61" s="92"/>
      <c r="L61" s="95">
        <f>IF(Sheet1!D$196,SUM(D61:K61),NA())</f>
        <v>0</v>
      </c>
      <c r="M61" s="127"/>
    </row>
    <row r="62" spans="1:13" ht="13.2" x14ac:dyDescent="0.25">
      <c r="A62" s="147" t="str">
        <f>IF(Sheet1!D$196,IF((A61&gt;=(Sheet1!D$148+$A$17)-1)," ",A61+1),NA())</f>
        <v xml:space="preserve"> </v>
      </c>
      <c r="B62" s="147" t="str">
        <f>IF(Sheet1!D$196,IF((B61&gt;=(Sheet1!D$148+$B$17)-1)," ",B61+1),NA())</f>
        <v xml:space="preserve"> </v>
      </c>
      <c r="C62" s="146" t="str">
        <f t="shared" si="0"/>
        <v xml:space="preserve"> </v>
      </c>
      <c r="D62" s="92"/>
      <c r="E62" s="92"/>
      <c r="F62" s="92"/>
      <c r="G62" s="92"/>
      <c r="H62" s="92"/>
      <c r="I62" s="92"/>
      <c r="J62" s="92"/>
      <c r="K62" s="92"/>
      <c r="L62" s="95">
        <f>IF(Sheet1!D$196,SUM(D62:K62),NA())</f>
        <v>0</v>
      </c>
      <c r="M62" s="127"/>
    </row>
    <row r="63" spans="1:13" ht="13.8" thickBot="1" x14ac:dyDescent="0.3">
      <c r="A63" s="147" t="str">
        <f>IF(Sheet1!D$196,IF((A62&gt;=(Sheet1!D$148+$A$17)-1)," ",A62+1),NA())</f>
        <v xml:space="preserve"> </v>
      </c>
      <c r="B63" s="147" t="str">
        <f>IF(Sheet1!D$196,IF((B62&gt;=(Sheet1!D$148+$B$17)-1)," ",B62+1),NA())</f>
        <v xml:space="preserve"> </v>
      </c>
      <c r="C63" s="146" t="str">
        <f t="shared" si="0"/>
        <v xml:space="preserve"> </v>
      </c>
      <c r="D63" s="92"/>
      <c r="E63" s="92"/>
      <c r="F63" s="92"/>
      <c r="G63" s="92"/>
      <c r="H63" s="92"/>
      <c r="I63" s="92"/>
      <c r="J63" s="92"/>
      <c r="K63" s="92"/>
      <c r="L63" s="95">
        <f>IF(Sheet1!D$196,SUM(D63:K63),NA())</f>
        <v>0</v>
      </c>
      <c r="M63" s="127"/>
    </row>
    <row r="64" spans="1:13" ht="13.8" hidden="1" thickBot="1" x14ac:dyDescent="0.3">
      <c r="A64" s="147" t="str">
        <f>IF(Sheet1!D$196,IF((A63&gt;=(Sheet1!D$148+$A$17)-1)," ",A63+1),NA())</f>
        <v xml:space="preserve"> </v>
      </c>
      <c r="B64" s="147" t="str">
        <f>IF(Sheet1!D$196,IF((B63&gt;=(Sheet1!D$148+$B$17)-1)," ",B63+1),NA())</f>
        <v xml:space="preserve"> </v>
      </c>
      <c r="C64" s="146" t="str">
        <f t="shared" si="0"/>
        <v xml:space="preserve"> </v>
      </c>
      <c r="D64" s="92"/>
      <c r="E64" s="92"/>
      <c r="F64" s="92"/>
      <c r="G64" s="92"/>
      <c r="H64" s="92"/>
      <c r="I64" s="92"/>
      <c r="J64" s="92"/>
      <c r="K64" s="92"/>
      <c r="L64" s="95">
        <f>IF(Sheet1!D$196,SUM(D64:K64),NA())</f>
        <v>0</v>
      </c>
      <c r="M64" s="127"/>
    </row>
    <row r="65" spans="1:13" ht="13.8" hidden="1" thickBot="1" x14ac:dyDescent="0.3">
      <c r="A65" s="147" t="str">
        <f>IF(Sheet1!D$196,IF((A64&gt;=(Sheet1!D$148+$A$17)-1)," ",A64+1),NA())</f>
        <v xml:space="preserve"> </v>
      </c>
      <c r="B65" s="147" t="str">
        <f>IF(Sheet1!D$196,IF((B64&gt;=(Sheet1!D$148+$B$17)-1)," ",B64+1),NA())</f>
        <v xml:space="preserve"> </v>
      </c>
      <c r="C65" s="146" t="str">
        <f t="shared" si="0"/>
        <v xml:space="preserve"> </v>
      </c>
      <c r="D65" s="92"/>
      <c r="E65" s="92"/>
      <c r="F65" s="92"/>
      <c r="G65" s="92"/>
      <c r="H65" s="92"/>
      <c r="I65" s="92"/>
      <c r="J65" s="92"/>
      <c r="K65" s="92"/>
      <c r="L65" s="95">
        <f>IF(Sheet1!D$196,SUM(D65:K65),NA())</f>
        <v>0</v>
      </c>
      <c r="M65" s="127"/>
    </row>
    <row r="66" spans="1:13" ht="13.8" hidden="1" thickBot="1" x14ac:dyDescent="0.3">
      <c r="A66" s="147" t="str">
        <f>IF(Sheet1!D$196,IF((A65&gt;=(Sheet1!D$148+$A$17)-1)," ",A65+1),NA())</f>
        <v xml:space="preserve"> </v>
      </c>
      <c r="B66" s="147" t="str">
        <f>IF(Sheet1!D$196,IF((B65&gt;=(Sheet1!D$148+$B$17)-1)," ",B65+1),NA())</f>
        <v xml:space="preserve"> </v>
      </c>
      <c r="C66" s="146" t="str">
        <f t="shared" si="0"/>
        <v xml:space="preserve"> </v>
      </c>
      <c r="D66" s="92"/>
      <c r="E66" s="92"/>
      <c r="F66" s="92"/>
      <c r="G66" s="92"/>
      <c r="H66" s="92"/>
      <c r="I66" s="92"/>
      <c r="J66" s="92"/>
      <c r="K66" s="92"/>
      <c r="L66" s="95">
        <f>IF(Sheet1!D$196,SUM(D66:K66),NA())</f>
        <v>0</v>
      </c>
      <c r="M66" s="127"/>
    </row>
    <row r="67" spans="1:13" ht="13.8" thickTop="1" x14ac:dyDescent="0.25">
      <c r="A67" s="146" t="s">
        <v>267</v>
      </c>
      <c r="B67" s="150"/>
      <c r="C67" s="150"/>
      <c r="D67" s="97">
        <f>IF(Sheet1!D$196,SUM(D17:D66),NA())</f>
        <v>0</v>
      </c>
      <c r="E67" s="97">
        <f>IF(Sheet1!D$196,SUM(E17:E66),NA())</f>
        <v>0</v>
      </c>
      <c r="F67" s="97">
        <f>IF(Sheet1!D$196,SUM(F17:F66),NA())</f>
        <v>0</v>
      </c>
      <c r="G67" s="97">
        <f>IF(Sheet1!D$196,SUM(G17:G66),NA())</f>
        <v>0</v>
      </c>
      <c r="H67" s="97">
        <f>IF(Sheet1!D$196,SUM(H17:H66),NA())</f>
        <v>0</v>
      </c>
      <c r="I67" s="97">
        <f>IF(Sheet1!D$196,SUM(I17:I66),NA())</f>
        <v>0</v>
      </c>
      <c r="J67" s="97">
        <f>IF(Sheet1!D$196,SUM(J17:J66),NA())</f>
        <v>0</v>
      </c>
      <c r="K67" s="97">
        <f>IF(Sheet1!D$196,SUM(K17:K66),NA())</f>
        <v>0</v>
      </c>
      <c r="L67" s="95">
        <f>IF(Sheet1!D$196,SUM(L17:L66),NA())</f>
        <v>0</v>
      </c>
      <c r="M67" s="127"/>
    </row>
    <row r="68" spans="1:13" ht="13.2" x14ac:dyDescent="0.25">
      <c r="A68" s="146" t="s">
        <v>266</v>
      </c>
      <c r="B68" s="150"/>
      <c r="C68" s="150"/>
      <c r="D68" s="99" t="str">
        <f t="shared" ref="D68:K68" si="1">IF($L$67=0,"",D67/$L$67)</f>
        <v/>
      </c>
      <c r="E68" s="99" t="str">
        <f t="shared" si="1"/>
        <v/>
      </c>
      <c r="F68" s="99" t="str">
        <f t="shared" si="1"/>
        <v/>
      </c>
      <c r="G68" s="99" t="str">
        <f t="shared" si="1"/>
        <v/>
      </c>
      <c r="H68" s="99" t="str">
        <f t="shared" si="1"/>
        <v/>
      </c>
      <c r="I68" s="99" t="str">
        <f t="shared" si="1"/>
        <v/>
      </c>
      <c r="J68" s="99" t="str">
        <f t="shared" si="1"/>
        <v/>
      </c>
      <c r="K68" s="99" t="str">
        <f t="shared" si="1"/>
        <v/>
      </c>
      <c r="L68" s="127"/>
      <c r="M68" s="127"/>
    </row>
    <row r="69" spans="1:13" ht="13.2" x14ac:dyDescent="0.25">
      <c r="A69" s="152"/>
      <c r="B69" s="139"/>
      <c r="C69" s="139"/>
      <c r="D69" s="138"/>
      <c r="E69" s="138"/>
      <c r="F69" s="138"/>
      <c r="G69" s="138"/>
      <c r="H69" s="138"/>
      <c r="I69" s="138"/>
      <c r="J69" s="138"/>
      <c r="K69" s="138"/>
      <c r="L69" s="138"/>
      <c r="M69" s="138"/>
    </row>
    <row r="70" spans="1:13" ht="13.2" hidden="1" x14ac:dyDescent="0.25">
      <c r="A70" s="152"/>
      <c r="B70" s="139"/>
      <c r="C70" s="139"/>
      <c r="D70" s="138"/>
      <c r="E70" s="138"/>
      <c r="F70" s="138"/>
      <c r="G70" s="138"/>
      <c r="H70" s="138"/>
      <c r="I70" s="138"/>
      <c r="J70" s="138"/>
      <c r="K70" s="138"/>
      <c r="L70" s="138"/>
      <c r="M70" s="138"/>
    </row>
    <row r="71" spans="1:13" ht="13.2" hidden="1" x14ac:dyDescent="0.25">
      <c r="A71" s="144" t="s">
        <v>263</v>
      </c>
      <c r="B71" s="142"/>
      <c r="C71" s="142"/>
      <c r="D71" s="80"/>
      <c r="E71" s="80"/>
      <c r="F71" s="80"/>
      <c r="G71" s="80"/>
      <c r="H71" s="80"/>
      <c r="I71" s="80"/>
      <c r="J71" s="80"/>
      <c r="K71" s="80"/>
      <c r="M71" s="138"/>
    </row>
    <row r="72" spans="1:13" ht="14.25" hidden="1" customHeight="1" x14ac:dyDescent="0.25">
      <c r="A72" s="144" t="s">
        <v>265</v>
      </c>
      <c r="B72" s="142"/>
      <c r="C72" s="142"/>
      <c r="D72" s="80"/>
      <c r="E72" s="80"/>
      <c r="F72" s="80"/>
      <c r="G72" s="80"/>
      <c r="H72" s="80"/>
      <c r="I72" s="80"/>
      <c r="J72" s="80"/>
      <c r="K72" s="80"/>
      <c r="M72" s="138"/>
    </row>
    <row r="73" spans="1:13" ht="3" hidden="1" customHeight="1" x14ac:dyDescent="0.25">
      <c r="A73" s="151"/>
      <c r="B73" s="139"/>
      <c r="C73" s="139"/>
      <c r="D73" s="80"/>
      <c r="E73" s="80"/>
      <c r="F73" s="80"/>
      <c r="G73" s="80"/>
      <c r="H73" s="80"/>
      <c r="I73" s="80"/>
      <c r="J73" s="80"/>
      <c r="K73" s="80"/>
      <c r="M73" s="138"/>
    </row>
    <row r="74" spans="1:13" ht="3" hidden="1" customHeight="1" thickBot="1" x14ac:dyDescent="0.3">
      <c r="A74" s="151"/>
      <c r="B74" s="139"/>
      <c r="C74" s="139"/>
      <c r="D74" s="80"/>
      <c r="E74" s="80"/>
      <c r="F74" s="80"/>
      <c r="G74" s="80"/>
      <c r="H74" s="80"/>
      <c r="I74" s="80"/>
      <c r="J74" s="80"/>
      <c r="K74" s="80"/>
      <c r="M74" s="138"/>
    </row>
    <row r="75" spans="1:13" ht="33" hidden="1" customHeight="1" thickTop="1" x14ac:dyDescent="0.25">
      <c r="A75" s="148" t="s">
        <v>229</v>
      </c>
      <c r="B75" s="148" t="s">
        <v>230</v>
      </c>
      <c r="C75" s="86" t="s">
        <v>231</v>
      </c>
      <c r="D75" s="163"/>
      <c r="E75" s="162"/>
      <c r="F75" s="162"/>
      <c r="G75" s="162"/>
      <c r="H75" s="162"/>
      <c r="I75" s="162"/>
      <c r="J75" s="162"/>
      <c r="K75" s="164"/>
      <c r="L75" s="104" t="s">
        <v>252</v>
      </c>
      <c r="M75" s="138"/>
    </row>
    <row r="76" spans="1:13" ht="13.2" hidden="1" x14ac:dyDescent="0.25">
      <c r="A76" s="153">
        <f>IF(Sheet1!D$196,VLOOKUP(1,Sheet1!A148:B197,2),NA())</f>
        <v>1</v>
      </c>
      <c r="B76" s="147">
        <f>IF(Sheet1!D$196,VLOOKUP(Sheet1!D$86,Sheet1!A80:B147,2),NA())</f>
        <v>2024</v>
      </c>
      <c r="C76" s="146" t="str">
        <f>IF(AND(OR(A76=" ",A76="#NA"),OR(D76&lt;&gt;0,E76&lt;&gt;0,F76&lt;&gt;0,G76&lt;&gt;0,H76&lt;&gt;0,I76&lt;&gt;0,J76&lt;&gt;0,K76&lt;&gt;0)),"Clear=&gt;"," ")</f>
        <v xml:space="preserve"> </v>
      </c>
      <c r="D76" s="92"/>
      <c r="E76" s="92"/>
      <c r="F76" s="92"/>
      <c r="G76" s="92"/>
      <c r="H76" s="92"/>
      <c r="I76" s="92"/>
      <c r="J76" s="92"/>
      <c r="K76" s="92"/>
      <c r="L76" s="95">
        <f>IF(Sheet1!D$196,SUM(D76:K76),NA())</f>
        <v>0</v>
      </c>
      <c r="M76" s="138"/>
    </row>
    <row r="77" spans="1:13" ht="13.2" hidden="1" x14ac:dyDescent="0.25">
      <c r="A77" s="147" t="str">
        <f>IF(Sheet1!D$196,IF((A76&gt;=(Sheet1!D$148+$A$76)-1)," ",A76+1),NA())</f>
        <v xml:space="preserve"> </v>
      </c>
      <c r="B77" s="147" t="str">
        <f>IF(Sheet1!D$196,IF((B76&gt;=(Sheet1!D$148+$B$76)-1)," ",B76+1),NA())</f>
        <v xml:space="preserve"> </v>
      </c>
      <c r="C77" s="146" t="str">
        <f t="shared" ref="C77:C82" si="2">IF(AND(OR(A77=" ",A77="#NA"),OR(D77&lt;&gt;0,E77&lt;&gt;0,F77&lt;&gt;0,G77&lt;&gt;0,H77&lt;&gt;0,I77&lt;&gt;0,J77&lt;&gt;0,K77&lt;&gt;0)),"Clear=&gt;"," ")</f>
        <v xml:space="preserve"> </v>
      </c>
      <c r="D77" s="92"/>
      <c r="E77" s="92"/>
      <c r="F77" s="92"/>
      <c r="G77" s="92"/>
      <c r="H77" s="92"/>
      <c r="I77" s="92"/>
      <c r="J77" s="92"/>
      <c r="K77" s="92"/>
      <c r="L77" s="95">
        <f>IF(Sheet1!D$196,SUM(D77:K77),NA())</f>
        <v>0</v>
      </c>
      <c r="M77" s="138"/>
    </row>
    <row r="78" spans="1:13" ht="13.2" hidden="1" x14ac:dyDescent="0.25">
      <c r="A78" s="147" t="str">
        <f>IF(Sheet1!D$196,IF((A77&gt;=(Sheet1!D$148+$A$76)-1)," ",A77+1),NA())</f>
        <v xml:space="preserve"> </v>
      </c>
      <c r="B78" s="147" t="str">
        <f>IF(Sheet1!D$196,IF((B77&gt;=(Sheet1!D$148+$B$76)-1)," ",B77+1),NA())</f>
        <v xml:space="preserve"> </v>
      </c>
      <c r="C78" s="146" t="str">
        <f t="shared" si="2"/>
        <v xml:space="preserve"> </v>
      </c>
      <c r="D78" s="92"/>
      <c r="E78" s="92"/>
      <c r="F78" s="92"/>
      <c r="G78" s="92"/>
      <c r="H78" s="92"/>
      <c r="I78" s="92"/>
      <c r="J78" s="92"/>
      <c r="K78" s="92"/>
      <c r="L78" s="95">
        <f>IF(Sheet1!D$196,SUM(D78:K78),NA())</f>
        <v>0</v>
      </c>
      <c r="M78" s="138"/>
    </row>
    <row r="79" spans="1:13" ht="13.2" hidden="1" x14ac:dyDescent="0.25">
      <c r="A79" s="147" t="str">
        <f>IF(Sheet1!D$196,IF((A78&gt;=(Sheet1!D$148+$A$76)-1)," ",A78+1),NA())</f>
        <v xml:space="preserve"> </v>
      </c>
      <c r="B79" s="147" t="str">
        <f>IF(Sheet1!D$196,IF((B78&gt;=(Sheet1!D$148+$B$76)-1)," ",B78+1),NA())</f>
        <v xml:space="preserve"> </v>
      </c>
      <c r="C79" s="146" t="str">
        <f t="shared" si="2"/>
        <v xml:space="preserve"> </v>
      </c>
      <c r="D79" s="92"/>
      <c r="E79" s="92"/>
      <c r="F79" s="92"/>
      <c r="G79" s="92"/>
      <c r="H79" s="92"/>
      <c r="I79" s="92"/>
      <c r="J79" s="92"/>
      <c r="K79" s="92"/>
      <c r="L79" s="95">
        <f>IF(Sheet1!D$196,SUM(D79:K79),NA())</f>
        <v>0</v>
      </c>
      <c r="M79" s="138"/>
    </row>
    <row r="80" spans="1:13" ht="13.2" hidden="1" x14ac:dyDescent="0.25">
      <c r="A80" s="147" t="str">
        <f>IF(Sheet1!D$196,IF((A79&gt;=(Sheet1!D$148+$A$76)-1)," ",A79+1),NA())</f>
        <v xml:space="preserve"> </v>
      </c>
      <c r="B80" s="147" t="str">
        <f>IF(Sheet1!D$196,IF((B79&gt;=(Sheet1!D$148+$B$76)-1)," ",B79+1),NA())</f>
        <v xml:space="preserve"> </v>
      </c>
      <c r="C80" s="146" t="str">
        <f t="shared" si="2"/>
        <v xml:space="preserve"> </v>
      </c>
      <c r="D80" s="92"/>
      <c r="E80" s="92"/>
      <c r="F80" s="92"/>
      <c r="G80" s="92"/>
      <c r="H80" s="92"/>
      <c r="I80" s="92"/>
      <c r="J80" s="92"/>
      <c r="K80" s="92"/>
      <c r="L80" s="95">
        <f>IF(Sheet1!D$196,SUM(D80:K80),NA())</f>
        <v>0</v>
      </c>
      <c r="M80" s="138"/>
    </row>
    <row r="81" spans="1:13" ht="13.2" hidden="1" x14ac:dyDescent="0.25">
      <c r="A81" s="147" t="str">
        <f>IF(Sheet1!D$196,IF((A80&gt;=(Sheet1!D$148+$A$76)-1)," ",A80+1),NA())</f>
        <v xml:space="preserve"> </v>
      </c>
      <c r="B81" s="147" t="str">
        <f>IF(Sheet1!D$196,IF((B80&gt;=(Sheet1!D$148+$B$76)-1)," ",B80+1),NA())</f>
        <v xml:space="preserve"> </v>
      </c>
      <c r="C81" s="146" t="str">
        <f t="shared" si="2"/>
        <v xml:space="preserve"> </v>
      </c>
      <c r="D81" s="92"/>
      <c r="E81" s="92"/>
      <c r="F81" s="92"/>
      <c r="G81" s="92"/>
      <c r="H81" s="92"/>
      <c r="I81" s="92"/>
      <c r="J81" s="92"/>
      <c r="K81" s="92"/>
      <c r="L81" s="95">
        <f>IF(Sheet1!D$196,SUM(D81:K81),NA())</f>
        <v>0</v>
      </c>
      <c r="M81" s="138"/>
    </row>
    <row r="82" spans="1:13" ht="13.2" hidden="1" x14ac:dyDescent="0.25">
      <c r="A82" s="147" t="str">
        <f>IF(Sheet1!D$196,IF((A81&gt;=(Sheet1!D$148+$A$76)-1)," ",A81+1),NA())</f>
        <v xml:space="preserve"> </v>
      </c>
      <c r="B82" s="147" t="str">
        <f>IF(Sheet1!D$196,IF((B81&gt;=(Sheet1!D$148+$B$76)-1)," ",B81+1),NA())</f>
        <v xml:space="preserve"> </v>
      </c>
      <c r="C82" s="146" t="str">
        <f t="shared" si="2"/>
        <v xml:space="preserve"> </v>
      </c>
      <c r="D82" s="92"/>
      <c r="E82" s="92"/>
      <c r="F82" s="92"/>
      <c r="G82" s="92"/>
      <c r="H82" s="92"/>
      <c r="I82" s="92"/>
      <c r="J82" s="92"/>
      <c r="K82" s="92"/>
      <c r="L82" s="95">
        <f>IF(Sheet1!D$196,SUM(D82:K82),NA())</f>
        <v>0</v>
      </c>
      <c r="M82" s="138"/>
    </row>
    <row r="83" spans="1:13" ht="13.8" hidden="1" thickTop="1" x14ac:dyDescent="0.25">
      <c r="A83" s="146" t="s">
        <v>264</v>
      </c>
      <c r="B83" s="150"/>
      <c r="C83" s="150"/>
      <c r="D83" s="97">
        <f>IF(Sheet1!D$196,SUM(D76:D82),NA())</f>
        <v>0</v>
      </c>
      <c r="E83" s="97">
        <f>IF(Sheet1!D$196,SUM(E76:E82),NA())</f>
        <v>0</v>
      </c>
      <c r="F83" s="97">
        <f>IF(Sheet1!D$196,SUM(F76:F82),NA())</f>
        <v>0</v>
      </c>
      <c r="G83" s="97">
        <f>IF(Sheet1!D$196,SUM(G76:G82),NA())</f>
        <v>0</v>
      </c>
      <c r="H83" s="97">
        <f>IF(Sheet1!D$196,SUM(H76:H82),NA())</f>
        <v>0</v>
      </c>
      <c r="I83" s="97">
        <f>IF(Sheet1!D$196,SUM(I76:I82),NA())</f>
        <v>0</v>
      </c>
      <c r="J83" s="97">
        <f>IF(Sheet1!D$196,SUM(J76:J82),NA())</f>
        <v>0</v>
      </c>
      <c r="K83" s="97">
        <f>IF(Sheet1!D$196,SUM(K76:K82),NA())</f>
        <v>0</v>
      </c>
      <c r="L83" s="95">
        <f>IF(Sheet1!D$196,SUM(L76:L82),NA())</f>
        <v>0</v>
      </c>
      <c r="M83" s="138"/>
    </row>
    <row r="84" spans="1:13" ht="13.2" hidden="1" x14ac:dyDescent="0.25">
      <c r="A84" s="152"/>
      <c r="B84" s="139"/>
      <c r="C84" s="139"/>
      <c r="D84" s="138"/>
      <c r="E84" s="138"/>
      <c r="F84" s="138"/>
      <c r="G84" s="138"/>
      <c r="H84" s="138"/>
      <c r="I84" s="138"/>
      <c r="J84" s="138"/>
      <c r="K84" s="138"/>
      <c r="L84" s="138"/>
      <c r="M84" s="138"/>
    </row>
    <row r="85" spans="1:13" ht="13.2" hidden="1" x14ac:dyDescent="0.25">
      <c r="A85" s="152"/>
      <c r="B85" s="139"/>
      <c r="C85" s="139"/>
      <c r="D85" s="138"/>
      <c r="E85" s="138"/>
      <c r="F85" s="138"/>
      <c r="G85" s="138"/>
      <c r="H85" s="138"/>
      <c r="I85" s="138"/>
      <c r="J85" s="138"/>
      <c r="K85" s="138"/>
      <c r="L85" s="138"/>
      <c r="M85" s="138"/>
    </row>
    <row r="86" spans="1:13" ht="13.2" hidden="1" x14ac:dyDescent="0.25">
      <c r="A86" s="152"/>
      <c r="B86" s="139"/>
      <c r="C86" s="139"/>
      <c r="D86" s="138"/>
      <c r="E86" s="138"/>
      <c r="F86" s="138"/>
      <c r="G86" s="138"/>
      <c r="H86" s="138"/>
      <c r="I86" s="138"/>
      <c r="J86" s="138"/>
      <c r="K86" s="138"/>
      <c r="L86" s="138"/>
      <c r="M86" s="138"/>
    </row>
    <row r="87" spans="1:13" ht="13.2" hidden="1" x14ac:dyDescent="0.25">
      <c r="A87" s="165" t="s">
        <v>263</v>
      </c>
      <c r="B87" s="166"/>
      <c r="C87" s="167"/>
      <c r="D87" s="80"/>
      <c r="E87" s="80"/>
      <c r="F87" s="80"/>
      <c r="G87" s="80"/>
      <c r="H87" s="80"/>
      <c r="I87" s="80"/>
      <c r="J87" s="80"/>
      <c r="K87" s="80"/>
      <c r="M87" s="138"/>
    </row>
    <row r="88" spans="1:13" ht="14.25" hidden="1" customHeight="1" x14ac:dyDescent="0.25">
      <c r="A88" s="144" t="s">
        <v>262</v>
      </c>
      <c r="B88" s="142"/>
      <c r="C88" s="142"/>
      <c r="D88" s="80"/>
      <c r="E88" s="80"/>
      <c r="F88" s="80"/>
      <c r="G88" s="80"/>
      <c r="H88" s="80"/>
      <c r="I88" s="80"/>
      <c r="J88" s="80"/>
      <c r="K88" s="80"/>
      <c r="M88" s="138"/>
    </row>
    <row r="89" spans="1:13" ht="3" hidden="1" customHeight="1" x14ac:dyDescent="0.25">
      <c r="A89" s="151"/>
      <c r="B89" s="139"/>
      <c r="C89" s="139"/>
      <c r="D89" s="80"/>
      <c r="E89" s="80"/>
      <c r="F89" s="80"/>
      <c r="G89" s="80"/>
      <c r="H89" s="80"/>
      <c r="I89" s="80"/>
      <c r="J89" s="80"/>
      <c r="K89" s="80"/>
      <c r="M89" s="138"/>
    </row>
    <row r="90" spans="1:13" ht="3" hidden="1" customHeight="1" thickBot="1" x14ac:dyDescent="0.3">
      <c r="A90" s="151"/>
      <c r="B90" s="139"/>
      <c r="C90" s="139"/>
      <c r="D90" s="80"/>
      <c r="E90" s="80"/>
      <c r="F90" s="80"/>
      <c r="G90" s="80"/>
      <c r="H90" s="80"/>
      <c r="I90" s="80"/>
      <c r="J90" s="80"/>
      <c r="K90" s="80"/>
      <c r="M90" s="138"/>
    </row>
    <row r="91" spans="1:13" ht="33" hidden="1" customHeight="1" thickTop="1" x14ac:dyDescent="0.25">
      <c r="A91" s="148" t="s">
        <v>229</v>
      </c>
      <c r="B91" s="148" t="s">
        <v>230</v>
      </c>
      <c r="C91" s="86" t="s">
        <v>231</v>
      </c>
      <c r="D91" s="163"/>
      <c r="E91" s="162"/>
      <c r="F91" s="162"/>
      <c r="G91" s="162"/>
      <c r="H91" s="162"/>
      <c r="I91" s="162"/>
      <c r="J91" s="162"/>
      <c r="K91" s="164"/>
      <c r="L91" s="104" t="s">
        <v>252</v>
      </c>
      <c r="M91" s="138"/>
    </row>
    <row r="92" spans="1:13" ht="13.2" hidden="1" x14ac:dyDescent="0.25">
      <c r="A92" s="153">
        <f>IF(Sheet1!D$196,VLOOKUP(1,Sheet1!A148:B197,2),NA())</f>
        <v>1</v>
      </c>
      <c r="B92" s="147">
        <f>IF(Sheet1!D$196,VLOOKUP(Sheet1!D$86,Sheet1!A80:B147,2),NA())</f>
        <v>2024</v>
      </c>
      <c r="C92" s="146" t="str">
        <f t="shared" ref="C92:C98" si="3">IF(AND(OR(A92=" ",A92="#NA"),OR(D92&lt;&gt;0,E92&lt;&gt;0,F92&lt;&gt;0,G92&lt;&gt;0,H92&lt;&gt;0,I92&lt;&gt;0,J92&lt;&gt;0,K92&lt;&gt;0)),"Clear=&gt;"," ")</f>
        <v xml:space="preserve"> </v>
      </c>
      <c r="D92" s="92"/>
      <c r="E92" s="92"/>
      <c r="F92" s="92"/>
      <c r="G92" s="92"/>
      <c r="H92" s="92"/>
      <c r="I92" s="92"/>
      <c r="J92" s="92"/>
      <c r="K92" s="92"/>
      <c r="L92" s="95">
        <f>IF(Sheet1!D$196,SUM(D92:K92),NA())</f>
        <v>0</v>
      </c>
      <c r="M92" s="138"/>
    </row>
    <row r="93" spans="1:13" ht="13.2" hidden="1" x14ac:dyDescent="0.25">
      <c r="A93" s="147" t="str">
        <f>IF(Sheet1!D$196,IF((A92&gt;=(Sheet1!D$148+$A$92)-1)," ",A92+1),NA())</f>
        <v xml:space="preserve"> </v>
      </c>
      <c r="B93" s="147" t="str">
        <f>IF(Sheet1!D$196,IF((B92&gt;=(Sheet1!D$148+$B$92)-1)," ",B92+1),NA())</f>
        <v xml:space="preserve"> </v>
      </c>
      <c r="C93" s="146" t="str">
        <f t="shared" si="3"/>
        <v xml:space="preserve"> </v>
      </c>
      <c r="D93" s="92"/>
      <c r="E93" s="92"/>
      <c r="F93" s="92"/>
      <c r="G93" s="92"/>
      <c r="H93" s="92"/>
      <c r="I93" s="92"/>
      <c r="J93" s="92"/>
      <c r="K93" s="92"/>
      <c r="L93" s="95">
        <f>IF(Sheet1!D$196,SUM(D93:K93),NA())</f>
        <v>0</v>
      </c>
      <c r="M93" s="138"/>
    </row>
    <row r="94" spans="1:13" ht="13.2" hidden="1" x14ac:dyDescent="0.25">
      <c r="A94" s="147" t="str">
        <f>IF(Sheet1!D$196,IF((A93&gt;=(Sheet1!D$148+$A$92)-1)," ",A93+1),NA())</f>
        <v xml:space="preserve"> </v>
      </c>
      <c r="B94" s="147" t="str">
        <f>IF(Sheet1!D$196,IF((B93&gt;=(Sheet1!D$148+$B$92)-1)," ",B93+1),NA())</f>
        <v xml:space="preserve"> </v>
      </c>
      <c r="C94" s="146" t="str">
        <f t="shared" si="3"/>
        <v xml:space="preserve"> </v>
      </c>
      <c r="D94" s="92"/>
      <c r="E94" s="92"/>
      <c r="F94" s="92"/>
      <c r="G94" s="92"/>
      <c r="H94" s="92"/>
      <c r="I94" s="92"/>
      <c r="J94" s="92"/>
      <c r="K94" s="92"/>
      <c r="L94" s="95">
        <f>IF(Sheet1!D$196,SUM(D94:K94),NA())</f>
        <v>0</v>
      </c>
      <c r="M94" s="138"/>
    </row>
    <row r="95" spans="1:13" ht="13.2" hidden="1" x14ac:dyDescent="0.25">
      <c r="A95" s="147" t="str">
        <f>IF(Sheet1!D$196,IF((A94&gt;=(Sheet1!D$148+$A$92)-1)," ",A94+1),NA())</f>
        <v xml:space="preserve"> </v>
      </c>
      <c r="B95" s="147" t="str">
        <f>IF(Sheet1!D$196,IF((B94&gt;=(Sheet1!D$148+$B$92)-1)," ",B94+1),NA())</f>
        <v xml:space="preserve"> </v>
      </c>
      <c r="C95" s="146" t="str">
        <f t="shared" si="3"/>
        <v xml:space="preserve"> </v>
      </c>
      <c r="D95" s="92"/>
      <c r="E95" s="92"/>
      <c r="F95" s="92"/>
      <c r="G95" s="92"/>
      <c r="H95" s="92"/>
      <c r="I95" s="92"/>
      <c r="J95" s="92"/>
      <c r="K95" s="92"/>
      <c r="L95" s="95">
        <f>IF(Sheet1!D$196,SUM(D95:K95),NA())</f>
        <v>0</v>
      </c>
      <c r="M95" s="138"/>
    </row>
    <row r="96" spans="1:13" ht="13.2" hidden="1" x14ac:dyDescent="0.25">
      <c r="A96" s="147" t="str">
        <f>IF(Sheet1!D$196,IF((A95&gt;=(Sheet1!D$148+$A$92)-1)," ",A95+1),NA())</f>
        <v xml:space="preserve"> </v>
      </c>
      <c r="B96" s="147" t="str">
        <f>IF(Sheet1!D$196,IF((B95&gt;=(Sheet1!D$148+$B$92)-1)," ",B95+1),NA())</f>
        <v xml:space="preserve"> </v>
      </c>
      <c r="C96" s="146" t="str">
        <f t="shared" si="3"/>
        <v xml:space="preserve"> </v>
      </c>
      <c r="D96" s="92"/>
      <c r="E96" s="92"/>
      <c r="F96" s="92"/>
      <c r="G96" s="92"/>
      <c r="H96" s="92"/>
      <c r="I96" s="92"/>
      <c r="J96" s="92"/>
      <c r="K96" s="92"/>
      <c r="L96" s="95">
        <f>IF(Sheet1!D$196,SUM(D96:K96),NA())</f>
        <v>0</v>
      </c>
      <c r="M96" s="138"/>
    </row>
    <row r="97" spans="1:13" ht="13.2" hidden="1" x14ac:dyDescent="0.25">
      <c r="A97" s="147" t="str">
        <f>IF(Sheet1!D$196,IF((A96&gt;=(Sheet1!D$148+$A$92)-1)," ",A96+1),NA())</f>
        <v xml:space="preserve"> </v>
      </c>
      <c r="B97" s="147" t="str">
        <f>IF(Sheet1!D$196,IF((B96&gt;=(Sheet1!D$148+$B$92)-1)," ",B96+1),NA())</f>
        <v xml:space="preserve"> </v>
      </c>
      <c r="C97" s="146" t="str">
        <f t="shared" si="3"/>
        <v xml:space="preserve"> </v>
      </c>
      <c r="D97" s="92"/>
      <c r="E97" s="92"/>
      <c r="F97" s="92"/>
      <c r="G97" s="92"/>
      <c r="H97" s="92"/>
      <c r="I97" s="92"/>
      <c r="J97" s="92"/>
      <c r="K97" s="92"/>
      <c r="L97" s="95">
        <f>IF(Sheet1!D$196,SUM(D97:K97),NA())</f>
        <v>0</v>
      </c>
      <c r="M97" s="138"/>
    </row>
    <row r="98" spans="1:13" ht="13.2" hidden="1" x14ac:dyDescent="0.25">
      <c r="A98" s="147" t="str">
        <f>IF(Sheet1!D$196,IF((A97&gt;=(Sheet1!D$148+$A$92)-1)," ",A97+1),NA())</f>
        <v xml:space="preserve"> </v>
      </c>
      <c r="B98" s="147" t="str">
        <f>IF(Sheet1!D$196,IF((B97&gt;=(Sheet1!D$148+$B$92)-1)," ",B97+1),NA())</f>
        <v xml:space="preserve"> </v>
      </c>
      <c r="C98" s="146" t="str">
        <f t="shared" si="3"/>
        <v xml:space="preserve"> </v>
      </c>
      <c r="D98" s="92"/>
      <c r="E98" s="92"/>
      <c r="F98" s="92"/>
      <c r="G98" s="92"/>
      <c r="H98" s="92"/>
      <c r="I98" s="92"/>
      <c r="J98" s="92"/>
      <c r="K98" s="92"/>
      <c r="L98" s="95">
        <f>IF(Sheet1!D$196,SUM(D98:K98),NA())</f>
        <v>0</v>
      </c>
      <c r="M98" s="138"/>
    </row>
    <row r="99" spans="1:13" ht="13.8" hidden="1" thickTop="1" x14ac:dyDescent="0.25">
      <c r="A99" s="146" t="s">
        <v>261</v>
      </c>
      <c r="B99" s="150"/>
      <c r="C99" s="150"/>
      <c r="D99" s="97">
        <f>IF(Sheet1!D$196,SUM(D92:D98),NA())</f>
        <v>0</v>
      </c>
      <c r="E99" s="97">
        <f>IF(Sheet1!D$196,SUM(E92:E98),NA())</f>
        <v>0</v>
      </c>
      <c r="F99" s="97">
        <f>IF(Sheet1!D$196,SUM(F92:F98),NA())</f>
        <v>0</v>
      </c>
      <c r="G99" s="97">
        <f>IF(Sheet1!D$196,SUM(G92:G98),NA())</f>
        <v>0</v>
      </c>
      <c r="H99" s="97">
        <f>IF(Sheet1!D$196,SUM(H92:H98),NA())</f>
        <v>0</v>
      </c>
      <c r="I99" s="97">
        <f>IF(Sheet1!D$196,SUM(I92:I98),NA())</f>
        <v>0</v>
      </c>
      <c r="J99" s="97">
        <f>IF(Sheet1!D$196,SUM(J92:J98),NA())</f>
        <v>0</v>
      </c>
      <c r="K99" s="97">
        <f>IF(Sheet1!D$196,SUM(K92:K98),NA())</f>
        <v>0</v>
      </c>
      <c r="L99" s="95">
        <f>IF(Sheet1!D$196,SUM(L92:L98),NA())</f>
        <v>0</v>
      </c>
      <c r="M99" s="138"/>
    </row>
    <row r="100" spans="1:13" ht="13.2" hidden="1" x14ac:dyDescent="0.25">
      <c r="A100" s="152"/>
      <c r="B100" s="139"/>
      <c r="C100" s="139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</row>
    <row r="101" spans="1:13" ht="13.2" hidden="1" x14ac:dyDescent="0.25">
      <c r="A101" s="152"/>
      <c r="B101" s="139"/>
      <c r="C101" s="139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</row>
    <row r="102" spans="1:13" ht="13.2" x14ac:dyDescent="0.25">
      <c r="A102" s="152"/>
      <c r="B102" s="139"/>
      <c r="C102" s="139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</row>
    <row r="103" spans="1:13" ht="13.2" x14ac:dyDescent="0.25">
      <c r="A103" s="146" t="s">
        <v>225</v>
      </c>
      <c r="B103" s="139"/>
      <c r="C103" s="139"/>
      <c r="D103" s="80"/>
      <c r="E103" s="80"/>
      <c r="F103" s="80"/>
      <c r="G103" s="80"/>
      <c r="H103" s="80"/>
      <c r="I103" s="80"/>
      <c r="J103" s="80"/>
      <c r="K103" s="80"/>
      <c r="M103" s="138"/>
    </row>
    <row r="104" spans="1:13" ht="13.2" x14ac:dyDescent="0.25">
      <c r="A104" s="143" t="s">
        <v>260</v>
      </c>
      <c r="B104" s="142"/>
      <c r="C104" s="142"/>
      <c r="D104" s="80"/>
      <c r="E104" s="80"/>
      <c r="F104" s="80"/>
      <c r="G104" s="80"/>
      <c r="H104" s="80"/>
      <c r="I104" s="80"/>
      <c r="J104" s="80"/>
      <c r="K104" s="80"/>
      <c r="M104" s="138"/>
    </row>
    <row r="105" spans="1:13" ht="16.5" customHeight="1" x14ac:dyDescent="0.25">
      <c r="A105" s="82" t="s">
        <v>227</v>
      </c>
      <c r="B105" s="83"/>
      <c r="C105" s="83"/>
      <c r="D105" s="80"/>
      <c r="E105" s="80"/>
      <c r="F105" s="80"/>
      <c r="G105" s="80"/>
      <c r="H105" s="80"/>
      <c r="I105" s="80"/>
      <c r="J105" s="80"/>
      <c r="K105" s="80"/>
      <c r="M105" s="138"/>
    </row>
    <row r="106" spans="1:13" ht="16.5" customHeight="1" x14ac:dyDescent="0.25">
      <c r="A106" s="82" t="s">
        <v>259</v>
      </c>
      <c r="B106" s="83"/>
      <c r="C106" s="83"/>
      <c r="D106" s="80"/>
      <c r="E106" s="80"/>
      <c r="F106" s="80"/>
      <c r="G106" s="80"/>
      <c r="H106" s="80"/>
      <c r="I106" s="80"/>
      <c r="J106" s="80"/>
      <c r="K106" s="80"/>
      <c r="M106" s="138"/>
    </row>
    <row r="107" spans="1:13" ht="3" customHeight="1" x14ac:dyDescent="0.25">
      <c r="A107" s="151"/>
      <c r="B107" s="139"/>
      <c r="C107" s="139"/>
      <c r="D107" s="80"/>
      <c r="E107" s="80"/>
      <c r="F107" s="80"/>
      <c r="G107" s="80"/>
      <c r="H107" s="80"/>
      <c r="I107" s="80"/>
      <c r="J107" s="80"/>
      <c r="K107" s="80"/>
      <c r="M107" s="138"/>
    </row>
    <row r="108" spans="1:13" ht="3" customHeight="1" thickBot="1" x14ac:dyDescent="0.3">
      <c r="A108" s="151"/>
      <c r="B108" s="139"/>
      <c r="C108" s="139"/>
      <c r="D108" s="80"/>
      <c r="E108" s="80"/>
      <c r="F108" s="80"/>
      <c r="G108" s="80"/>
      <c r="H108" s="80"/>
      <c r="I108" s="80"/>
      <c r="J108" s="80"/>
      <c r="K108" s="80"/>
      <c r="M108" s="138"/>
    </row>
    <row r="109" spans="1:13" ht="33" customHeight="1" thickTop="1" x14ac:dyDescent="0.25">
      <c r="A109" s="148" t="s">
        <v>229</v>
      </c>
      <c r="B109" s="148" t="s">
        <v>230</v>
      </c>
      <c r="C109" s="86" t="s">
        <v>231</v>
      </c>
      <c r="D109" s="87"/>
      <c r="E109" s="87"/>
      <c r="F109" s="87"/>
      <c r="G109" s="87"/>
      <c r="H109" s="87"/>
      <c r="I109" s="87"/>
      <c r="J109" s="87"/>
      <c r="K109" s="87"/>
      <c r="L109" s="88" t="s">
        <v>258</v>
      </c>
      <c r="M109" s="89" t="s">
        <v>257</v>
      </c>
    </row>
    <row r="110" spans="1:13" ht="13.2" x14ac:dyDescent="0.25">
      <c r="A110" s="147">
        <f>IF(Sheet1!D$196,VLOOKUP(1,Sheet1!A148:B197,2),NA())</f>
        <v>1</v>
      </c>
      <c r="B110" s="147">
        <f>IF(Sheet1!D$196,VLOOKUP(Sheet1!D$86,Sheet1!A80:B147,2),NA())</f>
        <v>2024</v>
      </c>
      <c r="C110" s="146" t="str">
        <f t="shared" ref="C110:C159" si="4">IF(AND(OR(A110=" ",A110="#NA"),OR(D110&lt;&gt;0,E110&lt;&gt;0,F110&lt;&gt;0,G110&lt;&gt;0,H110&lt;&gt;0,I110&lt;&gt;0,J110&lt;&gt;0,K110&lt;&gt;0)),"Clear=&gt;"," ")</f>
        <v xml:space="preserve"> </v>
      </c>
      <c r="D110" s="92"/>
      <c r="E110" s="92"/>
      <c r="F110" s="92"/>
      <c r="G110" s="92"/>
      <c r="H110" s="92"/>
      <c r="I110" s="92"/>
      <c r="J110" s="92"/>
      <c r="K110" s="92"/>
      <c r="L110" s="95">
        <f>IF(Sheet1!D$196,SUM(D110:K110),NA())</f>
        <v>0</v>
      </c>
      <c r="M110" s="94" t="e">
        <f>IF(Sheet1!D$196,SUM(D191:K191),NA())</f>
        <v>#VALUE!</v>
      </c>
    </row>
    <row r="111" spans="1:13" ht="13.2" x14ac:dyDescent="0.25">
      <c r="A111" s="147" t="str">
        <f>IF(Sheet1!D$196,IF((A110&gt;=(Sheet1!D$148+$A$110)-1)," ",A110+1),NA())</f>
        <v xml:space="preserve"> </v>
      </c>
      <c r="B111" s="147" t="str">
        <f>IF(Sheet1!D$196,IF((B110&gt;=(Sheet1!D$148+$B$110)-1)," ",B110+1),NA())</f>
        <v xml:space="preserve"> </v>
      </c>
      <c r="C111" s="146" t="str">
        <f t="shared" si="4"/>
        <v xml:space="preserve"> </v>
      </c>
      <c r="D111" s="92"/>
      <c r="E111" s="92"/>
      <c r="F111" s="92"/>
      <c r="G111" s="92"/>
      <c r="H111" s="92"/>
      <c r="I111" s="92"/>
      <c r="J111" s="92"/>
      <c r="K111" s="92"/>
      <c r="L111" s="95">
        <f>IF(Sheet1!D$196,SUM(D111:K111),NA())</f>
        <v>0</v>
      </c>
      <c r="M111" s="94" t="e">
        <f>IF(Sheet1!D$196,SUM(D192:K192),NA())</f>
        <v>#VALUE!</v>
      </c>
    </row>
    <row r="112" spans="1:13" ht="13.2" x14ac:dyDescent="0.25">
      <c r="A112" s="147" t="str">
        <f>IF(Sheet1!D$196,IF((A111&gt;=(Sheet1!D$148+$A$110)-1)," ",A111+1),NA())</f>
        <v xml:space="preserve"> </v>
      </c>
      <c r="B112" s="147" t="str">
        <f>IF(Sheet1!D$196,IF((B111&gt;=(Sheet1!D$148+$B$110)-1)," ",B111+1),NA())</f>
        <v xml:space="preserve"> </v>
      </c>
      <c r="C112" s="146" t="str">
        <f t="shared" si="4"/>
        <v xml:space="preserve"> </v>
      </c>
      <c r="D112" s="92"/>
      <c r="E112" s="92"/>
      <c r="F112" s="92"/>
      <c r="G112" s="92"/>
      <c r="H112" s="92"/>
      <c r="I112" s="92"/>
      <c r="J112" s="92"/>
      <c r="K112" s="92"/>
      <c r="L112" s="95">
        <f>IF(Sheet1!D$196,SUM(D112:K112),NA())</f>
        <v>0</v>
      </c>
      <c r="M112" s="94" t="e">
        <f>IF(Sheet1!D$196,SUM(D193:K193),NA())</f>
        <v>#VALUE!</v>
      </c>
    </row>
    <row r="113" spans="1:13" ht="13.2" x14ac:dyDescent="0.25">
      <c r="A113" s="147" t="str">
        <f>IF(Sheet1!D$196,IF((A112&gt;=(Sheet1!D$148+$A$110)-1)," ",A112+1),NA())</f>
        <v xml:space="preserve"> </v>
      </c>
      <c r="B113" s="147" t="str">
        <f>IF(Sheet1!D$196,IF((B112&gt;=(Sheet1!D$148+$B$110)-1)," ",B112+1),NA())</f>
        <v xml:space="preserve"> </v>
      </c>
      <c r="C113" s="146" t="str">
        <f t="shared" si="4"/>
        <v xml:space="preserve"> </v>
      </c>
      <c r="D113" s="92"/>
      <c r="E113" s="92"/>
      <c r="F113" s="92"/>
      <c r="G113" s="92"/>
      <c r="H113" s="92"/>
      <c r="I113" s="92"/>
      <c r="J113" s="92"/>
      <c r="K113" s="92"/>
      <c r="L113" s="95">
        <f>IF(Sheet1!D$196,SUM(D113:K113),NA())</f>
        <v>0</v>
      </c>
      <c r="M113" s="94" t="e">
        <f>IF(Sheet1!D$196,SUM(D194:K194),NA())</f>
        <v>#VALUE!</v>
      </c>
    </row>
    <row r="114" spans="1:13" ht="13.2" x14ac:dyDescent="0.25">
      <c r="A114" s="147" t="str">
        <f>IF(Sheet1!D$196,IF((A113&gt;=(Sheet1!D$148+$A$110)-1)," ",A113+1),NA())</f>
        <v xml:space="preserve"> </v>
      </c>
      <c r="B114" s="147" t="str">
        <f>IF(Sheet1!D$196,IF((B113&gt;=(Sheet1!D$148+$B$110)-1)," ",B113+1),NA())</f>
        <v xml:space="preserve"> </v>
      </c>
      <c r="C114" s="146" t="str">
        <f t="shared" si="4"/>
        <v xml:space="preserve"> </v>
      </c>
      <c r="D114" s="92"/>
      <c r="E114" s="92"/>
      <c r="F114" s="92"/>
      <c r="G114" s="92"/>
      <c r="H114" s="92"/>
      <c r="I114" s="92"/>
      <c r="J114" s="92"/>
      <c r="K114" s="92"/>
      <c r="L114" s="95">
        <f>IF(Sheet1!D$196,SUM(D114:K114),NA())</f>
        <v>0</v>
      </c>
      <c r="M114" s="94" t="e">
        <f>IF(Sheet1!D$196,SUM(D195:K195),NA())</f>
        <v>#VALUE!</v>
      </c>
    </row>
    <row r="115" spans="1:13" ht="13.2" x14ac:dyDescent="0.25">
      <c r="A115" s="147" t="str">
        <f>IF(Sheet1!D$196,IF((A114&gt;=(Sheet1!D$148+$A$110)-1)," ",A114+1),NA())</f>
        <v xml:space="preserve"> </v>
      </c>
      <c r="B115" s="147" t="str">
        <f>IF(Sheet1!D$196,IF((B114&gt;=(Sheet1!D$148+$B$110)-1)," ",B114+1),NA())</f>
        <v xml:space="preserve"> </v>
      </c>
      <c r="C115" s="146" t="str">
        <f t="shared" si="4"/>
        <v xml:space="preserve"> </v>
      </c>
      <c r="D115" s="92"/>
      <c r="E115" s="92"/>
      <c r="F115" s="92"/>
      <c r="G115" s="92"/>
      <c r="H115" s="92"/>
      <c r="I115" s="92"/>
      <c r="J115" s="92"/>
      <c r="K115" s="92"/>
      <c r="L115" s="95">
        <f>IF(Sheet1!D$196,SUM(D115:K115),NA())</f>
        <v>0</v>
      </c>
      <c r="M115" s="94" t="e">
        <f>IF(Sheet1!D$196,SUM(D196:K196),NA())</f>
        <v>#VALUE!</v>
      </c>
    </row>
    <row r="116" spans="1:13" ht="13.2" x14ac:dyDescent="0.25">
      <c r="A116" s="147" t="str">
        <f>IF(Sheet1!D$196,IF((A115&gt;=(Sheet1!D$148+$A$110)-1)," ",A115+1),NA())</f>
        <v xml:space="preserve"> </v>
      </c>
      <c r="B116" s="147" t="str">
        <f>IF(Sheet1!D$196,IF((B115&gt;=(Sheet1!D$148+$B$110)-1)," ",B115+1),NA())</f>
        <v xml:space="preserve"> </v>
      </c>
      <c r="C116" s="146" t="str">
        <f t="shared" si="4"/>
        <v xml:space="preserve"> </v>
      </c>
      <c r="D116" s="92"/>
      <c r="E116" s="92"/>
      <c r="F116" s="92"/>
      <c r="G116" s="92"/>
      <c r="H116" s="92"/>
      <c r="I116" s="92"/>
      <c r="J116" s="92"/>
      <c r="K116" s="92"/>
      <c r="L116" s="95">
        <f>IF(Sheet1!D$196,SUM(D116:K116),NA())</f>
        <v>0</v>
      </c>
      <c r="M116" s="94" t="e">
        <f>IF(Sheet1!D$196,SUM(D197:K197),NA())</f>
        <v>#VALUE!</v>
      </c>
    </row>
    <row r="117" spans="1:13" ht="13.2" x14ac:dyDescent="0.25">
      <c r="A117" s="147" t="str">
        <f>IF(Sheet1!D$196,IF((A116&gt;=(Sheet1!D$148+$A$110)-1)," ",A116+1),NA())</f>
        <v xml:space="preserve"> </v>
      </c>
      <c r="B117" s="147" t="str">
        <f>IF(Sheet1!D$196,IF((B116&gt;=(Sheet1!D$148+$B$110)-1)," ",B116+1),NA())</f>
        <v xml:space="preserve"> </v>
      </c>
      <c r="C117" s="146" t="str">
        <f t="shared" si="4"/>
        <v xml:space="preserve"> </v>
      </c>
      <c r="D117" s="92"/>
      <c r="E117" s="92"/>
      <c r="F117" s="92"/>
      <c r="G117" s="92"/>
      <c r="H117" s="92"/>
      <c r="I117" s="92"/>
      <c r="J117" s="92"/>
      <c r="K117" s="92"/>
      <c r="L117" s="95">
        <f>IF(Sheet1!D$196,SUM(D117:K117),NA())</f>
        <v>0</v>
      </c>
      <c r="M117" s="94" t="e">
        <f>IF(Sheet1!D$196,SUM(D198:K198),NA())</f>
        <v>#VALUE!</v>
      </c>
    </row>
    <row r="118" spans="1:13" ht="13.2" x14ac:dyDescent="0.25">
      <c r="A118" s="147" t="str">
        <f>IF(Sheet1!D$196,IF((A117&gt;=(Sheet1!D$148+$A$110)-1)," ",A117+1),NA())</f>
        <v xml:space="preserve"> </v>
      </c>
      <c r="B118" s="147" t="str">
        <f>IF(Sheet1!D$196,IF((B117&gt;=(Sheet1!D$148+$B$110)-1)," ",B117+1),NA())</f>
        <v xml:space="preserve"> </v>
      </c>
      <c r="C118" s="146" t="str">
        <f t="shared" si="4"/>
        <v xml:space="preserve"> </v>
      </c>
      <c r="D118" s="92"/>
      <c r="E118" s="92"/>
      <c r="F118" s="92"/>
      <c r="G118" s="92"/>
      <c r="H118" s="92"/>
      <c r="I118" s="92"/>
      <c r="J118" s="92"/>
      <c r="K118" s="92"/>
      <c r="L118" s="95">
        <f>IF(Sheet1!D$196,SUM(D118:K118),NA())</f>
        <v>0</v>
      </c>
      <c r="M118" s="94" t="e">
        <f>IF(Sheet1!D$196,SUM(D199:K199),NA())</f>
        <v>#VALUE!</v>
      </c>
    </row>
    <row r="119" spans="1:13" ht="13.2" x14ac:dyDescent="0.25">
      <c r="A119" s="147" t="str">
        <f>IF(Sheet1!D$196,IF((A118&gt;=(Sheet1!D$148+$A$110)-1)," ",A118+1),NA())</f>
        <v xml:space="preserve"> </v>
      </c>
      <c r="B119" s="147" t="str">
        <f>IF(Sheet1!D$196,IF((B118&gt;=(Sheet1!D$148+$B$110)-1)," ",B118+1),NA())</f>
        <v xml:space="preserve"> </v>
      </c>
      <c r="C119" s="146" t="str">
        <f t="shared" si="4"/>
        <v xml:space="preserve"> </v>
      </c>
      <c r="D119" s="92"/>
      <c r="E119" s="92"/>
      <c r="F119" s="92"/>
      <c r="G119" s="92"/>
      <c r="H119" s="92"/>
      <c r="I119" s="92"/>
      <c r="J119" s="92"/>
      <c r="K119" s="92"/>
      <c r="L119" s="95">
        <f>IF(Sheet1!D$196,SUM(D119:K119),NA())</f>
        <v>0</v>
      </c>
      <c r="M119" s="94" t="e">
        <f>IF(Sheet1!D$196,SUM(D200:K200),NA())</f>
        <v>#VALUE!</v>
      </c>
    </row>
    <row r="120" spans="1:13" ht="13.2" x14ac:dyDescent="0.25">
      <c r="A120" s="147" t="str">
        <f>IF(Sheet1!D$196,IF((A119&gt;=(Sheet1!D$148+$A$110)-1)," ",A119+1),NA())</f>
        <v xml:space="preserve"> </v>
      </c>
      <c r="B120" s="147" t="str">
        <f>IF(Sheet1!D$196,IF((B119&gt;=(Sheet1!D$148+$B$110)-1)," ",B119+1),NA())</f>
        <v xml:space="preserve"> </v>
      </c>
      <c r="C120" s="146" t="str">
        <f t="shared" si="4"/>
        <v xml:space="preserve"> </v>
      </c>
      <c r="D120" s="92"/>
      <c r="E120" s="92"/>
      <c r="F120" s="92"/>
      <c r="G120" s="92"/>
      <c r="H120" s="92"/>
      <c r="I120" s="92"/>
      <c r="J120" s="92"/>
      <c r="K120" s="92"/>
      <c r="L120" s="95">
        <f>IF(Sheet1!D$196,SUM(D120:K120),NA())</f>
        <v>0</v>
      </c>
      <c r="M120" s="94" t="e">
        <f>IF(Sheet1!D$196,SUM(D201:K201),NA())</f>
        <v>#VALUE!</v>
      </c>
    </row>
    <row r="121" spans="1:13" ht="13.2" x14ac:dyDescent="0.25">
      <c r="A121" s="147" t="str">
        <f>IF(Sheet1!D$196,IF((A120&gt;=(Sheet1!D$148+$A$110)-1)," ",A120+1),NA())</f>
        <v xml:space="preserve"> </v>
      </c>
      <c r="B121" s="147" t="str">
        <f>IF(Sheet1!D$196,IF((B120&gt;=(Sheet1!D$148+$B$110)-1)," ",B120+1),NA())</f>
        <v xml:space="preserve"> </v>
      </c>
      <c r="C121" s="146" t="str">
        <f t="shared" si="4"/>
        <v xml:space="preserve"> </v>
      </c>
      <c r="D121" s="92"/>
      <c r="E121" s="92"/>
      <c r="F121" s="92"/>
      <c r="G121" s="92"/>
      <c r="H121" s="92"/>
      <c r="I121" s="92"/>
      <c r="J121" s="92"/>
      <c r="K121" s="92"/>
      <c r="L121" s="95">
        <f>IF(Sheet1!D$196,SUM(D121:K121),NA())</f>
        <v>0</v>
      </c>
      <c r="M121" s="94" t="e">
        <f>IF(Sheet1!D$196,SUM(D202:K202),NA())</f>
        <v>#VALUE!</v>
      </c>
    </row>
    <row r="122" spans="1:13" ht="13.2" x14ac:dyDescent="0.25">
      <c r="A122" s="147" t="str">
        <f>IF(Sheet1!D$196,IF((A121&gt;=(Sheet1!D$148+$A$110)-1)," ",A121+1),NA())</f>
        <v xml:space="preserve"> </v>
      </c>
      <c r="B122" s="147" t="str">
        <f>IF(Sheet1!D$196,IF((B121&gt;=(Sheet1!D$148+$B$110)-1)," ",B121+1),NA())</f>
        <v xml:space="preserve"> </v>
      </c>
      <c r="C122" s="146" t="str">
        <f t="shared" si="4"/>
        <v xml:space="preserve"> </v>
      </c>
      <c r="D122" s="92"/>
      <c r="E122" s="92"/>
      <c r="F122" s="92"/>
      <c r="G122" s="92"/>
      <c r="H122" s="92"/>
      <c r="I122" s="92"/>
      <c r="J122" s="92"/>
      <c r="K122" s="92"/>
      <c r="L122" s="95">
        <f>IF(Sheet1!D$196,SUM(D122:K122),NA())</f>
        <v>0</v>
      </c>
      <c r="M122" s="94" t="e">
        <f>IF(Sheet1!D$196,SUM(D203:K203),NA())</f>
        <v>#VALUE!</v>
      </c>
    </row>
    <row r="123" spans="1:13" ht="13.2" x14ac:dyDescent="0.25">
      <c r="A123" s="147" t="str">
        <f>IF(Sheet1!D$196,IF((A122&gt;=(Sheet1!D$148+$A$110)-1)," ",A122+1),NA())</f>
        <v xml:space="preserve"> </v>
      </c>
      <c r="B123" s="147" t="str">
        <f>IF(Sheet1!D$196,IF((B122&gt;=(Sheet1!D$148+$B$110)-1)," ",B122+1),NA())</f>
        <v xml:space="preserve"> </v>
      </c>
      <c r="C123" s="146" t="str">
        <f t="shared" si="4"/>
        <v xml:space="preserve"> </v>
      </c>
      <c r="D123" s="92"/>
      <c r="E123" s="92"/>
      <c r="F123" s="92"/>
      <c r="G123" s="92"/>
      <c r="H123" s="92"/>
      <c r="I123" s="92"/>
      <c r="J123" s="92"/>
      <c r="K123" s="92"/>
      <c r="L123" s="95">
        <f>IF(Sheet1!D$196,SUM(D123:K123),NA())</f>
        <v>0</v>
      </c>
      <c r="M123" s="94" t="e">
        <f>IF(Sheet1!D$196,SUM(D204:K204),NA())</f>
        <v>#VALUE!</v>
      </c>
    </row>
    <row r="124" spans="1:13" ht="13.2" x14ac:dyDescent="0.25">
      <c r="A124" s="147" t="str">
        <f>IF(Sheet1!D$196,IF((A123&gt;=(Sheet1!D$148+$A$110)-1)," ",A123+1),NA())</f>
        <v xml:space="preserve"> </v>
      </c>
      <c r="B124" s="147" t="str">
        <f>IF(Sheet1!D$196,IF((B123&gt;=(Sheet1!D$148+$B$110)-1)," ",B123+1),NA())</f>
        <v xml:space="preserve"> </v>
      </c>
      <c r="C124" s="146" t="str">
        <f t="shared" si="4"/>
        <v xml:space="preserve"> </v>
      </c>
      <c r="D124" s="92"/>
      <c r="E124" s="92"/>
      <c r="F124" s="92"/>
      <c r="G124" s="92"/>
      <c r="H124" s="92"/>
      <c r="I124" s="92"/>
      <c r="J124" s="92"/>
      <c r="K124" s="92"/>
      <c r="L124" s="95">
        <f>IF(Sheet1!D$196,SUM(D124:K124),NA())</f>
        <v>0</v>
      </c>
      <c r="M124" s="94" t="e">
        <f>IF(Sheet1!D$196,SUM(D205:K205),NA())</f>
        <v>#VALUE!</v>
      </c>
    </row>
    <row r="125" spans="1:13" ht="13.2" x14ac:dyDescent="0.25">
      <c r="A125" s="147" t="str">
        <f>IF(Sheet1!D$196,IF((A124&gt;=(Sheet1!D$148+$A$110)-1)," ",A124+1),NA())</f>
        <v xml:space="preserve"> </v>
      </c>
      <c r="B125" s="147" t="str">
        <f>IF(Sheet1!D$196,IF((B124&gt;=(Sheet1!D$148+$B$110)-1)," ",B124+1),NA())</f>
        <v xml:space="preserve"> </v>
      </c>
      <c r="C125" s="146" t="str">
        <f t="shared" si="4"/>
        <v xml:space="preserve"> </v>
      </c>
      <c r="D125" s="92"/>
      <c r="E125" s="92"/>
      <c r="F125" s="92"/>
      <c r="G125" s="92"/>
      <c r="H125" s="92"/>
      <c r="I125" s="92"/>
      <c r="J125" s="92"/>
      <c r="K125" s="92"/>
      <c r="L125" s="95">
        <f>IF(Sheet1!D$196,SUM(D125:K125),NA())</f>
        <v>0</v>
      </c>
      <c r="M125" s="94" t="e">
        <f>IF(Sheet1!D$196,SUM(D206:K206),NA())</f>
        <v>#VALUE!</v>
      </c>
    </row>
    <row r="126" spans="1:13" ht="13.2" x14ac:dyDescent="0.25">
      <c r="A126" s="147" t="str">
        <f>IF(Sheet1!D$196,IF((A125&gt;=(Sheet1!D$148+$A$110)-1)," ",A125+1),NA())</f>
        <v xml:space="preserve"> </v>
      </c>
      <c r="B126" s="147" t="str">
        <f>IF(Sheet1!D$196,IF((B125&gt;=(Sheet1!D$148+$B$110)-1)," ",B125+1),NA())</f>
        <v xml:space="preserve"> </v>
      </c>
      <c r="C126" s="146" t="str">
        <f t="shared" si="4"/>
        <v xml:space="preserve"> </v>
      </c>
      <c r="D126" s="92"/>
      <c r="E126" s="92"/>
      <c r="F126" s="92"/>
      <c r="G126" s="92"/>
      <c r="H126" s="92"/>
      <c r="I126" s="92"/>
      <c r="J126" s="92"/>
      <c r="K126" s="92"/>
      <c r="L126" s="95">
        <f>IF(Sheet1!D$196,SUM(D126:K126),NA())</f>
        <v>0</v>
      </c>
      <c r="M126" s="94" t="e">
        <f>IF(Sheet1!D$196,SUM(D207:K207),NA())</f>
        <v>#VALUE!</v>
      </c>
    </row>
    <row r="127" spans="1:13" ht="13.2" x14ac:dyDescent="0.25">
      <c r="A127" s="147" t="str">
        <f>IF(Sheet1!D$196,IF((A126&gt;=(Sheet1!D$148+$A$110)-1)," ",A126+1),NA())</f>
        <v xml:space="preserve"> </v>
      </c>
      <c r="B127" s="147" t="str">
        <f>IF(Sheet1!D$196,IF((B126&gt;=(Sheet1!D$148+$B$110)-1)," ",B126+1),NA())</f>
        <v xml:space="preserve"> </v>
      </c>
      <c r="C127" s="146" t="str">
        <f t="shared" si="4"/>
        <v xml:space="preserve"> </v>
      </c>
      <c r="D127" s="92"/>
      <c r="E127" s="92"/>
      <c r="F127" s="92"/>
      <c r="G127" s="92"/>
      <c r="H127" s="92"/>
      <c r="I127" s="92"/>
      <c r="J127" s="92"/>
      <c r="K127" s="92"/>
      <c r="L127" s="95">
        <f>IF(Sheet1!D$196,SUM(D127:K127),NA())</f>
        <v>0</v>
      </c>
      <c r="M127" s="94" t="e">
        <f>IF(Sheet1!D$196,SUM(D208:K208),NA())</f>
        <v>#VALUE!</v>
      </c>
    </row>
    <row r="128" spans="1:13" ht="13.2" x14ac:dyDescent="0.25">
      <c r="A128" s="147" t="str">
        <f>IF(Sheet1!D$196,IF((A127&gt;=(Sheet1!D$148+$A$110)-1)," ",A127+1),NA())</f>
        <v xml:space="preserve"> </v>
      </c>
      <c r="B128" s="147" t="str">
        <f>IF(Sheet1!D$196,IF((B127&gt;=(Sheet1!D$148+$B$110)-1)," ",B127+1),NA())</f>
        <v xml:space="preserve"> </v>
      </c>
      <c r="C128" s="146" t="str">
        <f t="shared" si="4"/>
        <v xml:space="preserve"> </v>
      </c>
      <c r="D128" s="92"/>
      <c r="E128" s="92"/>
      <c r="F128" s="92"/>
      <c r="G128" s="92"/>
      <c r="H128" s="92"/>
      <c r="I128" s="92"/>
      <c r="J128" s="92"/>
      <c r="K128" s="92"/>
      <c r="L128" s="95">
        <f>IF(Sheet1!D$196,SUM(D128:K128),NA())</f>
        <v>0</v>
      </c>
      <c r="M128" s="94" t="e">
        <f>IF(Sheet1!D$196,SUM(D209:K209),NA())</f>
        <v>#VALUE!</v>
      </c>
    </row>
    <row r="129" spans="1:13" ht="13.2" x14ac:dyDescent="0.25">
      <c r="A129" s="147" t="str">
        <f>IF(Sheet1!D$196,IF((A128&gt;=(Sheet1!D$148+$A$110)-1)," ",A128+1),NA())</f>
        <v xml:space="preserve"> </v>
      </c>
      <c r="B129" s="147" t="str">
        <f>IF(Sheet1!D$196,IF((B128&gt;=(Sheet1!D$148+$B$110)-1)," ",B128+1),NA())</f>
        <v xml:space="preserve"> </v>
      </c>
      <c r="C129" s="146" t="str">
        <f t="shared" si="4"/>
        <v xml:space="preserve"> </v>
      </c>
      <c r="D129" s="92"/>
      <c r="E129" s="92"/>
      <c r="F129" s="92"/>
      <c r="G129" s="92"/>
      <c r="H129" s="92"/>
      <c r="I129" s="92"/>
      <c r="J129" s="92"/>
      <c r="K129" s="92"/>
      <c r="L129" s="95">
        <f>IF(Sheet1!D$196,SUM(D129:K129),NA())</f>
        <v>0</v>
      </c>
      <c r="M129" s="94" t="e">
        <f>IF(Sheet1!D$196,SUM(D210:K210),NA())</f>
        <v>#VALUE!</v>
      </c>
    </row>
    <row r="130" spans="1:13" ht="13.2" x14ac:dyDescent="0.25">
      <c r="A130" s="147" t="str">
        <f>IF(Sheet1!D$196,IF((A129&gt;=(Sheet1!D$148+$A$110)-1)," ",A129+1),NA())</f>
        <v xml:space="preserve"> </v>
      </c>
      <c r="B130" s="147" t="str">
        <f>IF(Sheet1!D$196,IF((B129&gt;=(Sheet1!D$148+$B$110)-1)," ",B129+1),NA())</f>
        <v xml:space="preserve"> </v>
      </c>
      <c r="C130" s="146" t="str">
        <f t="shared" si="4"/>
        <v xml:space="preserve"> </v>
      </c>
      <c r="D130" s="92"/>
      <c r="E130" s="92"/>
      <c r="F130" s="92"/>
      <c r="G130" s="92"/>
      <c r="H130" s="92"/>
      <c r="I130" s="92"/>
      <c r="J130" s="92"/>
      <c r="K130" s="92"/>
      <c r="L130" s="95">
        <f>IF(Sheet1!D$196,SUM(D130:K130),NA())</f>
        <v>0</v>
      </c>
      <c r="M130" s="94" t="e">
        <f>IF(Sheet1!D$196,SUM(D211:K211),NA())</f>
        <v>#VALUE!</v>
      </c>
    </row>
    <row r="131" spans="1:13" ht="13.2" x14ac:dyDescent="0.25">
      <c r="A131" s="147" t="str">
        <f>IF(Sheet1!D$196,IF((A130&gt;=(Sheet1!D$148+$A$110)-1)," ",A130+1),NA())</f>
        <v xml:space="preserve"> </v>
      </c>
      <c r="B131" s="147" t="str">
        <f>IF(Sheet1!D$196,IF((B130&gt;=(Sheet1!D$148+$B$110)-1)," ",B130+1),NA())</f>
        <v xml:space="preserve"> </v>
      </c>
      <c r="C131" s="146" t="str">
        <f t="shared" si="4"/>
        <v xml:space="preserve"> </v>
      </c>
      <c r="D131" s="92"/>
      <c r="E131" s="92"/>
      <c r="F131" s="92"/>
      <c r="G131" s="92"/>
      <c r="H131" s="92"/>
      <c r="I131" s="92"/>
      <c r="J131" s="92"/>
      <c r="K131" s="92"/>
      <c r="L131" s="95">
        <f>IF(Sheet1!D$196,SUM(D131:K131),NA())</f>
        <v>0</v>
      </c>
      <c r="M131" s="94" t="e">
        <f>IF(Sheet1!D$196,SUM(D212:K212),NA())</f>
        <v>#VALUE!</v>
      </c>
    </row>
    <row r="132" spans="1:13" ht="13.2" x14ac:dyDescent="0.25">
      <c r="A132" s="147" t="str">
        <f>IF(Sheet1!D$196,IF((A131&gt;=(Sheet1!D$148+$A$110)-1)," ",A131+1),NA())</f>
        <v xml:space="preserve"> </v>
      </c>
      <c r="B132" s="147" t="str">
        <f>IF(Sheet1!D$196,IF((B131&gt;=(Sheet1!D$148+$B$110)-1)," ",B131+1),NA())</f>
        <v xml:space="preserve"> </v>
      </c>
      <c r="C132" s="146" t="str">
        <f t="shared" si="4"/>
        <v xml:space="preserve"> </v>
      </c>
      <c r="D132" s="92"/>
      <c r="E132" s="92"/>
      <c r="F132" s="92"/>
      <c r="G132" s="92"/>
      <c r="H132" s="92"/>
      <c r="I132" s="92"/>
      <c r="J132" s="92"/>
      <c r="K132" s="92"/>
      <c r="L132" s="95">
        <f>IF(Sheet1!D$196,SUM(D132:K132),NA())</f>
        <v>0</v>
      </c>
      <c r="M132" s="94" t="e">
        <f>IF(Sheet1!D$196,SUM(D213:K213),NA())</f>
        <v>#VALUE!</v>
      </c>
    </row>
    <row r="133" spans="1:13" ht="13.2" x14ac:dyDescent="0.25">
      <c r="A133" s="147" t="str">
        <f>IF(Sheet1!D$196,IF((A132&gt;=(Sheet1!D$148+$A$110)-1)," ",A132+1),NA())</f>
        <v xml:space="preserve"> </v>
      </c>
      <c r="B133" s="147" t="str">
        <f>IF(Sheet1!D$196,IF((B132&gt;=(Sheet1!D$148+$B$110)-1)," ",B132+1),NA())</f>
        <v xml:space="preserve"> </v>
      </c>
      <c r="C133" s="146" t="str">
        <f t="shared" si="4"/>
        <v xml:space="preserve"> </v>
      </c>
      <c r="D133" s="92"/>
      <c r="E133" s="92"/>
      <c r="F133" s="92"/>
      <c r="G133" s="92"/>
      <c r="H133" s="92"/>
      <c r="I133" s="92"/>
      <c r="J133" s="92"/>
      <c r="K133" s="92"/>
      <c r="L133" s="95">
        <f>IF(Sheet1!D$196,SUM(D133:K133),NA())</f>
        <v>0</v>
      </c>
      <c r="M133" s="94" t="e">
        <f>IF(Sheet1!D$196,SUM(D214:K214),NA())</f>
        <v>#VALUE!</v>
      </c>
    </row>
    <row r="134" spans="1:13" ht="13.2" x14ac:dyDescent="0.25">
      <c r="A134" s="147" t="str">
        <f>IF(Sheet1!D$196,IF((A133&gt;=(Sheet1!D$148+$A$110)-1)," ",A133+1),NA())</f>
        <v xml:space="preserve"> </v>
      </c>
      <c r="B134" s="147" t="str">
        <f>IF(Sheet1!D$196,IF((B133&gt;=(Sheet1!D$148+$B$110)-1)," ",B133+1),NA())</f>
        <v xml:space="preserve"> </v>
      </c>
      <c r="C134" s="146" t="str">
        <f t="shared" si="4"/>
        <v xml:space="preserve"> </v>
      </c>
      <c r="D134" s="92"/>
      <c r="E134" s="92"/>
      <c r="F134" s="92"/>
      <c r="G134" s="92"/>
      <c r="H134" s="92"/>
      <c r="I134" s="92"/>
      <c r="J134" s="92"/>
      <c r="K134" s="92"/>
      <c r="L134" s="95">
        <f>IF(Sheet1!D$196,SUM(D134:K134),NA())</f>
        <v>0</v>
      </c>
      <c r="M134" s="94" t="e">
        <f>IF(Sheet1!D$196,SUM(D215:K215),NA())</f>
        <v>#VALUE!</v>
      </c>
    </row>
    <row r="135" spans="1:13" ht="13.2" x14ac:dyDescent="0.25">
      <c r="A135" s="147" t="str">
        <f>IF(Sheet1!D$196,IF((A134&gt;=(Sheet1!D$148+$A$110)-1)," ",A134+1),NA())</f>
        <v xml:space="preserve"> </v>
      </c>
      <c r="B135" s="147" t="str">
        <f>IF(Sheet1!D$196,IF((B134&gt;=(Sheet1!D$148+$B$110)-1)," ",B134+1),NA())</f>
        <v xml:space="preserve"> </v>
      </c>
      <c r="C135" s="146" t="str">
        <f t="shared" si="4"/>
        <v xml:space="preserve"> </v>
      </c>
      <c r="D135" s="92"/>
      <c r="E135" s="92"/>
      <c r="F135" s="92"/>
      <c r="G135" s="92"/>
      <c r="H135" s="92"/>
      <c r="I135" s="92"/>
      <c r="J135" s="92"/>
      <c r="K135" s="92"/>
      <c r="L135" s="95">
        <f>IF(Sheet1!D$196,SUM(D135:K135),NA())</f>
        <v>0</v>
      </c>
      <c r="M135" s="94" t="e">
        <f>IF(Sheet1!D$196,SUM(D216:K216),NA())</f>
        <v>#VALUE!</v>
      </c>
    </row>
    <row r="136" spans="1:13" ht="13.2" x14ac:dyDescent="0.25">
      <c r="A136" s="147" t="str">
        <f>IF(Sheet1!D$196,IF((A135&gt;=(Sheet1!D$148+$A$110)-1)," ",A135+1),NA())</f>
        <v xml:space="preserve"> </v>
      </c>
      <c r="B136" s="147" t="str">
        <f>IF(Sheet1!D$196,IF((B135&gt;=(Sheet1!D$148+$B$110)-1)," ",B135+1),NA())</f>
        <v xml:space="preserve"> </v>
      </c>
      <c r="C136" s="146" t="str">
        <f t="shared" si="4"/>
        <v xml:space="preserve"> </v>
      </c>
      <c r="D136" s="92"/>
      <c r="E136" s="92"/>
      <c r="F136" s="92"/>
      <c r="G136" s="92"/>
      <c r="H136" s="92"/>
      <c r="I136" s="92"/>
      <c r="J136" s="92"/>
      <c r="K136" s="92"/>
      <c r="L136" s="95">
        <f>IF(Sheet1!D$196,SUM(D136:K136),NA())</f>
        <v>0</v>
      </c>
      <c r="M136" s="94" t="e">
        <f>IF(Sheet1!D$196,SUM(D217:K217),NA())</f>
        <v>#VALUE!</v>
      </c>
    </row>
    <row r="137" spans="1:13" ht="13.2" x14ac:dyDescent="0.25">
      <c r="A137" s="147" t="str">
        <f>IF(Sheet1!D$196,IF((A136&gt;=(Sheet1!D$148+$A$110)-1)," ",A136+1),NA())</f>
        <v xml:space="preserve"> </v>
      </c>
      <c r="B137" s="147" t="str">
        <f>IF(Sheet1!D$196,IF((B136&gt;=(Sheet1!D$148+$B$110)-1)," ",B136+1),NA())</f>
        <v xml:space="preserve"> </v>
      </c>
      <c r="C137" s="146" t="str">
        <f t="shared" si="4"/>
        <v xml:space="preserve"> </v>
      </c>
      <c r="D137" s="92"/>
      <c r="E137" s="92"/>
      <c r="F137" s="92"/>
      <c r="G137" s="92"/>
      <c r="H137" s="92"/>
      <c r="I137" s="92"/>
      <c r="J137" s="92"/>
      <c r="K137" s="92"/>
      <c r="L137" s="95">
        <f>IF(Sheet1!D$196,SUM(D137:K137),NA())</f>
        <v>0</v>
      </c>
      <c r="M137" s="94" t="e">
        <f>IF(Sheet1!D$196,SUM(D218:K218),NA())</f>
        <v>#VALUE!</v>
      </c>
    </row>
    <row r="138" spans="1:13" ht="13.2" x14ac:dyDescent="0.25">
      <c r="A138" s="147" t="str">
        <f>IF(Sheet1!D$196,IF((A137&gt;=(Sheet1!D$148+$A$110)-1)," ",A137+1),NA())</f>
        <v xml:space="preserve"> </v>
      </c>
      <c r="B138" s="147" t="str">
        <f>IF(Sheet1!D$196,IF((B137&gt;=(Sheet1!D$148+$B$110)-1)," ",B137+1),NA())</f>
        <v xml:space="preserve"> </v>
      </c>
      <c r="C138" s="146" t="str">
        <f t="shared" si="4"/>
        <v xml:space="preserve"> </v>
      </c>
      <c r="D138" s="92"/>
      <c r="E138" s="92"/>
      <c r="F138" s="92"/>
      <c r="G138" s="92"/>
      <c r="H138" s="92"/>
      <c r="I138" s="92"/>
      <c r="J138" s="92"/>
      <c r="K138" s="92"/>
      <c r="L138" s="95">
        <f>IF(Sheet1!D$196,SUM(D138:K138),NA())</f>
        <v>0</v>
      </c>
      <c r="M138" s="94" t="e">
        <f>IF(Sheet1!D$196,SUM(D219:K219),NA())</f>
        <v>#VALUE!</v>
      </c>
    </row>
    <row r="139" spans="1:13" ht="13.2" x14ac:dyDescent="0.25">
      <c r="A139" s="147" t="str">
        <f>IF(Sheet1!D$196,IF((A138&gt;=(Sheet1!D$148+$A$110)-1)," ",A138+1),NA())</f>
        <v xml:space="preserve"> </v>
      </c>
      <c r="B139" s="147" t="str">
        <f>IF(Sheet1!D$196,IF((B138&gt;=(Sheet1!D$148+$B$110)-1)," ",B138+1),NA())</f>
        <v xml:space="preserve"> </v>
      </c>
      <c r="C139" s="146" t="str">
        <f t="shared" si="4"/>
        <v xml:space="preserve"> </v>
      </c>
      <c r="D139" s="92"/>
      <c r="E139" s="92"/>
      <c r="F139" s="92"/>
      <c r="G139" s="92"/>
      <c r="H139" s="92"/>
      <c r="I139" s="92"/>
      <c r="J139" s="92"/>
      <c r="K139" s="92"/>
      <c r="L139" s="95">
        <f>IF(Sheet1!D$196,SUM(D139:K139),NA())</f>
        <v>0</v>
      </c>
      <c r="M139" s="94" t="e">
        <f>IF(Sheet1!D$196,SUM(D220:K220),NA())</f>
        <v>#VALUE!</v>
      </c>
    </row>
    <row r="140" spans="1:13" ht="13.2" x14ac:dyDescent="0.25">
      <c r="A140" s="147" t="str">
        <f>IF(Sheet1!D$196,IF((A139&gt;=(Sheet1!D$148+$A$110)-1)," ",A139+1),NA())</f>
        <v xml:space="preserve"> </v>
      </c>
      <c r="B140" s="147" t="str">
        <f>IF(Sheet1!D$196,IF((B139&gt;=(Sheet1!D$148+$B$110)-1)," ",B139+1),NA())</f>
        <v xml:space="preserve"> </v>
      </c>
      <c r="C140" s="146" t="str">
        <f t="shared" si="4"/>
        <v xml:space="preserve"> </v>
      </c>
      <c r="D140" s="92"/>
      <c r="E140" s="92"/>
      <c r="F140" s="92"/>
      <c r="G140" s="92"/>
      <c r="H140" s="92"/>
      <c r="I140" s="92"/>
      <c r="J140" s="92"/>
      <c r="K140" s="92"/>
      <c r="L140" s="95">
        <f>IF(Sheet1!D$196,SUM(D140:K140),NA())</f>
        <v>0</v>
      </c>
      <c r="M140" s="94" t="e">
        <f>IF(Sheet1!D$196,SUM(D221:K221),NA())</f>
        <v>#VALUE!</v>
      </c>
    </row>
    <row r="141" spans="1:13" ht="13.2" x14ac:dyDescent="0.25">
      <c r="A141" s="147" t="str">
        <f>IF(Sheet1!D$196,IF((A140&gt;=(Sheet1!D$148+$A$110)-1)," ",A140+1),NA())</f>
        <v xml:space="preserve"> </v>
      </c>
      <c r="B141" s="147" t="str">
        <f>IF(Sheet1!D$196,IF((B140&gt;=(Sheet1!D$148+$B$110)-1)," ",B140+1),NA())</f>
        <v xml:space="preserve"> </v>
      </c>
      <c r="C141" s="146" t="str">
        <f t="shared" si="4"/>
        <v xml:space="preserve"> </v>
      </c>
      <c r="D141" s="92"/>
      <c r="E141" s="92"/>
      <c r="F141" s="92"/>
      <c r="G141" s="92"/>
      <c r="H141" s="92"/>
      <c r="I141" s="92"/>
      <c r="J141" s="92"/>
      <c r="K141" s="92"/>
      <c r="L141" s="95">
        <f>IF(Sheet1!D$196,SUM(D141:K141),NA())</f>
        <v>0</v>
      </c>
      <c r="M141" s="94" t="e">
        <f>IF(Sheet1!D$196,SUM(D222:K222),NA())</f>
        <v>#VALUE!</v>
      </c>
    </row>
    <row r="142" spans="1:13" ht="13.2" x14ac:dyDescent="0.25">
      <c r="A142" s="147" t="str">
        <f>IF(Sheet1!D$196,IF((A141&gt;=(Sheet1!D$148+$A$110)-1)," ",A141+1),NA())</f>
        <v xml:space="preserve"> </v>
      </c>
      <c r="B142" s="147" t="str">
        <f>IF(Sheet1!D$196,IF((B141&gt;=(Sheet1!D$148+$B$110)-1)," ",B141+1),NA())</f>
        <v xml:space="preserve"> </v>
      </c>
      <c r="C142" s="146" t="str">
        <f t="shared" si="4"/>
        <v xml:space="preserve"> </v>
      </c>
      <c r="D142" s="92"/>
      <c r="E142" s="92"/>
      <c r="F142" s="92"/>
      <c r="G142" s="92"/>
      <c r="H142" s="92"/>
      <c r="I142" s="92"/>
      <c r="J142" s="92"/>
      <c r="K142" s="92"/>
      <c r="L142" s="95">
        <f>IF(Sheet1!D$196,SUM(D142:K142),NA())</f>
        <v>0</v>
      </c>
      <c r="M142" s="94" t="e">
        <f>IF(Sheet1!D$196,SUM(D223:K223),NA())</f>
        <v>#VALUE!</v>
      </c>
    </row>
    <row r="143" spans="1:13" ht="13.2" x14ac:dyDescent="0.25">
      <c r="A143" s="147" t="str">
        <f>IF(Sheet1!D$196,IF((A142&gt;=(Sheet1!D$148+$A$110)-1)," ",A142+1),NA())</f>
        <v xml:space="preserve"> </v>
      </c>
      <c r="B143" s="147" t="str">
        <f>IF(Sheet1!D$196,IF((B142&gt;=(Sheet1!D$148+$B$110)-1)," ",B142+1),NA())</f>
        <v xml:space="preserve"> </v>
      </c>
      <c r="C143" s="146" t="str">
        <f t="shared" si="4"/>
        <v xml:space="preserve"> </v>
      </c>
      <c r="D143" s="92"/>
      <c r="E143" s="92"/>
      <c r="F143" s="92"/>
      <c r="G143" s="92"/>
      <c r="H143" s="92"/>
      <c r="I143" s="92"/>
      <c r="J143" s="92"/>
      <c r="K143" s="92"/>
      <c r="L143" s="95">
        <f>IF(Sheet1!D$196,SUM(D143:K143),NA())</f>
        <v>0</v>
      </c>
      <c r="M143" s="94" t="e">
        <f>IF(Sheet1!D$196,SUM(D224:K224),NA())</f>
        <v>#VALUE!</v>
      </c>
    </row>
    <row r="144" spans="1:13" ht="13.2" x14ac:dyDescent="0.25">
      <c r="A144" s="147" t="str">
        <f>IF(Sheet1!D$196,IF((A143&gt;=(Sheet1!D$148+$A$110)-1)," ",A143+1),NA())</f>
        <v xml:space="preserve"> </v>
      </c>
      <c r="B144" s="147" t="str">
        <f>IF(Sheet1!D$196,IF((B143&gt;=(Sheet1!D$148+$B$110)-1)," ",B143+1),NA())</f>
        <v xml:space="preserve"> </v>
      </c>
      <c r="C144" s="146" t="str">
        <f t="shared" si="4"/>
        <v xml:space="preserve"> </v>
      </c>
      <c r="D144" s="92"/>
      <c r="E144" s="92"/>
      <c r="F144" s="92"/>
      <c r="G144" s="92"/>
      <c r="H144" s="92"/>
      <c r="I144" s="92"/>
      <c r="J144" s="92"/>
      <c r="K144" s="92"/>
      <c r="L144" s="95">
        <f>IF(Sheet1!D$196,SUM(D144:K144),NA())</f>
        <v>0</v>
      </c>
      <c r="M144" s="94" t="e">
        <f>IF(Sheet1!D$196,SUM(D225:K225),NA())</f>
        <v>#VALUE!</v>
      </c>
    </row>
    <row r="145" spans="1:13" ht="13.2" x14ac:dyDescent="0.25">
      <c r="A145" s="147" t="str">
        <f>IF(Sheet1!D$196,IF((A144&gt;=(Sheet1!D$148+$A$110)-1)," ",A144+1),NA())</f>
        <v xml:space="preserve"> </v>
      </c>
      <c r="B145" s="147" t="str">
        <f>IF(Sheet1!D$196,IF((B144&gt;=(Sheet1!D$148+$B$110)-1)," ",B144+1),NA())</f>
        <v xml:space="preserve"> </v>
      </c>
      <c r="C145" s="146" t="str">
        <f t="shared" si="4"/>
        <v xml:space="preserve"> </v>
      </c>
      <c r="D145" s="92"/>
      <c r="E145" s="92"/>
      <c r="F145" s="92"/>
      <c r="G145" s="92"/>
      <c r="H145" s="92"/>
      <c r="I145" s="92"/>
      <c r="J145" s="92"/>
      <c r="K145" s="92"/>
      <c r="L145" s="95">
        <f>IF(Sheet1!D$196,SUM(D145:K145),NA())</f>
        <v>0</v>
      </c>
      <c r="M145" s="94" t="e">
        <f>IF(Sheet1!D$196,SUM(D226:K226),NA())</f>
        <v>#VALUE!</v>
      </c>
    </row>
    <row r="146" spans="1:13" ht="13.2" x14ac:dyDescent="0.25">
      <c r="A146" s="147" t="str">
        <f>IF(Sheet1!D$196,IF((A145&gt;=(Sheet1!D$148+$A$110)-1)," ",A145+1),NA())</f>
        <v xml:space="preserve"> </v>
      </c>
      <c r="B146" s="147" t="str">
        <f>IF(Sheet1!D$196,IF((B145&gt;=(Sheet1!D$148+$B$110)-1)," ",B145+1),NA())</f>
        <v xml:space="preserve"> </v>
      </c>
      <c r="C146" s="146" t="str">
        <f t="shared" si="4"/>
        <v xml:space="preserve"> </v>
      </c>
      <c r="D146" s="92"/>
      <c r="E146" s="92"/>
      <c r="F146" s="92"/>
      <c r="G146" s="92"/>
      <c r="H146" s="92"/>
      <c r="I146" s="92"/>
      <c r="J146" s="92"/>
      <c r="K146" s="92"/>
      <c r="L146" s="95">
        <f>IF(Sheet1!D$196,SUM(D146:K146),NA())</f>
        <v>0</v>
      </c>
      <c r="M146" s="94" t="e">
        <f>IF(Sheet1!D$196,SUM(D227:K227),NA())</f>
        <v>#VALUE!</v>
      </c>
    </row>
    <row r="147" spans="1:13" ht="13.2" x14ac:dyDescent="0.25">
      <c r="A147" s="147" t="str">
        <f>IF(Sheet1!D$196,IF((A146&gt;=(Sheet1!D$148+$A$110)-1)," ",A146+1),NA())</f>
        <v xml:space="preserve"> </v>
      </c>
      <c r="B147" s="147" t="str">
        <f>IF(Sheet1!D$196,IF((B146&gt;=(Sheet1!D$148+$B$110)-1)," ",B146+1),NA())</f>
        <v xml:space="preserve"> </v>
      </c>
      <c r="C147" s="146" t="str">
        <f t="shared" si="4"/>
        <v xml:space="preserve"> </v>
      </c>
      <c r="D147" s="92"/>
      <c r="E147" s="92"/>
      <c r="F147" s="92"/>
      <c r="G147" s="92"/>
      <c r="H147" s="92"/>
      <c r="I147" s="92"/>
      <c r="J147" s="92"/>
      <c r="K147" s="92"/>
      <c r="L147" s="95">
        <f>IF(Sheet1!D$196,SUM(D147:K147),NA())</f>
        <v>0</v>
      </c>
      <c r="M147" s="94" t="e">
        <f>IF(Sheet1!D$196,SUM(D228:K228),NA())</f>
        <v>#VALUE!</v>
      </c>
    </row>
    <row r="148" spans="1:13" ht="13.2" x14ac:dyDescent="0.25">
      <c r="A148" s="147" t="str">
        <f>IF(Sheet1!D$196,IF((A147&gt;=(Sheet1!D$148+$A$110)-1)," ",A147+1),NA())</f>
        <v xml:space="preserve"> </v>
      </c>
      <c r="B148" s="147" t="str">
        <f>IF(Sheet1!D$196,IF((B147&gt;=(Sheet1!D$148+$B$110)-1)," ",B147+1),NA())</f>
        <v xml:space="preserve"> </v>
      </c>
      <c r="C148" s="146" t="str">
        <f t="shared" si="4"/>
        <v xml:space="preserve"> </v>
      </c>
      <c r="D148" s="92"/>
      <c r="E148" s="92"/>
      <c r="F148" s="92"/>
      <c r="G148" s="92"/>
      <c r="H148" s="92"/>
      <c r="I148" s="92"/>
      <c r="J148" s="92"/>
      <c r="K148" s="92"/>
      <c r="L148" s="95">
        <f>IF(Sheet1!D$196,SUM(D148:K148),NA())</f>
        <v>0</v>
      </c>
      <c r="M148" s="94" t="e">
        <f>IF(Sheet1!D$196,SUM(D229:K229),NA())</f>
        <v>#VALUE!</v>
      </c>
    </row>
    <row r="149" spans="1:13" ht="13.2" x14ac:dyDescent="0.25">
      <c r="A149" s="147" t="str">
        <f>IF(Sheet1!D$196,IF((A148&gt;=(Sheet1!D$148+$A$110)-1)," ",A148+1),NA())</f>
        <v xml:space="preserve"> </v>
      </c>
      <c r="B149" s="147" t="str">
        <f>IF(Sheet1!D$196,IF((B148&gt;=(Sheet1!D$148+$B$110)-1)," ",B148+1),NA())</f>
        <v xml:space="preserve"> </v>
      </c>
      <c r="C149" s="146" t="str">
        <f t="shared" si="4"/>
        <v xml:space="preserve"> </v>
      </c>
      <c r="D149" s="92"/>
      <c r="E149" s="92"/>
      <c r="F149" s="92"/>
      <c r="G149" s="92"/>
      <c r="H149" s="92"/>
      <c r="I149" s="92"/>
      <c r="J149" s="92"/>
      <c r="K149" s="92"/>
      <c r="L149" s="95">
        <f>IF(Sheet1!D$196,SUM(D149:K149),NA())</f>
        <v>0</v>
      </c>
      <c r="M149" s="94" t="e">
        <f>IF(Sheet1!D$196,SUM(D230:K230),NA())</f>
        <v>#VALUE!</v>
      </c>
    </row>
    <row r="150" spans="1:13" ht="13.2" x14ac:dyDescent="0.25">
      <c r="A150" s="147" t="str">
        <f>IF(Sheet1!D$196,IF((A149&gt;=(Sheet1!D$148+$A$110)-1)," ",A149+1),NA())</f>
        <v xml:space="preserve"> </v>
      </c>
      <c r="B150" s="147" t="str">
        <f>IF(Sheet1!D$196,IF((B149&gt;=(Sheet1!D$148+$B$110)-1)," ",B149+1),NA())</f>
        <v xml:space="preserve"> </v>
      </c>
      <c r="C150" s="146" t="str">
        <f t="shared" si="4"/>
        <v xml:space="preserve"> </v>
      </c>
      <c r="D150" s="92"/>
      <c r="E150" s="92"/>
      <c r="F150" s="92"/>
      <c r="G150" s="92"/>
      <c r="H150" s="92"/>
      <c r="I150" s="92"/>
      <c r="J150" s="92"/>
      <c r="K150" s="92"/>
      <c r="L150" s="95">
        <f>IF(Sheet1!D$196,SUM(D150:K150),NA())</f>
        <v>0</v>
      </c>
      <c r="M150" s="94" t="e">
        <f>IF(Sheet1!D$196,SUM(D231:K231),NA())</f>
        <v>#VALUE!</v>
      </c>
    </row>
    <row r="151" spans="1:13" ht="13.2" x14ac:dyDescent="0.25">
      <c r="A151" s="147" t="str">
        <f>IF(Sheet1!D$196,IF((A150&gt;=(Sheet1!D$148+$A$110)-1)," ",A150+1),NA())</f>
        <v xml:space="preserve"> </v>
      </c>
      <c r="B151" s="147" t="str">
        <f>IF(Sheet1!D$196,IF((B150&gt;=(Sheet1!D$148+$B$110)-1)," ",B150+1),NA())</f>
        <v xml:space="preserve"> </v>
      </c>
      <c r="C151" s="146" t="str">
        <f t="shared" si="4"/>
        <v xml:space="preserve"> </v>
      </c>
      <c r="D151" s="92"/>
      <c r="E151" s="92"/>
      <c r="F151" s="92"/>
      <c r="G151" s="92"/>
      <c r="H151" s="92"/>
      <c r="I151" s="92"/>
      <c r="J151" s="92"/>
      <c r="K151" s="92"/>
      <c r="L151" s="95">
        <f>IF(Sheet1!D$196,SUM(D151:K151),NA())</f>
        <v>0</v>
      </c>
      <c r="M151" s="94" t="e">
        <f>IF(Sheet1!D$196,SUM(D232:K232),NA())</f>
        <v>#VALUE!</v>
      </c>
    </row>
    <row r="152" spans="1:13" ht="13.2" x14ac:dyDescent="0.25">
      <c r="A152" s="147" t="str">
        <f>IF(Sheet1!D$196,IF((A151&gt;=(Sheet1!D$148+$A$110)-1)," ",A151+1),NA())</f>
        <v xml:space="preserve"> </v>
      </c>
      <c r="B152" s="147" t="str">
        <f>IF(Sheet1!D$196,IF((B151&gt;=(Sheet1!D$148+$B$110)-1)," ",B151+1),NA())</f>
        <v xml:space="preserve"> </v>
      </c>
      <c r="C152" s="146" t="str">
        <f t="shared" si="4"/>
        <v xml:space="preserve"> </v>
      </c>
      <c r="D152" s="92"/>
      <c r="E152" s="92"/>
      <c r="F152" s="92"/>
      <c r="G152" s="92"/>
      <c r="H152" s="92"/>
      <c r="I152" s="92"/>
      <c r="J152" s="92"/>
      <c r="K152" s="92"/>
      <c r="L152" s="95">
        <f>IF(Sheet1!D$196,SUM(D152:K152),NA())</f>
        <v>0</v>
      </c>
      <c r="M152" s="94" t="e">
        <f>IF(Sheet1!D$196,SUM(D233:K233),NA())</f>
        <v>#VALUE!</v>
      </c>
    </row>
    <row r="153" spans="1:13" ht="13.2" x14ac:dyDescent="0.25">
      <c r="A153" s="147" t="str">
        <f>IF(Sheet1!D$196,IF((A152&gt;=(Sheet1!D$148+$A$110)-1)," ",A152+1),NA())</f>
        <v xml:space="preserve"> </v>
      </c>
      <c r="B153" s="147" t="str">
        <f>IF(Sheet1!D$196,IF((B152&gt;=(Sheet1!D$148+$B$110)-1)," ",B152+1),NA())</f>
        <v xml:space="preserve"> </v>
      </c>
      <c r="C153" s="146" t="str">
        <f t="shared" si="4"/>
        <v xml:space="preserve"> </v>
      </c>
      <c r="D153" s="92"/>
      <c r="E153" s="92"/>
      <c r="F153" s="92"/>
      <c r="G153" s="92"/>
      <c r="H153" s="92"/>
      <c r="I153" s="92"/>
      <c r="J153" s="92"/>
      <c r="K153" s="92"/>
      <c r="L153" s="95">
        <f>IF(Sheet1!D$196,SUM(D153:K153),NA())</f>
        <v>0</v>
      </c>
      <c r="M153" s="94" t="e">
        <f>IF(Sheet1!D$196,SUM(D234:K234),NA())</f>
        <v>#VALUE!</v>
      </c>
    </row>
    <row r="154" spans="1:13" ht="13.2" x14ac:dyDescent="0.25">
      <c r="A154" s="147" t="str">
        <f>IF(Sheet1!D$196,IF((A153&gt;=(Sheet1!D$148+$A$110)-1)," ",A153+1),NA())</f>
        <v xml:space="preserve"> </v>
      </c>
      <c r="B154" s="147" t="str">
        <f>IF(Sheet1!D$196,IF((B153&gt;=(Sheet1!D$148+$B$110)-1)," ",B153+1),NA())</f>
        <v xml:space="preserve"> </v>
      </c>
      <c r="C154" s="146" t="str">
        <f t="shared" si="4"/>
        <v xml:space="preserve"> </v>
      </c>
      <c r="D154" s="92"/>
      <c r="E154" s="92"/>
      <c r="F154" s="92"/>
      <c r="G154" s="92"/>
      <c r="H154" s="92"/>
      <c r="I154" s="92"/>
      <c r="J154" s="92"/>
      <c r="K154" s="92"/>
      <c r="L154" s="95">
        <f>IF(Sheet1!D$196,SUM(D154:K154),NA())</f>
        <v>0</v>
      </c>
      <c r="M154" s="94" t="e">
        <f>IF(Sheet1!D$196,SUM(D235:K235),NA())</f>
        <v>#VALUE!</v>
      </c>
    </row>
    <row r="155" spans="1:13" ht="13.2" x14ac:dyDescent="0.25">
      <c r="A155" s="147" t="str">
        <f>IF(Sheet1!D$196,IF((A154&gt;=(Sheet1!D$148+$A$110)-1)," ",A154+1),NA())</f>
        <v xml:space="preserve"> </v>
      </c>
      <c r="B155" s="147" t="str">
        <f>IF(Sheet1!D$196,IF((B154&gt;=(Sheet1!D$148+$B$110)-1)," ",B154+1),NA())</f>
        <v xml:space="preserve"> </v>
      </c>
      <c r="C155" s="146" t="str">
        <f t="shared" si="4"/>
        <v xml:space="preserve"> </v>
      </c>
      <c r="D155" s="92"/>
      <c r="E155" s="92"/>
      <c r="F155" s="92"/>
      <c r="G155" s="92"/>
      <c r="H155" s="92"/>
      <c r="I155" s="92"/>
      <c r="J155" s="92"/>
      <c r="K155" s="92"/>
      <c r="L155" s="95">
        <f>IF(Sheet1!D$196,SUM(D155:K155),NA())</f>
        <v>0</v>
      </c>
      <c r="M155" s="94" t="e">
        <f>IF(Sheet1!D$196,SUM(D236:K236),NA())</f>
        <v>#VALUE!</v>
      </c>
    </row>
    <row r="156" spans="1:13" ht="13.8" thickBot="1" x14ac:dyDescent="0.3">
      <c r="A156" s="147" t="str">
        <f>IF(Sheet1!D$196,IF((A155&gt;=(Sheet1!D$148+$A$110)-1)," ",A155+1),NA())</f>
        <v xml:space="preserve"> </v>
      </c>
      <c r="B156" s="147" t="str">
        <f>IF(Sheet1!D$196,IF((B155&gt;=(Sheet1!D$148+$B$110)-1)," ",B155+1),NA())</f>
        <v xml:space="preserve"> </v>
      </c>
      <c r="C156" s="146" t="str">
        <f t="shared" si="4"/>
        <v xml:space="preserve"> </v>
      </c>
      <c r="D156" s="92"/>
      <c r="E156" s="92"/>
      <c r="F156" s="92"/>
      <c r="G156" s="92"/>
      <c r="H156" s="92"/>
      <c r="I156" s="92"/>
      <c r="J156" s="92"/>
      <c r="K156" s="92"/>
      <c r="L156" s="95">
        <f>IF(Sheet1!D$196,SUM(D156:K156),NA())</f>
        <v>0</v>
      </c>
      <c r="M156" s="94" t="e">
        <f>IF(Sheet1!D$196,SUM(D237:K237),NA())</f>
        <v>#VALUE!</v>
      </c>
    </row>
    <row r="157" spans="1:13" ht="13.8" hidden="1" thickBot="1" x14ac:dyDescent="0.3">
      <c r="A157" s="147" t="str">
        <f>IF(Sheet1!D$196,IF((A156&gt;=(Sheet1!D$148+$A$110)-1)," ",A156+1),NA())</f>
        <v xml:space="preserve"> </v>
      </c>
      <c r="B157" s="147" t="str">
        <f>IF(Sheet1!D$196,IF((B156&gt;=(Sheet1!D$148+$B$110)-1)," ",B156+1),NA())</f>
        <v xml:space="preserve"> </v>
      </c>
      <c r="C157" s="146" t="str">
        <f t="shared" si="4"/>
        <v xml:space="preserve"> </v>
      </c>
      <c r="D157" s="92"/>
      <c r="E157" s="92"/>
      <c r="F157" s="92"/>
      <c r="G157" s="92"/>
      <c r="H157" s="92"/>
      <c r="I157" s="92"/>
      <c r="J157" s="92"/>
      <c r="K157" s="92"/>
      <c r="L157" s="95">
        <f>IF(Sheet1!D$196,SUM(D157:K157),NA())</f>
        <v>0</v>
      </c>
      <c r="M157" s="94" t="e">
        <f>IF(Sheet1!D$196,SUM(D238:K238),NA())</f>
        <v>#VALUE!</v>
      </c>
    </row>
    <row r="158" spans="1:13" ht="13.8" hidden="1" thickBot="1" x14ac:dyDescent="0.3">
      <c r="A158" s="147" t="str">
        <f>IF(Sheet1!D$196,IF((A157&gt;=(Sheet1!D$148+$A$110)-1)," ",A157+1),NA())</f>
        <v xml:space="preserve"> </v>
      </c>
      <c r="B158" s="147" t="str">
        <f>IF(Sheet1!D$196,IF((B157&gt;=(Sheet1!D$148+$B$110)-1)," ",B157+1),NA())</f>
        <v xml:space="preserve"> </v>
      </c>
      <c r="C158" s="146" t="str">
        <f t="shared" si="4"/>
        <v xml:space="preserve"> </v>
      </c>
      <c r="D158" s="92"/>
      <c r="E158" s="92"/>
      <c r="F158" s="92"/>
      <c r="G158" s="92"/>
      <c r="H158" s="92"/>
      <c r="I158" s="92"/>
      <c r="J158" s="92"/>
      <c r="K158" s="92"/>
      <c r="L158" s="95">
        <f>IF(Sheet1!D$196,SUM(D158:K158),NA())</f>
        <v>0</v>
      </c>
      <c r="M158" s="94" t="e">
        <f>IF(Sheet1!D$196,SUM(D239:K239),NA())</f>
        <v>#VALUE!</v>
      </c>
    </row>
    <row r="159" spans="1:13" ht="13.8" hidden="1" thickBot="1" x14ac:dyDescent="0.3">
      <c r="A159" s="147" t="str">
        <f>IF(Sheet1!D$196,IF((A158&gt;=(Sheet1!D$148+$A$110)-1)," ",A158+1),NA())</f>
        <v xml:space="preserve"> </v>
      </c>
      <c r="B159" s="147" t="str">
        <f>IF(Sheet1!D$196,IF((B158&gt;=(Sheet1!D$148+$B$110)-1)," ",B158+1),NA())</f>
        <v xml:space="preserve"> </v>
      </c>
      <c r="C159" s="146" t="str">
        <f t="shared" si="4"/>
        <v xml:space="preserve"> </v>
      </c>
      <c r="D159" s="92"/>
      <c r="E159" s="92"/>
      <c r="F159" s="92"/>
      <c r="G159" s="92"/>
      <c r="H159" s="92"/>
      <c r="I159" s="92"/>
      <c r="J159" s="92"/>
      <c r="K159" s="92"/>
      <c r="L159" s="95">
        <f>IF(Sheet1!D$196,SUM(D159:K159),NA())</f>
        <v>0</v>
      </c>
      <c r="M159" s="94" t="e">
        <f>IF(Sheet1!D$196,SUM(D240:K240),NA())</f>
        <v>#VALUE!</v>
      </c>
    </row>
    <row r="160" spans="1:13" ht="13.8" thickTop="1" x14ac:dyDescent="0.25">
      <c r="A160" s="146" t="s">
        <v>256</v>
      </c>
      <c r="B160" s="150"/>
      <c r="C160" s="150"/>
      <c r="D160" s="97">
        <f>IF(Sheet1!D$196,SUM(D110:D159),NA())</f>
        <v>0</v>
      </c>
      <c r="E160" s="168">
        <f>IF(Sheet1!D$196,SUM(E110:E159),NA())</f>
        <v>0</v>
      </c>
      <c r="F160" s="168">
        <f>IF(Sheet1!D$196,SUM(F110:F159),NA())</f>
        <v>0</v>
      </c>
      <c r="G160" s="168">
        <f>IF(Sheet1!D$196,SUM(G110:G159),NA())</f>
        <v>0</v>
      </c>
      <c r="H160" s="97">
        <f>IF(Sheet1!D$196,SUM(H110:H159),NA())</f>
        <v>0</v>
      </c>
      <c r="I160" s="97">
        <f>IF(Sheet1!D$196,SUM(I110:I159),NA())</f>
        <v>0</v>
      </c>
      <c r="J160" s="97">
        <f>IF(Sheet1!D$196,SUM(J110:J159),NA())</f>
        <v>0</v>
      </c>
      <c r="K160" s="97">
        <f>IF(Sheet1!D$196,SUM(K110:K159),NA())</f>
        <v>0</v>
      </c>
      <c r="L160" s="95">
        <f>IF(Sheet1!D$196,SUM(L110:L159),NA())</f>
        <v>0</v>
      </c>
      <c r="M160" s="95" t="e">
        <f>IF(Sheet1!D$196,SUM(M110:M159),NA())</f>
        <v>#VALUE!</v>
      </c>
    </row>
    <row r="161" spans="1:13" ht="13.2" x14ac:dyDescent="0.25">
      <c r="A161" s="146" t="s">
        <v>235</v>
      </c>
      <c r="B161" s="150"/>
      <c r="C161" s="150"/>
      <c r="D161" s="98"/>
      <c r="E161" s="99"/>
      <c r="F161" s="99"/>
      <c r="G161" s="99"/>
      <c r="H161" s="99"/>
      <c r="I161" s="99"/>
      <c r="J161" s="99"/>
      <c r="K161" s="99"/>
      <c r="L161" s="149"/>
      <c r="M161" s="127"/>
    </row>
    <row r="162" spans="1:13" ht="13.2" x14ac:dyDescent="0.25">
      <c r="A162" s="146" t="s">
        <v>255</v>
      </c>
      <c r="B162" s="150"/>
      <c r="C162" s="150"/>
      <c r="D162" s="98"/>
      <c r="E162" s="98"/>
      <c r="F162" s="98"/>
      <c r="G162" s="98"/>
      <c r="H162" s="98"/>
      <c r="I162" s="98"/>
      <c r="J162" s="98"/>
      <c r="K162" s="98"/>
      <c r="L162" s="149"/>
      <c r="M162" s="127"/>
    </row>
    <row r="163" spans="1:13" ht="13.2" x14ac:dyDescent="0.25">
      <c r="A163" s="139"/>
      <c r="B163" s="139"/>
      <c r="C163" s="139"/>
      <c r="D163" s="101"/>
      <c r="E163" s="101"/>
      <c r="F163" s="101"/>
      <c r="G163" s="101"/>
      <c r="H163" s="101"/>
      <c r="I163" s="101"/>
      <c r="J163" s="101"/>
      <c r="K163" s="101"/>
      <c r="L163" s="101"/>
      <c r="M163" s="138"/>
    </row>
    <row r="164" spans="1:13" ht="13.2" x14ac:dyDescent="0.25">
      <c r="A164" s="144" t="s">
        <v>254</v>
      </c>
      <c r="B164" s="142"/>
      <c r="C164" s="142"/>
      <c r="D164" s="101"/>
      <c r="E164" s="101"/>
      <c r="F164" s="101"/>
      <c r="G164" s="101"/>
      <c r="H164" s="101"/>
      <c r="I164" s="101"/>
      <c r="J164" s="101"/>
      <c r="K164" s="101"/>
      <c r="L164" s="101"/>
      <c r="M164" s="138"/>
    </row>
    <row r="165" spans="1:13" ht="14.25" customHeight="1" x14ac:dyDescent="0.25">
      <c r="A165" s="143" t="s">
        <v>253</v>
      </c>
      <c r="B165" s="142"/>
      <c r="C165" s="142"/>
      <c r="D165" s="101"/>
      <c r="E165" s="101"/>
      <c r="F165" s="101"/>
      <c r="G165" s="101"/>
      <c r="H165" s="101"/>
      <c r="I165" s="101"/>
      <c r="J165" s="101"/>
      <c r="K165" s="101"/>
      <c r="L165" s="101"/>
      <c r="M165" s="138"/>
    </row>
    <row r="166" spans="1:13" ht="2.25" customHeight="1" x14ac:dyDescent="0.25">
      <c r="A166" s="146"/>
      <c r="B166" s="139"/>
      <c r="C166" s="139"/>
      <c r="D166" s="101"/>
      <c r="E166" s="101"/>
      <c r="F166" s="101"/>
      <c r="G166" s="101"/>
      <c r="H166" s="101"/>
      <c r="I166" s="101"/>
      <c r="J166" s="101"/>
      <c r="K166" s="101"/>
      <c r="L166" s="101"/>
      <c r="M166" s="138"/>
    </row>
    <row r="167" spans="1:13" ht="33" customHeight="1" x14ac:dyDescent="0.25">
      <c r="A167" s="148" t="s">
        <v>229</v>
      </c>
      <c r="B167" s="148" t="s">
        <v>230</v>
      </c>
      <c r="C167" s="139"/>
      <c r="D167" s="103"/>
      <c r="E167" s="103"/>
      <c r="F167" s="103"/>
      <c r="G167" s="103"/>
      <c r="H167" s="103"/>
      <c r="I167" s="103"/>
      <c r="J167" s="103"/>
      <c r="K167" s="103"/>
      <c r="L167" s="104" t="s">
        <v>252</v>
      </c>
      <c r="M167" s="138"/>
    </row>
    <row r="168" spans="1:13" ht="13.8" thickBot="1" x14ac:dyDescent="0.3">
      <c r="A168" s="147">
        <f>IF(Sheet1!D$196,IF(Sheet1!D148=50,51,VLOOKUP(Sheet1!D148+1,Sheet1!A148:B197,2)),NA())</f>
        <v>2</v>
      </c>
      <c r="B168" s="147">
        <f>IF(Sheet1!D$196,B110+Sheet1!D148,NA())</f>
        <v>2025</v>
      </c>
      <c r="C168" s="146" t="str">
        <f>IF(AND(OR(A168=" ",A168="#NA"),OR(D168&lt;&gt;0,E168&lt;&gt;0,F168&lt;&gt;0,G168&lt;&gt;0,H168&lt;&gt;0,I168&lt;&gt;0,J168&lt;&gt;0,K168&lt;&gt;0)),"Clear=&gt;"," ")</f>
        <v xml:space="preserve"> </v>
      </c>
      <c r="D168" s="105"/>
      <c r="E168" s="105"/>
      <c r="F168" s="105"/>
      <c r="G168" s="105"/>
      <c r="H168" s="105"/>
      <c r="I168" s="105"/>
      <c r="J168" s="105"/>
      <c r="K168" s="105"/>
      <c r="L168" s="95">
        <f>IF(Sheet1!D$196,SUM(D168:K168),NA())</f>
        <v>0</v>
      </c>
      <c r="M168" s="138"/>
    </row>
    <row r="169" spans="1:13" ht="13.8" thickTop="1" x14ac:dyDescent="0.25">
      <c r="A169" s="139"/>
      <c r="B169" s="145"/>
      <c r="C169" s="139"/>
      <c r="D169" s="107"/>
      <c r="E169" s="107"/>
      <c r="F169" s="107"/>
      <c r="G169" s="107"/>
      <c r="H169" s="107"/>
      <c r="I169" s="107"/>
      <c r="J169" s="107"/>
      <c r="K169" s="107"/>
      <c r="L169" s="101"/>
      <c r="M169" s="138"/>
    </row>
    <row r="170" spans="1:13" ht="13.2" x14ac:dyDescent="0.25">
      <c r="A170" s="139"/>
      <c r="B170" s="145"/>
      <c r="C170" s="139"/>
      <c r="D170" s="101"/>
      <c r="E170" s="101"/>
      <c r="F170" s="101"/>
      <c r="G170" s="101"/>
      <c r="H170" s="101"/>
      <c r="I170" s="101"/>
      <c r="J170" s="101"/>
      <c r="K170" s="101"/>
      <c r="L170" s="101"/>
      <c r="M170" s="138"/>
    </row>
    <row r="171" spans="1:13" ht="13.2" x14ac:dyDescent="0.25">
      <c r="A171" s="144" t="s">
        <v>251</v>
      </c>
      <c r="B171" s="142"/>
      <c r="C171" s="142"/>
      <c r="D171" s="101"/>
      <c r="E171" s="101"/>
      <c r="F171" s="101"/>
      <c r="G171" s="101"/>
      <c r="H171" s="101"/>
      <c r="I171" s="101"/>
      <c r="J171" s="101"/>
      <c r="K171" s="101"/>
      <c r="L171" s="101"/>
      <c r="M171" s="138"/>
    </row>
    <row r="172" spans="1:13" ht="13.2" x14ac:dyDescent="0.25">
      <c r="A172" s="143" t="s">
        <v>250</v>
      </c>
      <c r="B172" s="142"/>
      <c r="C172" s="142"/>
      <c r="D172" s="101"/>
      <c r="E172" s="101"/>
      <c r="F172" s="101"/>
      <c r="G172" s="101"/>
      <c r="H172" s="101"/>
      <c r="I172" s="101"/>
      <c r="J172" s="101"/>
      <c r="K172" s="101"/>
      <c r="L172" s="101"/>
      <c r="M172" s="138"/>
    </row>
    <row r="173" spans="1:13" ht="4.5" customHeight="1" x14ac:dyDescent="0.25">
      <c r="A173" s="141"/>
      <c r="B173" s="139"/>
      <c r="C173" s="139"/>
      <c r="D173" s="101"/>
      <c r="E173" s="101"/>
      <c r="F173" s="101"/>
      <c r="G173" s="101"/>
      <c r="H173" s="101"/>
      <c r="I173" s="101"/>
      <c r="J173" s="101"/>
      <c r="K173" s="101"/>
      <c r="L173" s="101"/>
      <c r="M173" s="138"/>
    </row>
    <row r="174" spans="1:13" ht="13.2" x14ac:dyDescent="0.25">
      <c r="A174" s="141" t="s">
        <v>249</v>
      </c>
      <c r="B174" s="139"/>
      <c r="C174" s="139"/>
      <c r="D174" s="139" t="s">
        <v>248</v>
      </c>
      <c r="M174" s="138"/>
    </row>
    <row r="175" spans="1:13" ht="15.75" customHeight="1" x14ac:dyDescent="0.25">
      <c r="A175" s="141"/>
      <c r="B175" s="139"/>
      <c r="C175" s="139"/>
      <c r="D175" s="139" t="s">
        <v>247</v>
      </c>
      <c r="E175" s="139"/>
      <c r="F175" s="139"/>
      <c r="G175" s="139"/>
      <c r="H175" s="139"/>
      <c r="I175" s="139"/>
      <c r="J175" s="139"/>
      <c r="M175" s="138"/>
    </row>
    <row r="176" spans="1:13" ht="13.5" customHeight="1" x14ac:dyDescent="0.25">
      <c r="A176" s="141"/>
      <c r="B176" s="139"/>
      <c r="C176" s="139"/>
      <c r="D176" s="139" t="s">
        <v>246</v>
      </c>
      <c r="M176" s="138"/>
    </row>
    <row r="177" spans="1:13" ht="12.75" customHeight="1" x14ac:dyDescent="0.25">
      <c r="A177" s="141"/>
      <c r="B177" s="139"/>
      <c r="C177" s="139"/>
      <c r="D177" s="139" t="s">
        <v>245</v>
      </c>
      <c r="M177" s="138"/>
    </row>
    <row r="178" spans="1:13" ht="13.2" x14ac:dyDescent="0.25">
      <c r="A178" s="141"/>
      <c r="B178" s="139"/>
      <c r="C178" s="139"/>
      <c r="D178" s="139" t="s">
        <v>244</v>
      </c>
      <c r="M178" s="138"/>
    </row>
    <row r="179" spans="1:13" ht="13.2" x14ac:dyDescent="0.25">
      <c r="A179" s="141"/>
      <c r="B179" s="139"/>
      <c r="C179" s="139"/>
      <c r="M179" s="138"/>
    </row>
    <row r="180" spans="1:13" ht="13.2" x14ac:dyDescent="0.25">
      <c r="A180" s="141"/>
      <c r="B180" s="139"/>
      <c r="C180" s="139"/>
      <c r="M180" s="138"/>
    </row>
    <row r="181" spans="1:13" ht="13.2" x14ac:dyDescent="0.25">
      <c r="A181" s="141"/>
      <c r="B181" s="139"/>
      <c r="C181" s="139"/>
      <c r="M181" s="138"/>
    </row>
    <row r="182" spans="1:13" ht="12.75" customHeight="1" x14ac:dyDescent="0.25">
      <c r="A182" s="141"/>
      <c r="B182" s="139"/>
      <c r="C182" s="139"/>
      <c r="M182" s="138"/>
    </row>
    <row r="183" spans="1:13" ht="18" customHeight="1" x14ac:dyDescent="0.25">
      <c r="A183" s="141"/>
      <c r="B183" s="139"/>
      <c r="C183" s="139"/>
      <c r="D183" s="139"/>
      <c r="E183" s="139"/>
      <c r="F183" s="139"/>
      <c r="G183" s="139"/>
      <c r="H183" s="139"/>
      <c r="I183" s="139"/>
      <c r="J183" s="139"/>
      <c r="M183" s="138"/>
    </row>
    <row r="184" spans="1:13" ht="13.2" x14ac:dyDescent="0.25">
      <c r="A184" s="140"/>
      <c r="B184" s="74"/>
      <c r="C184" s="74"/>
      <c r="D184" s="139"/>
      <c r="E184" s="139"/>
      <c r="F184" s="139"/>
      <c r="G184" s="139"/>
      <c r="H184" s="139"/>
      <c r="I184" s="139"/>
      <c r="J184" s="139"/>
      <c r="M184" s="138"/>
    </row>
    <row r="185" spans="1:13" ht="13.2" x14ac:dyDescent="0.25">
      <c r="A185" s="140"/>
      <c r="B185" s="74"/>
      <c r="C185" s="74"/>
      <c r="D185" s="139"/>
      <c r="E185" s="139"/>
      <c r="F185" s="139"/>
      <c r="G185" s="139"/>
      <c r="H185" s="139"/>
      <c r="I185" s="139"/>
      <c r="J185" s="139"/>
      <c r="M185" s="138"/>
    </row>
    <row r="186" spans="1:13" ht="13.2" x14ac:dyDescent="0.25">
      <c r="A186" s="140"/>
      <c r="B186" s="74"/>
      <c r="C186" s="74"/>
      <c r="D186" s="139"/>
      <c r="E186" s="139"/>
      <c r="F186" s="139"/>
      <c r="G186" s="139"/>
      <c r="H186" s="139"/>
      <c r="I186" s="139"/>
      <c r="J186" s="139"/>
      <c r="M186" s="138"/>
    </row>
    <row r="187" spans="1:13" ht="13.2" x14ac:dyDescent="0.25">
      <c r="A187" s="74"/>
      <c r="B187" s="74"/>
      <c r="C187" s="74"/>
      <c r="D187" s="139"/>
      <c r="M187" s="138"/>
    </row>
    <row r="188" spans="1:13" ht="13.2" hidden="1" x14ac:dyDescent="0.25"/>
    <row r="189" spans="1:13" ht="13.2" hidden="1" x14ac:dyDescent="0.25">
      <c r="A189" s="109" t="s">
        <v>241</v>
      </c>
      <c r="B189" s="110"/>
      <c r="C189" s="110"/>
      <c r="D189" s="125"/>
      <c r="E189" s="125"/>
      <c r="F189" s="125"/>
      <c r="G189" s="125"/>
      <c r="H189" s="125"/>
      <c r="I189" s="125"/>
      <c r="J189" s="125"/>
      <c r="K189" s="124"/>
    </row>
    <row r="190" spans="1:13" ht="13.8" hidden="1" thickBot="1" x14ac:dyDescent="0.3"/>
    <row r="191" spans="1:13" ht="13.2" hidden="1" x14ac:dyDescent="0.25">
      <c r="B191" s="112">
        <f>IF(Sheet1!D$196,B110,NA())</f>
        <v>2024</v>
      </c>
      <c r="C191" s="112"/>
      <c r="D191" s="137" t="e">
        <f>IF(Sheet1!$D$196,CHOOSE(Sheet1!D$268,"",IF($C110="Clear=&gt;","",D110)),NA())</f>
        <v>#VALUE!</v>
      </c>
      <c r="E191" s="136" t="e">
        <f>IF(Sheet1!$D$196,CHOOSE(Sheet1!E$268,"",IF($C110="Clear=&gt;","",E110)),NA())</f>
        <v>#VALUE!</v>
      </c>
      <c r="F191" s="136" t="e">
        <f>IF(Sheet1!$D$196,CHOOSE(Sheet1!F$268,"",IF($C110="Clear=&gt;","",F110)),NA())</f>
        <v>#VALUE!</v>
      </c>
      <c r="G191" s="136" t="e">
        <f>IF(Sheet1!$D$196,CHOOSE(Sheet1!G$268,"",IF($C110="Clear=&gt;","",G110)),NA())</f>
        <v>#VALUE!</v>
      </c>
      <c r="H191" s="136" t="e">
        <f>IF(Sheet1!$D$196,CHOOSE(Sheet1!H$268,"",IF($C110="Clear=&gt;","",H110)),NA())</f>
        <v>#VALUE!</v>
      </c>
      <c r="I191" s="136" t="e">
        <f>IF(Sheet1!$D$196,CHOOSE(Sheet1!I$268,"",IF($C110="Clear=&gt;","",I110)),NA())</f>
        <v>#VALUE!</v>
      </c>
      <c r="J191" s="136" t="e">
        <f>IF(Sheet1!$D$196,CHOOSE(Sheet1!J$268,"",IF($C110="Clear=&gt;","",J110)),NA())</f>
        <v>#VALUE!</v>
      </c>
      <c r="K191" s="135" t="e">
        <f>IF(Sheet1!$D$196,CHOOSE(Sheet1!K$268,"",IF($C110="Clear=&gt;","",K110)),NA())</f>
        <v>#VALUE!</v>
      </c>
    </row>
    <row r="192" spans="1:13" ht="13.2" hidden="1" x14ac:dyDescent="0.25">
      <c r="B192" s="112" t="str">
        <f>IF(Sheet1!D$196,B111,NA())</f>
        <v xml:space="preserve"> </v>
      </c>
      <c r="C192" s="112"/>
      <c r="D192" s="131" t="e">
        <f>IF(Sheet1!$D$196,CHOOSE(Sheet1!D$268,"",IF($C111="Clear=&gt;","",D111)),NA())</f>
        <v>#VALUE!</v>
      </c>
      <c r="E192" s="130" t="e">
        <f>IF(Sheet1!$D$196,CHOOSE(Sheet1!E$268,"",IF($C111="Clear=&gt;","",E111)),NA())</f>
        <v>#VALUE!</v>
      </c>
      <c r="F192" s="130" t="e">
        <f>IF(Sheet1!$D$196,CHOOSE(Sheet1!F$268,"",IF($C111="Clear=&gt;","",F111)),NA())</f>
        <v>#VALUE!</v>
      </c>
      <c r="G192" s="130" t="e">
        <f>IF(Sheet1!$D$196,CHOOSE(Sheet1!G$268,"",IF($C111="Clear=&gt;","",G111)),NA())</f>
        <v>#VALUE!</v>
      </c>
      <c r="H192" s="130" t="e">
        <f>IF(Sheet1!$D$196,CHOOSE(Sheet1!H$268,"",IF($C111="Clear=&gt;","",H111)),NA())</f>
        <v>#VALUE!</v>
      </c>
      <c r="I192" s="130" t="e">
        <f>IF(Sheet1!$D$196,CHOOSE(Sheet1!I$268,"",IF($C111="Clear=&gt;","",I111)),NA())</f>
        <v>#VALUE!</v>
      </c>
      <c r="J192" s="130" t="e">
        <f>IF(Sheet1!$D$196,CHOOSE(Sheet1!J$268,"",IF($C111="Clear=&gt;","",J111)),NA())</f>
        <v>#VALUE!</v>
      </c>
      <c r="K192" s="129" t="e">
        <f>IF(Sheet1!$D$196,CHOOSE(Sheet1!K$268,"",IF($C111="Clear=&gt;","",K111)),NA())</f>
        <v>#VALUE!</v>
      </c>
    </row>
    <row r="193" spans="2:11" ht="13.2" hidden="1" x14ac:dyDescent="0.25">
      <c r="B193" s="112" t="str">
        <f>IF(Sheet1!D$196,B112,NA())</f>
        <v xml:space="preserve"> </v>
      </c>
      <c r="C193" s="112"/>
      <c r="D193" s="131" t="e">
        <f>IF(Sheet1!$D$196,CHOOSE(Sheet1!D$268,"",IF($C112="Clear=&gt;","",D112)),NA())</f>
        <v>#VALUE!</v>
      </c>
      <c r="E193" s="130" t="e">
        <f>IF(Sheet1!$D$196,CHOOSE(Sheet1!E$268,"",IF($C112="Clear=&gt;","",E112)),NA())</f>
        <v>#VALUE!</v>
      </c>
      <c r="F193" s="130" t="e">
        <f>IF(Sheet1!$D$196,CHOOSE(Sheet1!F$268,"",IF($C112="Clear=&gt;","",F112)),NA())</f>
        <v>#VALUE!</v>
      </c>
      <c r="G193" s="130" t="e">
        <f>IF(Sheet1!$D$196,CHOOSE(Sheet1!G$268,"",IF($C112="Clear=&gt;","",G112)),NA())</f>
        <v>#VALUE!</v>
      </c>
      <c r="H193" s="130" t="e">
        <f>IF(Sheet1!$D$196,CHOOSE(Sheet1!H$268,"",IF($C112="Clear=&gt;","",H112)),NA())</f>
        <v>#VALUE!</v>
      </c>
      <c r="I193" s="130" t="e">
        <f>IF(Sheet1!$D$196,CHOOSE(Sheet1!I$268,"",IF($C112="Clear=&gt;","",I112)),NA())</f>
        <v>#VALUE!</v>
      </c>
      <c r="J193" s="130" t="e">
        <f>IF(Sheet1!$D$196,CHOOSE(Sheet1!J$268,"",IF($C112="Clear=&gt;","",J112)),NA())</f>
        <v>#VALUE!</v>
      </c>
      <c r="K193" s="129" t="e">
        <f>IF(Sheet1!$D$196,CHOOSE(Sheet1!K$268,"",IF($C112="Clear=&gt;","",K112)),NA())</f>
        <v>#VALUE!</v>
      </c>
    </row>
    <row r="194" spans="2:11" ht="13.2" hidden="1" x14ac:dyDescent="0.25">
      <c r="B194" s="112" t="str">
        <f>IF(Sheet1!D$196,B113,NA())</f>
        <v xml:space="preserve"> </v>
      </c>
      <c r="C194" s="112"/>
      <c r="D194" s="131" t="e">
        <f>IF(Sheet1!$D$196,CHOOSE(Sheet1!D$268,"",IF($C113="Clear=&gt;","",D113)),NA())</f>
        <v>#VALUE!</v>
      </c>
      <c r="E194" s="130" t="e">
        <f>IF(Sheet1!$D$196,CHOOSE(Sheet1!E$268,"",IF($C113="Clear=&gt;","",E113)),NA())</f>
        <v>#VALUE!</v>
      </c>
      <c r="F194" s="130" t="e">
        <f>IF(Sheet1!$D$196,CHOOSE(Sheet1!F$268,"",IF($C113="Clear=&gt;","",F113)),NA())</f>
        <v>#VALUE!</v>
      </c>
      <c r="G194" s="130" t="e">
        <f>IF(Sheet1!$D$196,CHOOSE(Sheet1!G$268,"",IF($C113="Clear=&gt;","",G113)),NA())</f>
        <v>#VALUE!</v>
      </c>
      <c r="H194" s="130" t="e">
        <f>IF(Sheet1!$D$196,CHOOSE(Sheet1!H$268,"",IF($C113="Clear=&gt;","",H113)),NA())</f>
        <v>#VALUE!</v>
      </c>
      <c r="I194" s="130" t="e">
        <f>IF(Sheet1!$D$196,CHOOSE(Sheet1!I$268,"",IF($C113="Clear=&gt;","",I113)),NA())</f>
        <v>#VALUE!</v>
      </c>
      <c r="J194" s="130" t="e">
        <f>IF(Sheet1!$D$196,CHOOSE(Sheet1!J$268,"",IF($C113="Clear=&gt;","",J113)),NA())</f>
        <v>#VALUE!</v>
      </c>
      <c r="K194" s="129" t="e">
        <f>IF(Sheet1!$D$196,CHOOSE(Sheet1!K$268,"",IF($C113="Clear=&gt;","",K113)),NA())</f>
        <v>#VALUE!</v>
      </c>
    </row>
    <row r="195" spans="2:11" ht="13.2" hidden="1" x14ac:dyDescent="0.25">
      <c r="B195" s="112" t="str">
        <f>IF(Sheet1!D$196,B114,NA())</f>
        <v xml:space="preserve"> </v>
      </c>
      <c r="C195" s="112"/>
      <c r="D195" s="131" t="e">
        <f>IF(Sheet1!$D$196,CHOOSE(Sheet1!D$268,"",IF($C114="Clear=&gt;","",D114)),NA())</f>
        <v>#VALUE!</v>
      </c>
      <c r="E195" s="130" t="e">
        <f>IF(Sheet1!$D$196,CHOOSE(Sheet1!E$268,"",IF($C114="Clear=&gt;","",E114)),NA())</f>
        <v>#VALUE!</v>
      </c>
      <c r="F195" s="130" t="e">
        <f>IF(Sheet1!$D$196,CHOOSE(Sheet1!F$268,"",IF($C114="Clear=&gt;","",F114)),NA())</f>
        <v>#VALUE!</v>
      </c>
      <c r="G195" s="130" t="e">
        <f>IF(Sheet1!$D$196,CHOOSE(Sheet1!G$268,"",IF($C114="Clear=&gt;","",G114)),NA())</f>
        <v>#VALUE!</v>
      </c>
      <c r="H195" s="130" t="e">
        <f>IF(Sheet1!$D$196,CHOOSE(Sheet1!H$268,"",IF($C114="Clear=&gt;","",H114)),NA())</f>
        <v>#VALUE!</v>
      </c>
      <c r="I195" s="130" t="e">
        <f>IF(Sheet1!$D$196,CHOOSE(Sheet1!I$268,"",IF($C114="Clear=&gt;","",I114)),NA())</f>
        <v>#VALUE!</v>
      </c>
      <c r="J195" s="130" t="e">
        <f>IF(Sheet1!$D$196,CHOOSE(Sheet1!J$268,"",IF($C114="Clear=&gt;","",J114)),NA())</f>
        <v>#VALUE!</v>
      </c>
      <c r="K195" s="129" t="e">
        <f>IF(Sheet1!$D$196,CHOOSE(Sheet1!K$268,"",IF($C114="Clear=&gt;","",K114)),NA())</f>
        <v>#VALUE!</v>
      </c>
    </row>
    <row r="196" spans="2:11" ht="13.2" hidden="1" x14ac:dyDescent="0.25">
      <c r="B196" s="112" t="str">
        <f>IF(Sheet1!D$196,B115,NA())</f>
        <v xml:space="preserve"> </v>
      </c>
      <c r="C196" s="112"/>
      <c r="D196" s="131" t="e">
        <f>IF(Sheet1!$D$196,CHOOSE(Sheet1!D$268,"",IF($C115="Clear=&gt;","",D115)),NA())</f>
        <v>#VALUE!</v>
      </c>
      <c r="E196" s="130" t="e">
        <f>IF(Sheet1!$D$196,CHOOSE(Sheet1!E$268,"",IF($C115="Clear=&gt;","",E115)),NA())</f>
        <v>#VALUE!</v>
      </c>
      <c r="F196" s="130" t="e">
        <f>IF(Sheet1!$D$196,CHOOSE(Sheet1!F$268,"",IF($C115="Clear=&gt;","",F115)),NA())</f>
        <v>#VALUE!</v>
      </c>
      <c r="G196" s="130" t="e">
        <f>IF(Sheet1!$D$196,CHOOSE(Sheet1!G$268,"",IF($C115="Clear=&gt;","",G115)),NA())</f>
        <v>#VALUE!</v>
      </c>
      <c r="H196" s="130" t="e">
        <f>IF(Sheet1!$D$196,CHOOSE(Sheet1!H$268,"",IF($C115="Clear=&gt;","",H115)),NA())</f>
        <v>#VALUE!</v>
      </c>
      <c r="I196" s="130" t="e">
        <f>IF(Sheet1!$D$196,CHOOSE(Sheet1!I$268,"",IF($C115="Clear=&gt;","",I115)),NA())</f>
        <v>#VALUE!</v>
      </c>
      <c r="J196" s="130" t="e">
        <f>IF(Sheet1!$D$196,CHOOSE(Sheet1!J$268,"",IF($C115="Clear=&gt;","",J115)),NA())</f>
        <v>#VALUE!</v>
      </c>
      <c r="K196" s="129" t="e">
        <f>IF(Sheet1!$D$196,CHOOSE(Sheet1!K$268,"",IF($C115="Clear=&gt;","",K115)),NA())</f>
        <v>#VALUE!</v>
      </c>
    </row>
    <row r="197" spans="2:11" ht="13.2" hidden="1" x14ac:dyDescent="0.25">
      <c r="B197" s="112" t="str">
        <f>IF(Sheet1!D$196,B116,NA())</f>
        <v xml:space="preserve"> </v>
      </c>
      <c r="C197" s="112"/>
      <c r="D197" s="131" t="e">
        <f>IF(Sheet1!$D$196,CHOOSE(Sheet1!D$268,"",IF($C116="Clear=&gt;","",D116)),NA())</f>
        <v>#VALUE!</v>
      </c>
      <c r="E197" s="130" t="e">
        <f>IF(Sheet1!$D$196,CHOOSE(Sheet1!E$268,"",IF($C116="Clear=&gt;","",E116)),NA())</f>
        <v>#VALUE!</v>
      </c>
      <c r="F197" s="130" t="e">
        <f>IF(Sheet1!$D$196,CHOOSE(Sheet1!F$268,"",IF($C116="Clear=&gt;","",F116)),NA())</f>
        <v>#VALUE!</v>
      </c>
      <c r="G197" s="130" t="e">
        <f>IF(Sheet1!$D$196,CHOOSE(Sheet1!G$268,"",IF($C116="Clear=&gt;","",G116)),NA())</f>
        <v>#VALUE!</v>
      </c>
      <c r="H197" s="130" t="e">
        <f>IF(Sheet1!$D$196,CHOOSE(Sheet1!H$268,"",IF($C116="Clear=&gt;","",H116)),NA())</f>
        <v>#VALUE!</v>
      </c>
      <c r="I197" s="130" t="e">
        <f>IF(Sheet1!$D$196,CHOOSE(Sheet1!I$268,"",IF($C116="Clear=&gt;","",I116)),NA())</f>
        <v>#VALUE!</v>
      </c>
      <c r="J197" s="130" t="e">
        <f>IF(Sheet1!$D$196,CHOOSE(Sheet1!J$268,"",IF($C116="Clear=&gt;","",J116)),NA())</f>
        <v>#VALUE!</v>
      </c>
      <c r="K197" s="129" t="e">
        <f>IF(Sheet1!$D$196,CHOOSE(Sheet1!K$268,"",IF($C116="Clear=&gt;","",K116)),NA())</f>
        <v>#VALUE!</v>
      </c>
    </row>
    <row r="198" spans="2:11" ht="13.2" hidden="1" x14ac:dyDescent="0.25">
      <c r="B198" s="112" t="str">
        <f>IF(Sheet1!D$196,B117,NA())</f>
        <v xml:space="preserve"> </v>
      </c>
      <c r="C198" s="112"/>
      <c r="D198" s="131" t="e">
        <f>IF(Sheet1!$D$196,CHOOSE(Sheet1!D$268,"",IF($C117="Clear=&gt;","",D117)),NA())</f>
        <v>#VALUE!</v>
      </c>
      <c r="E198" s="130" t="e">
        <f>IF(Sheet1!$D$196,CHOOSE(Sheet1!E$268,"",IF($C117="Clear=&gt;","",E117)),NA())</f>
        <v>#VALUE!</v>
      </c>
      <c r="F198" s="130" t="e">
        <f>IF(Sheet1!$D$196,CHOOSE(Sheet1!F$268,"",IF($C117="Clear=&gt;","",F117)),NA())</f>
        <v>#VALUE!</v>
      </c>
      <c r="G198" s="130" t="e">
        <f>IF(Sheet1!$D$196,CHOOSE(Sheet1!G$268,"",IF($C117="Clear=&gt;","",G117)),NA())</f>
        <v>#VALUE!</v>
      </c>
      <c r="H198" s="130" t="e">
        <f>IF(Sheet1!$D$196,CHOOSE(Sheet1!H$268,"",IF($C117="Clear=&gt;","",H117)),NA())</f>
        <v>#VALUE!</v>
      </c>
      <c r="I198" s="130" t="e">
        <f>IF(Sheet1!$D$196,CHOOSE(Sheet1!I$268,"",IF($C117="Clear=&gt;","",I117)),NA())</f>
        <v>#VALUE!</v>
      </c>
      <c r="J198" s="130" t="e">
        <f>IF(Sheet1!$D$196,CHOOSE(Sheet1!J$268,"",IF($C117="Clear=&gt;","",J117)),NA())</f>
        <v>#VALUE!</v>
      </c>
      <c r="K198" s="129" t="e">
        <f>IF(Sheet1!$D$196,CHOOSE(Sheet1!K$268,"",IF($C117="Clear=&gt;","",K117)),NA())</f>
        <v>#VALUE!</v>
      </c>
    </row>
    <row r="199" spans="2:11" ht="13.2" hidden="1" x14ac:dyDescent="0.25">
      <c r="B199" s="112" t="str">
        <f>IF(Sheet1!D$196,B118,NA())</f>
        <v xml:space="preserve"> </v>
      </c>
      <c r="C199" s="112"/>
      <c r="D199" s="131" t="e">
        <f>IF(Sheet1!$D$196,CHOOSE(Sheet1!D$268,"",IF($C118="Clear=&gt;","",D118)),NA())</f>
        <v>#VALUE!</v>
      </c>
      <c r="E199" s="130" t="e">
        <f>IF(Sheet1!$D$196,CHOOSE(Sheet1!E$268,"",IF($C118="Clear=&gt;","",E118)),NA())</f>
        <v>#VALUE!</v>
      </c>
      <c r="F199" s="130" t="e">
        <f>IF(Sheet1!$D$196,CHOOSE(Sheet1!F$268,"",IF($C118="Clear=&gt;","",F118)),NA())</f>
        <v>#VALUE!</v>
      </c>
      <c r="G199" s="130" t="e">
        <f>IF(Sheet1!$D$196,CHOOSE(Sheet1!G$268,"",IF($C118="Clear=&gt;","",G118)),NA())</f>
        <v>#VALUE!</v>
      </c>
      <c r="H199" s="130" t="e">
        <f>IF(Sheet1!$D$196,CHOOSE(Sheet1!H$268,"",IF($C118="Clear=&gt;","",H118)),NA())</f>
        <v>#VALUE!</v>
      </c>
      <c r="I199" s="130" t="e">
        <f>IF(Sheet1!$D$196,CHOOSE(Sheet1!I$268,"",IF($C118="Clear=&gt;","",I118)),NA())</f>
        <v>#VALUE!</v>
      </c>
      <c r="J199" s="130" t="e">
        <f>IF(Sheet1!$D$196,CHOOSE(Sheet1!J$268,"",IF($C118="Clear=&gt;","",J118)),NA())</f>
        <v>#VALUE!</v>
      </c>
      <c r="K199" s="129" t="e">
        <f>IF(Sheet1!$D$196,CHOOSE(Sheet1!K$268,"",IF($C118="Clear=&gt;","",K118)),NA())</f>
        <v>#VALUE!</v>
      </c>
    </row>
    <row r="200" spans="2:11" ht="13.2" hidden="1" x14ac:dyDescent="0.25">
      <c r="B200" s="112" t="str">
        <f>IF(Sheet1!D$196,B119,NA())</f>
        <v xml:space="preserve"> </v>
      </c>
      <c r="C200" s="112"/>
      <c r="D200" s="131" t="e">
        <f>IF(Sheet1!$D$196,CHOOSE(Sheet1!D$268,"",IF($C119="Clear=&gt;","",D119)),NA())</f>
        <v>#VALUE!</v>
      </c>
      <c r="E200" s="130" t="e">
        <f>IF(Sheet1!$D$196,CHOOSE(Sheet1!E$268,"",IF($C119="Clear=&gt;","",E119)),NA())</f>
        <v>#VALUE!</v>
      </c>
      <c r="F200" s="130" t="e">
        <f>IF(Sheet1!$D$196,CHOOSE(Sheet1!F$268,"",IF($C119="Clear=&gt;","",F119)),NA())</f>
        <v>#VALUE!</v>
      </c>
      <c r="G200" s="130" t="e">
        <f>IF(Sheet1!$D$196,CHOOSE(Sheet1!G$268,"",IF($C119="Clear=&gt;","",G119)),NA())</f>
        <v>#VALUE!</v>
      </c>
      <c r="H200" s="130" t="e">
        <f>IF(Sheet1!$D$196,CHOOSE(Sheet1!H$268,"",IF($C119="Clear=&gt;","",H119)),NA())</f>
        <v>#VALUE!</v>
      </c>
      <c r="I200" s="130" t="e">
        <f>IF(Sheet1!$D$196,CHOOSE(Sheet1!I$268,"",IF($C119="Clear=&gt;","",I119)),NA())</f>
        <v>#VALUE!</v>
      </c>
      <c r="J200" s="130" t="e">
        <f>IF(Sheet1!$D$196,CHOOSE(Sheet1!J$268,"",IF($C119="Clear=&gt;","",J119)),NA())</f>
        <v>#VALUE!</v>
      </c>
      <c r="K200" s="129" t="e">
        <f>IF(Sheet1!$D$196,CHOOSE(Sheet1!K$268,"",IF($C119="Clear=&gt;","",K119)),NA())</f>
        <v>#VALUE!</v>
      </c>
    </row>
    <row r="201" spans="2:11" ht="13.2" hidden="1" x14ac:dyDescent="0.25">
      <c r="B201" s="112" t="str">
        <f>IF(Sheet1!D$196,B120,NA())</f>
        <v xml:space="preserve"> </v>
      </c>
      <c r="C201" s="112"/>
      <c r="D201" s="131" t="e">
        <f>IF(Sheet1!$D$196,CHOOSE(Sheet1!D$268,"",IF($C120="Clear=&gt;","",D120)),NA())</f>
        <v>#VALUE!</v>
      </c>
      <c r="E201" s="130" t="e">
        <f>IF(Sheet1!$D$196,CHOOSE(Sheet1!E$268,"",IF($C120="Clear=&gt;","",E120)),NA())</f>
        <v>#VALUE!</v>
      </c>
      <c r="F201" s="130" t="e">
        <f>IF(Sheet1!$D$196,CHOOSE(Sheet1!F$268,"",IF($C120="Clear=&gt;","",F120)),NA())</f>
        <v>#VALUE!</v>
      </c>
      <c r="G201" s="130" t="e">
        <f>IF(Sheet1!$D$196,CHOOSE(Sheet1!G$268,"",IF($C120="Clear=&gt;","",G120)),NA())</f>
        <v>#VALUE!</v>
      </c>
      <c r="H201" s="130" t="e">
        <f>IF(Sheet1!$D$196,CHOOSE(Sheet1!H$268,"",IF($C120="Clear=&gt;","",H120)),NA())</f>
        <v>#VALUE!</v>
      </c>
      <c r="I201" s="130" t="e">
        <f>IF(Sheet1!$D$196,CHOOSE(Sheet1!I$268,"",IF($C120="Clear=&gt;","",I120)),NA())</f>
        <v>#VALUE!</v>
      </c>
      <c r="J201" s="130" t="e">
        <f>IF(Sheet1!$D$196,CHOOSE(Sheet1!J$268,"",IF($C120="Clear=&gt;","",J120)),NA())</f>
        <v>#VALUE!</v>
      </c>
      <c r="K201" s="129" t="e">
        <f>IF(Sheet1!$D$196,CHOOSE(Sheet1!K$268,"",IF($C120="Clear=&gt;","",K120)),NA())</f>
        <v>#VALUE!</v>
      </c>
    </row>
    <row r="202" spans="2:11" ht="13.2" hidden="1" x14ac:dyDescent="0.25">
      <c r="B202" s="112" t="str">
        <f>IF(Sheet1!D$196,B121,NA())</f>
        <v xml:space="preserve"> </v>
      </c>
      <c r="C202" s="112"/>
      <c r="D202" s="131" t="e">
        <f>IF(Sheet1!$D$196,CHOOSE(Sheet1!D$268,"",IF($C121="Clear=&gt;","",D121)),NA())</f>
        <v>#VALUE!</v>
      </c>
      <c r="E202" s="130" t="e">
        <f>IF(Sheet1!$D$196,CHOOSE(Sheet1!E$268,"",IF($C121="Clear=&gt;","",E121)),NA())</f>
        <v>#VALUE!</v>
      </c>
      <c r="F202" s="130" t="e">
        <f>IF(Sheet1!$D$196,CHOOSE(Sheet1!F$268,"",IF($C121="Clear=&gt;","",F121)),NA())</f>
        <v>#VALUE!</v>
      </c>
      <c r="G202" s="130" t="e">
        <f>IF(Sheet1!$D$196,CHOOSE(Sheet1!G$268,"",IF($C121="Clear=&gt;","",G121)),NA())</f>
        <v>#VALUE!</v>
      </c>
      <c r="H202" s="130" t="e">
        <f>IF(Sheet1!$D$196,CHOOSE(Sheet1!H$268,"",IF($C121="Clear=&gt;","",H121)),NA())</f>
        <v>#VALUE!</v>
      </c>
      <c r="I202" s="130" t="e">
        <f>IF(Sheet1!$D$196,CHOOSE(Sheet1!I$268,"",IF($C121="Clear=&gt;","",I121)),NA())</f>
        <v>#VALUE!</v>
      </c>
      <c r="J202" s="130" t="e">
        <f>IF(Sheet1!$D$196,CHOOSE(Sheet1!J$268,"",IF($C121="Clear=&gt;","",J121)),NA())</f>
        <v>#VALUE!</v>
      </c>
      <c r="K202" s="129" t="e">
        <f>IF(Sheet1!$D$196,CHOOSE(Sheet1!K$268,"",IF($C121="Clear=&gt;","",K121)),NA())</f>
        <v>#VALUE!</v>
      </c>
    </row>
    <row r="203" spans="2:11" ht="13.2" hidden="1" x14ac:dyDescent="0.25">
      <c r="B203" s="112" t="str">
        <f>IF(Sheet1!D$196,B122,NA())</f>
        <v xml:space="preserve"> </v>
      </c>
      <c r="C203" s="112"/>
      <c r="D203" s="131" t="e">
        <f>IF(Sheet1!$D$196,CHOOSE(Sheet1!D$268,"",IF($C122="Clear=&gt;","",D122)),NA())</f>
        <v>#VALUE!</v>
      </c>
      <c r="E203" s="130" t="e">
        <f>IF(Sheet1!$D$196,CHOOSE(Sheet1!E$268,"",IF($C122="Clear=&gt;","",E122)),NA())</f>
        <v>#VALUE!</v>
      </c>
      <c r="F203" s="130" t="e">
        <f>IF(Sheet1!$D$196,CHOOSE(Sheet1!F$268,"",IF($C122="Clear=&gt;","",F122)),NA())</f>
        <v>#VALUE!</v>
      </c>
      <c r="G203" s="130" t="e">
        <f>IF(Sheet1!$D$196,CHOOSE(Sheet1!G$268,"",IF($C122="Clear=&gt;","",G122)),NA())</f>
        <v>#VALUE!</v>
      </c>
      <c r="H203" s="130" t="e">
        <f>IF(Sheet1!$D$196,CHOOSE(Sheet1!H$268,"",IF($C122="Clear=&gt;","",H122)),NA())</f>
        <v>#VALUE!</v>
      </c>
      <c r="I203" s="130" t="e">
        <f>IF(Sheet1!$D$196,CHOOSE(Sheet1!I$268,"",IF($C122="Clear=&gt;","",I122)),NA())</f>
        <v>#VALUE!</v>
      </c>
      <c r="J203" s="130" t="e">
        <f>IF(Sheet1!$D$196,CHOOSE(Sheet1!J$268,"",IF($C122="Clear=&gt;","",J122)),NA())</f>
        <v>#VALUE!</v>
      </c>
      <c r="K203" s="129" t="e">
        <f>IF(Sheet1!$D$196,CHOOSE(Sheet1!K$268,"",IF($C122="Clear=&gt;","",K122)),NA())</f>
        <v>#VALUE!</v>
      </c>
    </row>
    <row r="204" spans="2:11" ht="13.2" hidden="1" x14ac:dyDescent="0.25">
      <c r="B204" s="112" t="str">
        <f>IF(Sheet1!D$196,B123,NA())</f>
        <v xml:space="preserve"> </v>
      </c>
      <c r="C204" s="112"/>
      <c r="D204" s="131" t="e">
        <f>IF(Sheet1!$D$196,CHOOSE(Sheet1!D$268,"",IF($C123="Clear=&gt;","",D123)),NA())</f>
        <v>#VALUE!</v>
      </c>
      <c r="E204" s="130" t="e">
        <f>IF(Sheet1!$D$196,CHOOSE(Sheet1!E$268,"",IF($C123="Clear=&gt;","",E123)),NA())</f>
        <v>#VALUE!</v>
      </c>
      <c r="F204" s="130" t="e">
        <f>IF(Sheet1!$D$196,CHOOSE(Sheet1!F$268,"",IF($C123="Clear=&gt;","",F123)),NA())</f>
        <v>#VALUE!</v>
      </c>
      <c r="G204" s="130" t="e">
        <f>IF(Sheet1!$D$196,CHOOSE(Sheet1!G$268,"",IF($C123="Clear=&gt;","",G123)),NA())</f>
        <v>#VALUE!</v>
      </c>
      <c r="H204" s="130" t="e">
        <f>IF(Sheet1!$D$196,CHOOSE(Sheet1!H$268,"",IF($C123="Clear=&gt;","",H123)),NA())</f>
        <v>#VALUE!</v>
      </c>
      <c r="I204" s="130" t="e">
        <f>IF(Sheet1!$D$196,CHOOSE(Sheet1!I$268,"",IF($C123="Clear=&gt;","",I123)),NA())</f>
        <v>#VALUE!</v>
      </c>
      <c r="J204" s="130" t="e">
        <f>IF(Sheet1!$D$196,CHOOSE(Sheet1!J$268,"",IF($C123="Clear=&gt;","",J123)),NA())</f>
        <v>#VALUE!</v>
      </c>
      <c r="K204" s="129" t="e">
        <f>IF(Sheet1!$D$196,CHOOSE(Sheet1!K$268,"",IF($C123="Clear=&gt;","",K123)),NA())</f>
        <v>#VALUE!</v>
      </c>
    </row>
    <row r="205" spans="2:11" ht="13.2" hidden="1" x14ac:dyDescent="0.25">
      <c r="B205" s="112" t="str">
        <f>IF(Sheet1!D$196,B124,NA())</f>
        <v xml:space="preserve"> </v>
      </c>
      <c r="C205" s="112"/>
      <c r="D205" s="131" t="e">
        <f>IF(Sheet1!$D$196,CHOOSE(Sheet1!D$268,"",IF($C124="Clear=&gt;","",D124)),NA())</f>
        <v>#VALUE!</v>
      </c>
      <c r="E205" s="130" t="e">
        <f>IF(Sheet1!$D$196,CHOOSE(Sheet1!E$268,"",IF($C124="Clear=&gt;","",E124)),NA())</f>
        <v>#VALUE!</v>
      </c>
      <c r="F205" s="130" t="e">
        <f>IF(Sheet1!$D$196,CHOOSE(Sheet1!F$268,"",IF($C124="Clear=&gt;","",F124)),NA())</f>
        <v>#VALUE!</v>
      </c>
      <c r="G205" s="130" t="e">
        <f>IF(Sheet1!$D$196,CHOOSE(Sheet1!G$268,"",IF($C124="Clear=&gt;","",G124)),NA())</f>
        <v>#VALUE!</v>
      </c>
      <c r="H205" s="130" t="e">
        <f>IF(Sheet1!$D$196,CHOOSE(Sheet1!H$268,"",IF($C124="Clear=&gt;","",H124)),NA())</f>
        <v>#VALUE!</v>
      </c>
      <c r="I205" s="130" t="e">
        <f>IF(Sheet1!$D$196,CHOOSE(Sheet1!I$268,"",IF($C124="Clear=&gt;","",I124)),NA())</f>
        <v>#VALUE!</v>
      </c>
      <c r="J205" s="130" t="e">
        <f>IF(Sheet1!$D$196,CHOOSE(Sheet1!J$268,"",IF($C124="Clear=&gt;","",J124)),NA())</f>
        <v>#VALUE!</v>
      </c>
      <c r="K205" s="129" t="e">
        <f>IF(Sheet1!$D$196,CHOOSE(Sheet1!K$268,"",IF($C124="Clear=&gt;","",K124)),NA())</f>
        <v>#VALUE!</v>
      </c>
    </row>
    <row r="206" spans="2:11" ht="13.2" hidden="1" x14ac:dyDescent="0.25">
      <c r="B206" s="112" t="str">
        <f>IF(Sheet1!D$196,B125,NA())</f>
        <v xml:space="preserve"> </v>
      </c>
      <c r="C206" s="112"/>
      <c r="D206" s="131" t="e">
        <f>IF(Sheet1!$D$196,CHOOSE(Sheet1!D$268,"",IF($C125="Clear=&gt;","",D125)),NA())</f>
        <v>#VALUE!</v>
      </c>
      <c r="E206" s="130" t="e">
        <f>IF(Sheet1!$D$196,CHOOSE(Sheet1!E$268,"",IF($C125="Clear=&gt;","",E125)),NA())</f>
        <v>#VALUE!</v>
      </c>
      <c r="F206" s="130" t="e">
        <f>IF(Sheet1!$D$196,CHOOSE(Sheet1!F$268,"",IF($C125="Clear=&gt;","",F125)),NA())</f>
        <v>#VALUE!</v>
      </c>
      <c r="G206" s="130" t="e">
        <f>IF(Sheet1!$D$196,CHOOSE(Sheet1!G$268,"",IF($C125="Clear=&gt;","",G125)),NA())</f>
        <v>#VALUE!</v>
      </c>
      <c r="H206" s="130" t="e">
        <f>IF(Sheet1!$D$196,CHOOSE(Sheet1!H$268,"",IF($C125="Clear=&gt;","",H125)),NA())</f>
        <v>#VALUE!</v>
      </c>
      <c r="I206" s="130" t="e">
        <f>IF(Sheet1!$D$196,CHOOSE(Sheet1!I$268,"",IF($C125="Clear=&gt;","",I125)),NA())</f>
        <v>#VALUE!</v>
      </c>
      <c r="J206" s="130" t="e">
        <f>IF(Sheet1!$D$196,CHOOSE(Sheet1!J$268,"",IF($C125="Clear=&gt;","",J125)),NA())</f>
        <v>#VALUE!</v>
      </c>
      <c r="K206" s="129" t="e">
        <f>IF(Sheet1!$D$196,CHOOSE(Sheet1!K$268,"",IF($C125="Clear=&gt;","",K125)),NA())</f>
        <v>#VALUE!</v>
      </c>
    </row>
    <row r="207" spans="2:11" ht="13.2" hidden="1" x14ac:dyDescent="0.25">
      <c r="B207" s="112" t="str">
        <f>IF(Sheet1!D$196,B126,NA())</f>
        <v xml:space="preserve"> </v>
      </c>
      <c r="C207" s="112"/>
      <c r="D207" s="131" t="e">
        <f>IF(Sheet1!$D$196,CHOOSE(Sheet1!D$268,"",IF($C126="Clear=&gt;","",D126)),NA())</f>
        <v>#VALUE!</v>
      </c>
      <c r="E207" s="130" t="e">
        <f>IF(Sheet1!$D$196,CHOOSE(Sheet1!E$268,"",IF($C126="Clear=&gt;","",E126)),NA())</f>
        <v>#VALUE!</v>
      </c>
      <c r="F207" s="130" t="e">
        <f>IF(Sheet1!$D$196,CHOOSE(Sheet1!F$268,"",IF($C126="Clear=&gt;","",F126)),NA())</f>
        <v>#VALUE!</v>
      </c>
      <c r="G207" s="130" t="e">
        <f>IF(Sheet1!$D$196,CHOOSE(Sheet1!G$268,"",IF($C126="Clear=&gt;","",G126)),NA())</f>
        <v>#VALUE!</v>
      </c>
      <c r="H207" s="130" t="e">
        <f>IF(Sheet1!$D$196,CHOOSE(Sheet1!H$268,"",IF($C126="Clear=&gt;","",H126)),NA())</f>
        <v>#VALUE!</v>
      </c>
      <c r="I207" s="130" t="e">
        <f>IF(Sheet1!$D$196,CHOOSE(Sheet1!I$268,"",IF($C126="Clear=&gt;","",I126)),NA())</f>
        <v>#VALUE!</v>
      </c>
      <c r="J207" s="130" t="e">
        <f>IF(Sheet1!$D$196,CHOOSE(Sheet1!J$268,"",IF($C126="Clear=&gt;","",J126)),NA())</f>
        <v>#VALUE!</v>
      </c>
      <c r="K207" s="129" t="e">
        <f>IF(Sheet1!$D$196,CHOOSE(Sheet1!K$268,"",IF($C126="Clear=&gt;","",K126)),NA())</f>
        <v>#VALUE!</v>
      </c>
    </row>
    <row r="208" spans="2:11" ht="13.2" hidden="1" x14ac:dyDescent="0.25">
      <c r="B208" s="112" t="str">
        <f>IF(Sheet1!D$196,B127,NA())</f>
        <v xml:space="preserve"> </v>
      </c>
      <c r="C208" s="112"/>
      <c r="D208" s="131" t="e">
        <f>IF(Sheet1!$D$196,CHOOSE(Sheet1!D$268,"",IF($C127="Clear=&gt;","",D127)),NA())</f>
        <v>#VALUE!</v>
      </c>
      <c r="E208" s="130" t="e">
        <f>IF(Sheet1!$D$196,CHOOSE(Sheet1!E$268,"",IF($C127="Clear=&gt;","",E127)),NA())</f>
        <v>#VALUE!</v>
      </c>
      <c r="F208" s="130" t="e">
        <f>IF(Sheet1!$D$196,CHOOSE(Sheet1!F$268,"",IF($C127="Clear=&gt;","",F127)),NA())</f>
        <v>#VALUE!</v>
      </c>
      <c r="G208" s="130" t="e">
        <f>IF(Sheet1!$D$196,CHOOSE(Sheet1!G$268,"",IF($C127="Clear=&gt;","",G127)),NA())</f>
        <v>#VALUE!</v>
      </c>
      <c r="H208" s="130" t="e">
        <f>IF(Sheet1!$D$196,CHOOSE(Sheet1!H$268,"",IF($C127="Clear=&gt;","",H127)),NA())</f>
        <v>#VALUE!</v>
      </c>
      <c r="I208" s="130" t="e">
        <f>IF(Sheet1!$D$196,CHOOSE(Sheet1!I$268,"",IF($C127="Clear=&gt;","",I127)),NA())</f>
        <v>#VALUE!</v>
      </c>
      <c r="J208" s="130" t="e">
        <f>IF(Sheet1!$D$196,CHOOSE(Sheet1!J$268,"",IF($C127="Clear=&gt;","",J127)),NA())</f>
        <v>#VALUE!</v>
      </c>
      <c r="K208" s="129" t="e">
        <f>IF(Sheet1!$D$196,CHOOSE(Sheet1!K$268,"",IF($C127="Clear=&gt;","",K127)),NA())</f>
        <v>#VALUE!</v>
      </c>
    </row>
    <row r="209" spans="2:11" ht="13.2" hidden="1" x14ac:dyDescent="0.25">
      <c r="B209" s="112" t="str">
        <f>IF(Sheet1!D$196,B128,NA())</f>
        <v xml:space="preserve"> </v>
      </c>
      <c r="C209" s="112"/>
      <c r="D209" s="131" t="e">
        <f>IF(Sheet1!$D$196,CHOOSE(Sheet1!D$268,"",IF($C128="Clear=&gt;","",D128)),NA())</f>
        <v>#VALUE!</v>
      </c>
      <c r="E209" s="130" t="e">
        <f>IF(Sheet1!$D$196,CHOOSE(Sheet1!E$268,"",IF($C128="Clear=&gt;","",E128)),NA())</f>
        <v>#VALUE!</v>
      </c>
      <c r="F209" s="130" t="e">
        <f>IF(Sheet1!$D$196,CHOOSE(Sheet1!F$268,"",IF($C128="Clear=&gt;","",F128)),NA())</f>
        <v>#VALUE!</v>
      </c>
      <c r="G209" s="130" t="e">
        <f>IF(Sheet1!$D$196,CHOOSE(Sheet1!G$268,"",IF($C128="Clear=&gt;","",G128)),NA())</f>
        <v>#VALUE!</v>
      </c>
      <c r="H209" s="130" t="e">
        <f>IF(Sheet1!$D$196,CHOOSE(Sheet1!H$268,"",IF($C128="Clear=&gt;","",H128)),NA())</f>
        <v>#VALUE!</v>
      </c>
      <c r="I209" s="130" t="e">
        <f>IF(Sheet1!$D$196,CHOOSE(Sheet1!I$268,"",IF($C128="Clear=&gt;","",I128)),NA())</f>
        <v>#VALUE!</v>
      </c>
      <c r="J209" s="130" t="e">
        <f>IF(Sheet1!$D$196,CHOOSE(Sheet1!J$268,"",IF($C128="Clear=&gt;","",J128)),NA())</f>
        <v>#VALUE!</v>
      </c>
      <c r="K209" s="129" t="e">
        <f>IF(Sheet1!$D$196,CHOOSE(Sheet1!K$268,"",IF($C128="Clear=&gt;","",K128)),NA())</f>
        <v>#VALUE!</v>
      </c>
    </row>
    <row r="210" spans="2:11" ht="13.2" hidden="1" x14ac:dyDescent="0.25">
      <c r="B210" s="112" t="str">
        <f>IF(Sheet1!D$196,B129,NA())</f>
        <v xml:space="preserve"> </v>
      </c>
      <c r="C210" s="112"/>
      <c r="D210" s="131" t="e">
        <f>IF(Sheet1!$D$196,CHOOSE(Sheet1!D$268,"",IF($C129="Clear=&gt;","",D129)),NA())</f>
        <v>#VALUE!</v>
      </c>
      <c r="E210" s="130" t="e">
        <f>IF(Sheet1!$D$196,CHOOSE(Sheet1!E$268,"",IF($C129="Clear=&gt;","",E129)),NA())</f>
        <v>#VALUE!</v>
      </c>
      <c r="F210" s="130" t="e">
        <f>IF(Sheet1!$D$196,CHOOSE(Sheet1!F$268,"",IF($C129="Clear=&gt;","",F129)),NA())</f>
        <v>#VALUE!</v>
      </c>
      <c r="G210" s="130" t="e">
        <f>IF(Sheet1!$D$196,CHOOSE(Sheet1!G$268,"",IF($C129="Clear=&gt;","",G129)),NA())</f>
        <v>#VALUE!</v>
      </c>
      <c r="H210" s="130" t="e">
        <f>IF(Sheet1!$D$196,CHOOSE(Sheet1!H$268,"",IF($C129="Clear=&gt;","",H129)),NA())</f>
        <v>#VALUE!</v>
      </c>
      <c r="I210" s="130" t="e">
        <f>IF(Sheet1!$D$196,CHOOSE(Sheet1!I$268,"",IF($C129="Clear=&gt;","",I129)),NA())</f>
        <v>#VALUE!</v>
      </c>
      <c r="J210" s="130" t="e">
        <f>IF(Sheet1!$D$196,CHOOSE(Sheet1!J$268,"",IF($C129="Clear=&gt;","",J129)),NA())</f>
        <v>#VALUE!</v>
      </c>
      <c r="K210" s="129" t="e">
        <f>IF(Sheet1!$D$196,CHOOSE(Sheet1!K$268,"",IF($C129="Clear=&gt;","",K129)),NA())</f>
        <v>#VALUE!</v>
      </c>
    </row>
    <row r="211" spans="2:11" ht="13.2" hidden="1" x14ac:dyDescent="0.25">
      <c r="B211" s="112" t="str">
        <f>IF(Sheet1!D$196,B130,NA())</f>
        <v xml:space="preserve"> </v>
      </c>
      <c r="C211" s="112"/>
      <c r="D211" s="131" t="e">
        <f>IF(Sheet1!$D$196,CHOOSE(Sheet1!D$268,"",IF($C130="Clear=&gt;","",D130)),NA())</f>
        <v>#VALUE!</v>
      </c>
      <c r="E211" s="130" t="e">
        <f>IF(Sheet1!$D$196,CHOOSE(Sheet1!E$268,"",IF($C130="Clear=&gt;","",E130)),NA())</f>
        <v>#VALUE!</v>
      </c>
      <c r="F211" s="130" t="e">
        <f>IF(Sheet1!$D$196,CHOOSE(Sheet1!F$268,"",IF($C130="Clear=&gt;","",F130)),NA())</f>
        <v>#VALUE!</v>
      </c>
      <c r="G211" s="130" t="e">
        <f>IF(Sheet1!$D$196,CHOOSE(Sheet1!G$268,"",IF($C130="Clear=&gt;","",G130)),NA())</f>
        <v>#VALUE!</v>
      </c>
      <c r="H211" s="130" t="e">
        <f>IF(Sheet1!$D$196,CHOOSE(Sheet1!H$268,"",IF($C130="Clear=&gt;","",H130)),NA())</f>
        <v>#VALUE!</v>
      </c>
      <c r="I211" s="130" t="e">
        <f>IF(Sheet1!$D$196,CHOOSE(Sheet1!I$268,"",IF($C130="Clear=&gt;","",I130)),NA())</f>
        <v>#VALUE!</v>
      </c>
      <c r="J211" s="130" t="e">
        <f>IF(Sheet1!$D$196,CHOOSE(Sheet1!J$268,"",IF($C130="Clear=&gt;","",J130)),NA())</f>
        <v>#VALUE!</v>
      </c>
      <c r="K211" s="129" t="e">
        <f>IF(Sheet1!$D$196,CHOOSE(Sheet1!K$268,"",IF($C130="Clear=&gt;","",K130)),NA())</f>
        <v>#VALUE!</v>
      </c>
    </row>
    <row r="212" spans="2:11" ht="13.2" hidden="1" x14ac:dyDescent="0.25">
      <c r="B212" s="112" t="str">
        <f>IF(Sheet1!D$196,B131,NA())</f>
        <v xml:space="preserve"> </v>
      </c>
      <c r="C212" s="112"/>
      <c r="D212" s="131" t="e">
        <f>IF(Sheet1!$D$196,CHOOSE(Sheet1!D$268,"",IF($C131="Clear=&gt;","",D131)),NA())</f>
        <v>#VALUE!</v>
      </c>
      <c r="E212" s="130" t="e">
        <f>IF(Sheet1!$D$196,CHOOSE(Sheet1!E$268,"",IF($C131="Clear=&gt;","",E131)),NA())</f>
        <v>#VALUE!</v>
      </c>
      <c r="F212" s="130" t="e">
        <f>IF(Sheet1!$D$196,CHOOSE(Sheet1!F$268,"",IF($C131="Clear=&gt;","",F131)),NA())</f>
        <v>#VALUE!</v>
      </c>
      <c r="G212" s="130" t="e">
        <f>IF(Sheet1!$D$196,CHOOSE(Sheet1!G$268,"",IF($C131="Clear=&gt;","",G131)),NA())</f>
        <v>#VALUE!</v>
      </c>
      <c r="H212" s="130" t="e">
        <f>IF(Sheet1!$D$196,CHOOSE(Sheet1!H$268,"",IF($C131="Clear=&gt;","",H131)),NA())</f>
        <v>#VALUE!</v>
      </c>
      <c r="I212" s="130" t="e">
        <f>IF(Sheet1!$D$196,CHOOSE(Sheet1!I$268,"",IF($C131="Clear=&gt;","",I131)),NA())</f>
        <v>#VALUE!</v>
      </c>
      <c r="J212" s="130" t="e">
        <f>IF(Sheet1!$D$196,CHOOSE(Sheet1!J$268,"",IF($C131="Clear=&gt;","",J131)),NA())</f>
        <v>#VALUE!</v>
      </c>
      <c r="K212" s="129" t="e">
        <f>IF(Sheet1!$D$196,CHOOSE(Sheet1!K$268,"",IF($C131="Clear=&gt;","",K131)),NA())</f>
        <v>#VALUE!</v>
      </c>
    </row>
    <row r="213" spans="2:11" ht="13.2" hidden="1" x14ac:dyDescent="0.25">
      <c r="B213" s="112" t="str">
        <f>IF(Sheet1!D$196,B132,NA())</f>
        <v xml:space="preserve"> </v>
      </c>
      <c r="C213" s="112"/>
      <c r="D213" s="131" t="e">
        <f>IF(Sheet1!$D$196,CHOOSE(Sheet1!D$268,"",IF($C132="Clear=&gt;","",D132)),NA())</f>
        <v>#VALUE!</v>
      </c>
      <c r="E213" s="130" t="e">
        <f>IF(Sheet1!$D$196,CHOOSE(Sheet1!E$268,"",IF($C132="Clear=&gt;","",E132)),NA())</f>
        <v>#VALUE!</v>
      </c>
      <c r="F213" s="130" t="e">
        <f>IF(Sheet1!$D$196,CHOOSE(Sheet1!F$268,"",IF($C132="Clear=&gt;","",F132)),NA())</f>
        <v>#VALUE!</v>
      </c>
      <c r="G213" s="130" t="e">
        <f>IF(Sheet1!$D$196,CHOOSE(Sheet1!G$268,"",IF($C132="Clear=&gt;","",G132)),NA())</f>
        <v>#VALUE!</v>
      </c>
      <c r="H213" s="130" t="e">
        <f>IF(Sheet1!$D$196,CHOOSE(Sheet1!H$268,"",IF($C132="Clear=&gt;","",H132)),NA())</f>
        <v>#VALUE!</v>
      </c>
      <c r="I213" s="130" t="e">
        <f>IF(Sheet1!$D$196,CHOOSE(Sheet1!I$268,"",IF($C132="Clear=&gt;","",I132)),NA())</f>
        <v>#VALUE!</v>
      </c>
      <c r="J213" s="130" t="e">
        <f>IF(Sheet1!$D$196,CHOOSE(Sheet1!J$268,"",IF($C132="Clear=&gt;","",J132)),NA())</f>
        <v>#VALUE!</v>
      </c>
      <c r="K213" s="129" t="e">
        <f>IF(Sheet1!$D$196,CHOOSE(Sheet1!K$268,"",IF($C132="Clear=&gt;","",K132)),NA())</f>
        <v>#VALUE!</v>
      </c>
    </row>
    <row r="214" spans="2:11" ht="13.2" hidden="1" x14ac:dyDescent="0.25">
      <c r="B214" s="112" t="str">
        <f>IF(Sheet1!D$196,B133,NA())</f>
        <v xml:space="preserve"> </v>
      </c>
      <c r="C214" s="112"/>
      <c r="D214" s="131" t="e">
        <f>IF(Sheet1!$D$196,CHOOSE(Sheet1!D$268,"",IF($C133="Clear=&gt;","",D133)),NA())</f>
        <v>#VALUE!</v>
      </c>
      <c r="E214" s="130" t="e">
        <f>IF(Sheet1!$D$196,CHOOSE(Sheet1!E$268,"",IF($C133="Clear=&gt;","",E133)),NA())</f>
        <v>#VALUE!</v>
      </c>
      <c r="F214" s="130" t="e">
        <f>IF(Sheet1!$D$196,CHOOSE(Sheet1!F$268,"",IF($C133="Clear=&gt;","",F133)),NA())</f>
        <v>#VALUE!</v>
      </c>
      <c r="G214" s="130" t="e">
        <f>IF(Sheet1!$D$196,CHOOSE(Sheet1!G$268,"",IF($C133="Clear=&gt;","",G133)),NA())</f>
        <v>#VALUE!</v>
      </c>
      <c r="H214" s="130" t="e">
        <f>IF(Sheet1!$D$196,CHOOSE(Sheet1!H$268,"",IF($C133="Clear=&gt;","",H133)),NA())</f>
        <v>#VALUE!</v>
      </c>
      <c r="I214" s="130" t="e">
        <f>IF(Sheet1!$D$196,CHOOSE(Sheet1!I$268,"",IF($C133="Clear=&gt;","",I133)),NA())</f>
        <v>#VALUE!</v>
      </c>
      <c r="J214" s="130" t="e">
        <f>IF(Sheet1!$D$196,CHOOSE(Sheet1!J$268,"",IF($C133="Clear=&gt;","",J133)),NA())</f>
        <v>#VALUE!</v>
      </c>
      <c r="K214" s="129" t="e">
        <f>IF(Sheet1!$D$196,CHOOSE(Sheet1!K$268,"",IF($C133="Clear=&gt;","",K133)),NA())</f>
        <v>#VALUE!</v>
      </c>
    </row>
    <row r="215" spans="2:11" ht="13.2" hidden="1" x14ac:dyDescent="0.25">
      <c r="B215" s="112" t="str">
        <f>IF(Sheet1!D$196,B134,NA())</f>
        <v xml:space="preserve"> </v>
      </c>
      <c r="C215" s="112"/>
      <c r="D215" s="131" t="e">
        <f>IF(Sheet1!$D$196,CHOOSE(Sheet1!D$268,"",IF($C134="Clear=&gt;","",D134)),NA())</f>
        <v>#VALUE!</v>
      </c>
      <c r="E215" s="130" t="e">
        <f>IF(Sheet1!$D$196,CHOOSE(Sheet1!E$268,"",IF($C134="Clear=&gt;","",E134)),NA())</f>
        <v>#VALUE!</v>
      </c>
      <c r="F215" s="130" t="e">
        <f>IF(Sheet1!$D$196,CHOOSE(Sheet1!F$268,"",IF($C134="Clear=&gt;","",F134)),NA())</f>
        <v>#VALUE!</v>
      </c>
      <c r="G215" s="130" t="e">
        <f>IF(Sheet1!$D$196,CHOOSE(Sheet1!G$268,"",IF($C134="Clear=&gt;","",G134)),NA())</f>
        <v>#VALUE!</v>
      </c>
      <c r="H215" s="130" t="e">
        <f>IF(Sheet1!$D$196,CHOOSE(Sheet1!H$268,"",IF($C134="Clear=&gt;","",H134)),NA())</f>
        <v>#VALUE!</v>
      </c>
      <c r="I215" s="130" t="e">
        <f>IF(Sheet1!$D$196,CHOOSE(Sheet1!I$268,"",IF($C134="Clear=&gt;","",I134)),NA())</f>
        <v>#VALUE!</v>
      </c>
      <c r="J215" s="130" t="e">
        <f>IF(Sheet1!$D$196,CHOOSE(Sheet1!J$268,"",IF($C134="Clear=&gt;","",J134)),NA())</f>
        <v>#VALUE!</v>
      </c>
      <c r="K215" s="129" t="e">
        <f>IF(Sheet1!$D$196,CHOOSE(Sheet1!K$268,"",IF($C134="Clear=&gt;","",K134)),NA())</f>
        <v>#VALUE!</v>
      </c>
    </row>
    <row r="216" spans="2:11" ht="13.2" hidden="1" x14ac:dyDescent="0.25">
      <c r="B216" s="112" t="str">
        <f>IF(Sheet1!D$196,B135,NA())</f>
        <v xml:space="preserve"> </v>
      </c>
      <c r="C216" s="112"/>
      <c r="D216" s="131" t="e">
        <f>IF(Sheet1!$D$196,CHOOSE(Sheet1!D$268,"",IF($C135="Clear=&gt;","",D135)),NA())</f>
        <v>#VALUE!</v>
      </c>
      <c r="E216" s="130" t="e">
        <f>IF(Sheet1!$D$196,CHOOSE(Sheet1!E$268,"",IF($C135="Clear=&gt;","",E135)),NA())</f>
        <v>#VALUE!</v>
      </c>
      <c r="F216" s="130" t="e">
        <f>IF(Sheet1!$D$196,CHOOSE(Sheet1!F$268,"",IF($C135="Clear=&gt;","",F135)),NA())</f>
        <v>#VALUE!</v>
      </c>
      <c r="G216" s="130" t="e">
        <f>IF(Sheet1!$D$196,CHOOSE(Sheet1!G$268,"",IF($C135="Clear=&gt;","",G135)),NA())</f>
        <v>#VALUE!</v>
      </c>
      <c r="H216" s="130" t="e">
        <f>IF(Sheet1!$D$196,CHOOSE(Sheet1!H$268,"",IF($C135="Clear=&gt;","",H135)),NA())</f>
        <v>#VALUE!</v>
      </c>
      <c r="I216" s="130" t="e">
        <f>IF(Sheet1!$D$196,CHOOSE(Sheet1!I$268,"",IF($C135="Clear=&gt;","",I135)),NA())</f>
        <v>#VALUE!</v>
      </c>
      <c r="J216" s="130" t="e">
        <f>IF(Sheet1!$D$196,CHOOSE(Sheet1!J$268,"",IF($C135="Clear=&gt;","",J135)),NA())</f>
        <v>#VALUE!</v>
      </c>
      <c r="K216" s="129" t="e">
        <f>IF(Sheet1!$D$196,CHOOSE(Sheet1!K$268,"",IF($C135="Clear=&gt;","",K135)),NA())</f>
        <v>#VALUE!</v>
      </c>
    </row>
    <row r="217" spans="2:11" ht="13.2" hidden="1" x14ac:dyDescent="0.25">
      <c r="B217" s="112" t="str">
        <f>IF(Sheet1!D$196,B136,NA())</f>
        <v xml:space="preserve"> </v>
      </c>
      <c r="C217" s="112"/>
      <c r="D217" s="131" t="e">
        <f>IF(Sheet1!$D$196,CHOOSE(Sheet1!D$268,"",IF($C136="Clear=&gt;","",D136)),NA())</f>
        <v>#VALUE!</v>
      </c>
      <c r="E217" s="130" t="e">
        <f>IF(Sheet1!$D$196,CHOOSE(Sheet1!E$268,"",IF($C136="Clear=&gt;","",E136)),NA())</f>
        <v>#VALUE!</v>
      </c>
      <c r="F217" s="130" t="e">
        <f>IF(Sheet1!$D$196,CHOOSE(Sheet1!F$268,"",IF($C136="Clear=&gt;","",F136)),NA())</f>
        <v>#VALUE!</v>
      </c>
      <c r="G217" s="130" t="e">
        <f>IF(Sheet1!$D$196,CHOOSE(Sheet1!G$268,"",IF($C136="Clear=&gt;","",G136)),NA())</f>
        <v>#VALUE!</v>
      </c>
      <c r="H217" s="130" t="e">
        <f>IF(Sheet1!$D$196,CHOOSE(Sheet1!H$268,"",IF($C136="Clear=&gt;","",H136)),NA())</f>
        <v>#VALUE!</v>
      </c>
      <c r="I217" s="130" t="e">
        <f>IF(Sheet1!$D$196,CHOOSE(Sheet1!I$268,"",IF($C136="Clear=&gt;","",I136)),NA())</f>
        <v>#VALUE!</v>
      </c>
      <c r="J217" s="130" t="e">
        <f>IF(Sheet1!$D$196,CHOOSE(Sheet1!J$268,"",IF($C136="Clear=&gt;","",J136)),NA())</f>
        <v>#VALUE!</v>
      </c>
      <c r="K217" s="129" t="e">
        <f>IF(Sheet1!$D$196,CHOOSE(Sheet1!K$268,"",IF($C136="Clear=&gt;","",K136)),NA())</f>
        <v>#VALUE!</v>
      </c>
    </row>
    <row r="218" spans="2:11" ht="13.2" hidden="1" x14ac:dyDescent="0.25">
      <c r="B218" s="112" t="str">
        <f>IF(Sheet1!D$196,B137,NA())</f>
        <v xml:space="preserve"> </v>
      </c>
      <c r="C218" s="112"/>
      <c r="D218" s="131" t="e">
        <f>IF(Sheet1!$D$196,CHOOSE(Sheet1!D$268,"",IF($C137="Clear=&gt;","",D137)),NA())</f>
        <v>#VALUE!</v>
      </c>
      <c r="E218" s="130" t="e">
        <f>IF(Sheet1!$D$196,CHOOSE(Sheet1!E$268,"",IF($C137="Clear=&gt;","",E137)),NA())</f>
        <v>#VALUE!</v>
      </c>
      <c r="F218" s="130" t="e">
        <f>IF(Sheet1!$D$196,CHOOSE(Sheet1!F$268,"",IF($C137="Clear=&gt;","",F137)),NA())</f>
        <v>#VALUE!</v>
      </c>
      <c r="G218" s="130" t="e">
        <f>IF(Sheet1!$D$196,CHOOSE(Sheet1!G$268,"",IF($C137="Clear=&gt;","",G137)),NA())</f>
        <v>#VALUE!</v>
      </c>
      <c r="H218" s="130" t="e">
        <f>IF(Sheet1!$D$196,CHOOSE(Sheet1!H$268,"",IF($C137="Clear=&gt;","",H137)),NA())</f>
        <v>#VALUE!</v>
      </c>
      <c r="I218" s="130" t="e">
        <f>IF(Sheet1!$D$196,CHOOSE(Sheet1!I$268,"",IF($C137="Clear=&gt;","",I137)),NA())</f>
        <v>#VALUE!</v>
      </c>
      <c r="J218" s="130" t="e">
        <f>IF(Sheet1!$D$196,CHOOSE(Sheet1!J$268,"",IF($C137="Clear=&gt;","",J137)),NA())</f>
        <v>#VALUE!</v>
      </c>
      <c r="K218" s="129" t="e">
        <f>IF(Sheet1!$D$196,CHOOSE(Sheet1!K$268,"",IF($C137="Clear=&gt;","",K137)),NA())</f>
        <v>#VALUE!</v>
      </c>
    </row>
    <row r="219" spans="2:11" ht="13.2" hidden="1" x14ac:dyDescent="0.25">
      <c r="B219" s="112" t="str">
        <f>IF(Sheet1!D$196,B138,NA())</f>
        <v xml:space="preserve"> </v>
      </c>
      <c r="C219" s="112"/>
      <c r="D219" s="131" t="e">
        <f>IF(Sheet1!$D$196,CHOOSE(Sheet1!D$268,"",IF($C138="Clear=&gt;","",D138)),NA())</f>
        <v>#VALUE!</v>
      </c>
      <c r="E219" s="130" t="e">
        <f>IF(Sheet1!$D$196,CHOOSE(Sheet1!E$268,"",IF($C138="Clear=&gt;","",E138)),NA())</f>
        <v>#VALUE!</v>
      </c>
      <c r="F219" s="130" t="e">
        <f>IF(Sheet1!$D$196,CHOOSE(Sheet1!F$268,"",IF($C138="Clear=&gt;","",F138)),NA())</f>
        <v>#VALUE!</v>
      </c>
      <c r="G219" s="130" t="e">
        <f>IF(Sheet1!$D$196,CHOOSE(Sheet1!G$268,"",IF($C138="Clear=&gt;","",G138)),NA())</f>
        <v>#VALUE!</v>
      </c>
      <c r="H219" s="130" t="e">
        <f>IF(Sheet1!$D$196,CHOOSE(Sheet1!H$268,"",IF($C138="Clear=&gt;","",H138)),NA())</f>
        <v>#VALUE!</v>
      </c>
      <c r="I219" s="130" t="e">
        <f>IF(Sheet1!$D$196,CHOOSE(Sheet1!I$268,"",IF($C138="Clear=&gt;","",I138)),NA())</f>
        <v>#VALUE!</v>
      </c>
      <c r="J219" s="130" t="e">
        <f>IF(Sheet1!$D$196,CHOOSE(Sheet1!J$268,"",IF($C138="Clear=&gt;","",J138)),NA())</f>
        <v>#VALUE!</v>
      </c>
      <c r="K219" s="129" t="e">
        <f>IF(Sheet1!$D$196,CHOOSE(Sheet1!K$268,"",IF($C138="Clear=&gt;","",K138)),NA())</f>
        <v>#VALUE!</v>
      </c>
    </row>
    <row r="220" spans="2:11" ht="13.2" hidden="1" x14ac:dyDescent="0.25">
      <c r="B220" s="112" t="str">
        <f>IF(Sheet1!D$196,B139,NA())</f>
        <v xml:space="preserve"> </v>
      </c>
      <c r="C220" s="112"/>
      <c r="D220" s="131" t="e">
        <f>IF(Sheet1!$D$196,CHOOSE(Sheet1!D$268,"",IF($C139="Clear=&gt;","",D139)),NA())</f>
        <v>#VALUE!</v>
      </c>
      <c r="E220" s="130" t="e">
        <f>IF(Sheet1!$D$196,CHOOSE(Sheet1!E$268,"",IF($C139="Clear=&gt;","",E139)),NA())</f>
        <v>#VALUE!</v>
      </c>
      <c r="F220" s="130" t="e">
        <f>IF(Sheet1!$D$196,CHOOSE(Sheet1!F$268,"",IF($C139="Clear=&gt;","",F139)),NA())</f>
        <v>#VALUE!</v>
      </c>
      <c r="G220" s="130" t="e">
        <f>IF(Sheet1!$D$196,CHOOSE(Sheet1!G$268,"",IF($C139="Clear=&gt;","",G139)),NA())</f>
        <v>#VALUE!</v>
      </c>
      <c r="H220" s="130" t="e">
        <f>IF(Sheet1!$D$196,CHOOSE(Sheet1!H$268,"",IF($C139="Clear=&gt;","",H139)),NA())</f>
        <v>#VALUE!</v>
      </c>
      <c r="I220" s="130" t="e">
        <f>IF(Sheet1!$D$196,CHOOSE(Sheet1!I$268,"",IF($C139="Clear=&gt;","",I139)),NA())</f>
        <v>#VALUE!</v>
      </c>
      <c r="J220" s="130" t="e">
        <f>IF(Sheet1!$D$196,CHOOSE(Sheet1!J$268,"",IF($C139="Clear=&gt;","",J139)),NA())</f>
        <v>#VALUE!</v>
      </c>
      <c r="K220" s="129" t="e">
        <f>IF(Sheet1!$D$196,CHOOSE(Sheet1!K$268,"",IF($C139="Clear=&gt;","",K139)),NA())</f>
        <v>#VALUE!</v>
      </c>
    </row>
    <row r="221" spans="2:11" ht="13.2" hidden="1" x14ac:dyDescent="0.25">
      <c r="B221" s="112" t="str">
        <f>IF(Sheet1!D$196,B140,NA())</f>
        <v xml:space="preserve"> </v>
      </c>
      <c r="C221" s="112"/>
      <c r="D221" s="131" t="e">
        <f>IF(Sheet1!$D$196,CHOOSE(Sheet1!D$268,"",IF($C140="Clear=&gt;","",D140)),NA())</f>
        <v>#VALUE!</v>
      </c>
      <c r="E221" s="130" t="e">
        <f>IF(Sheet1!$D$196,CHOOSE(Sheet1!E$268,"",IF($C140="Clear=&gt;","",E140)),NA())</f>
        <v>#VALUE!</v>
      </c>
      <c r="F221" s="130" t="e">
        <f>IF(Sheet1!$D$196,CHOOSE(Sheet1!F$268,"",IF($C140="Clear=&gt;","",F140)),NA())</f>
        <v>#VALUE!</v>
      </c>
      <c r="G221" s="130" t="e">
        <f>IF(Sheet1!$D$196,CHOOSE(Sheet1!G$268,"",IF($C140="Clear=&gt;","",G140)),NA())</f>
        <v>#VALUE!</v>
      </c>
      <c r="H221" s="130" t="e">
        <f>IF(Sheet1!$D$196,CHOOSE(Sheet1!H$268,"",IF($C140="Clear=&gt;","",H140)),NA())</f>
        <v>#VALUE!</v>
      </c>
      <c r="I221" s="130" t="e">
        <f>IF(Sheet1!$D$196,CHOOSE(Sheet1!I$268,"",IF($C140="Clear=&gt;","",I140)),NA())</f>
        <v>#VALUE!</v>
      </c>
      <c r="J221" s="130" t="e">
        <f>IF(Sheet1!$D$196,CHOOSE(Sheet1!J$268,"",IF($C140="Clear=&gt;","",J140)),NA())</f>
        <v>#VALUE!</v>
      </c>
      <c r="K221" s="129" t="e">
        <f>IF(Sheet1!$D$196,CHOOSE(Sheet1!K$268,"",IF($C140="Clear=&gt;","",K140)),NA())</f>
        <v>#VALUE!</v>
      </c>
    </row>
    <row r="222" spans="2:11" ht="13.2" hidden="1" x14ac:dyDescent="0.25">
      <c r="B222" s="112" t="str">
        <f>IF(Sheet1!D$196,B141,NA())</f>
        <v xml:space="preserve"> </v>
      </c>
      <c r="C222" s="112"/>
      <c r="D222" s="131" t="e">
        <f>IF(Sheet1!$D$196,CHOOSE(Sheet1!D$268,"",IF($C141="Clear=&gt;","",D141)),NA())</f>
        <v>#VALUE!</v>
      </c>
      <c r="E222" s="130" t="e">
        <f>IF(Sheet1!$D$196,CHOOSE(Sheet1!E$268,"",IF($C141="Clear=&gt;","",E141)),NA())</f>
        <v>#VALUE!</v>
      </c>
      <c r="F222" s="130" t="e">
        <f>IF(Sheet1!$D$196,CHOOSE(Sheet1!F$268,"",IF($C141="Clear=&gt;","",F141)),NA())</f>
        <v>#VALUE!</v>
      </c>
      <c r="G222" s="130" t="e">
        <f>IF(Sheet1!$D$196,CHOOSE(Sheet1!G$268,"",IF($C141="Clear=&gt;","",G141)),NA())</f>
        <v>#VALUE!</v>
      </c>
      <c r="H222" s="130" t="e">
        <f>IF(Sheet1!$D$196,CHOOSE(Sheet1!H$268,"",IF($C141="Clear=&gt;","",H141)),NA())</f>
        <v>#VALUE!</v>
      </c>
      <c r="I222" s="130" t="e">
        <f>IF(Sheet1!$D$196,CHOOSE(Sheet1!I$268,"",IF($C141="Clear=&gt;","",I141)),NA())</f>
        <v>#VALUE!</v>
      </c>
      <c r="J222" s="130" t="e">
        <f>IF(Sheet1!$D$196,CHOOSE(Sheet1!J$268,"",IF($C141="Clear=&gt;","",J141)),NA())</f>
        <v>#VALUE!</v>
      </c>
      <c r="K222" s="129" t="e">
        <f>IF(Sheet1!$D$196,CHOOSE(Sheet1!K$268,"",IF($C141="Clear=&gt;","",K141)),NA())</f>
        <v>#VALUE!</v>
      </c>
    </row>
    <row r="223" spans="2:11" ht="13.2" hidden="1" x14ac:dyDescent="0.25">
      <c r="B223" s="112" t="str">
        <f>IF(Sheet1!D$196,B142,NA())</f>
        <v xml:space="preserve"> </v>
      </c>
      <c r="C223" s="112"/>
      <c r="D223" s="131" t="e">
        <f>IF(Sheet1!$D$196,CHOOSE(Sheet1!D$268,"",IF($C142="Clear=&gt;","",D142)),NA())</f>
        <v>#VALUE!</v>
      </c>
      <c r="E223" s="130" t="e">
        <f>IF(Sheet1!$D$196,CHOOSE(Sheet1!E$268,"",IF($C142="Clear=&gt;","",E142)),NA())</f>
        <v>#VALUE!</v>
      </c>
      <c r="F223" s="130" t="e">
        <f>IF(Sheet1!$D$196,CHOOSE(Sheet1!F$268,"",IF($C142="Clear=&gt;","",F142)),NA())</f>
        <v>#VALUE!</v>
      </c>
      <c r="G223" s="130" t="e">
        <f>IF(Sheet1!$D$196,CHOOSE(Sheet1!G$268,"",IF($C142="Clear=&gt;","",G142)),NA())</f>
        <v>#VALUE!</v>
      </c>
      <c r="H223" s="130" t="e">
        <f>IF(Sheet1!$D$196,CHOOSE(Sheet1!H$268,"",IF($C142="Clear=&gt;","",H142)),NA())</f>
        <v>#VALUE!</v>
      </c>
      <c r="I223" s="130" t="e">
        <f>IF(Sheet1!$D$196,CHOOSE(Sheet1!I$268,"",IF($C142="Clear=&gt;","",I142)),NA())</f>
        <v>#VALUE!</v>
      </c>
      <c r="J223" s="130" t="e">
        <f>IF(Sheet1!$D$196,CHOOSE(Sheet1!J$268,"",IF($C142="Clear=&gt;","",J142)),NA())</f>
        <v>#VALUE!</v>
      </c>
      <c r="K223" s="129" t="e">
        <f>IF(Sheet1!$D$196,CHOOSE(Sheet1!K$268,"",IF($C142="Clear=&gt;","",K142)),NA())</f>
        <v>#VALUE!</v>
      </c>
    </row>
    <row r="224" spans="2:11" ht="13.2" hidden="1" x14ac:dyDescent="0.25">
      <c r="B224" s="112" t="str">
        <f>IF(Sheet1!D$196,B143,NA())</f>
        <v xml:space="preserve"> </v>
      </c>
      <c r="C224" s="112"/>
      <c r="D224" s="131" t="e">
        <f>IF(Sheet1!$D$196,CHOOSE(Sheet1!D$268,"",IF($C143="Clear=&gt;","",D143)),NA())</f>
        <v>#VALUE!</v>
      </c>
      <c r="E224" s="130" t="e">
        <f>IF(Sheet1!$D$196,CHOOSE(Sheet1!E$268,"",IF($C143="Clear=&gt;","",E143)),NA())</f>
        <v>#VALUE!</v>
      </c>
      <c r="F224" s="130" t="e">
        <f>IF(Sheet1!$D$196,CHOOSE(Sheet1!F$268,"",IF($C143="Clear=&gt;","",F143)),NA())</f>
        <v>#VALUE!</v>
      </c>
      <c r="G224" s="130" t="e">
        <f>IF(Sheet1!$D$196,CHOOSE(Sheet1!G$268,"",IF($C143="Clear=&gt;","",G143)),NA())</f>
        <v>#VALUE!</v>
      </c>
      <c r="H224" s="130" t="e">
        <f>IF(Sheet1!$D$196,CHOOSE(Sheet1!H$268,"",IF($C143="Clear=&gt;","",H143)),NA())</f>
        <v>#VALUE!</v>
      </c>
      <c r="I224" s="130" t="e">
        <f>IF(Sheet1!$D$196,CHOOSE(Sheet1!I$268,"",IF($C143="Clear=&gt;","",I143)),NA())</f>
        <v>#VALUE!</v>
      </c>
      <c r="J224" s="130" t="e">
        <f>IF(Sheet1!$D$196,CHOOSE(Sheet1!J$268,"",IF($C143="Clear=&gt;","",J143)),NA())</f>
        <v>#VALUE!</v>
      </c>
      <c r="K224" s="129" t="e">
        <f>IF(Sheet1!$D$196,CHOOSE(Sheet1!K$268,"",IF($C143="Clear=&gt;","",K143)),NA())</f>
        <v>#VALUE!</v>
      </c>
    </row>
    <row r="225" spans="2:11" ht="13.2" hidden="1" x14ac:dyDescent="0.25">
      <c r="B225" s="112" t="str">
        <f>IF(Sheet1!D$196,B144,NA())</f>
        <v xml:space="preserve"> </v>
      </c>
      <c r="C225" s="112"/>
      <c r="D225" s="131" t="e">
        <f>IF(Sheet1!$D$196,CHOOSE(Sheet1!D$268,"",IF($C144="Clear=&gt;","",D144)),NA())</f>
        <v>#VALUE!</v>
      </c>
      <c r="E225" s="130" t="e">
        <f>IF(Sheet1!$D$196,CHOOSE(Sheet1!E$268,"",IF($C144="Clear=&gt;","",E144)),NA())</f>
        <v>#VALUE!</v>
      </c>
      <c r="F225" s="130" t="e">
        <f>IF(Sheet1!$D$196,CHOOSE(Sheet1!F$268,"",IF($C144="Clear=&gt;","",F144)),NA())</f>
        <v>#VALUE!</v>
      </c>
      <c r="G225" s="130" t="e">
        <f>IF(Sheet1!$D$196,CHOOSE(Sheet1!G$268,"",IF($C144="Clear=&gt;","",G144)),NA())</f>
        <v>#VALUE!</v>
      </c>
      <c r="H225" s="130" t="e">
        <f>IF(Sheet1!$D$196,CHOOSE(Sheet1!H$268,"",IF($C144="Clear=&gt;","",H144)),NA())</f>
        <v>#VALUE!</v>
      </c>
      <c r="I225" s="130" t="e">
        <f>IF(Sheet1!$D$196,CHOOSE(Sheet1!I$268,"",IF($C144="Clear=&gt;","",I144)),NA())</f>
        <v>#VALUE!</v>
      </c>
      <c r="J225" s="130" t="e">
        <f>IF(Sheet1!$D$196,CHOOSE(Sheet1!J$268,"",IF($C144="Clear=&gt;","",J144)),NA())</f>
        <v>#VALUE!</v>
      </c>
      <c r="K225" s="129" t="e">
        <f>IF(Sheet1!$D$196,CHOOSE(Sheet1!K$268,"",IF($C144="Clear=&gt;","",K144)),NA())</f>
        <v>#VALUE!</v>
      </c>
    </row>
    <row r="226" spans="2:11" ht="13.2" hidden="1" x14ac:dyDescent="0.25">
      <c r="B226" s="112" t="str">
        <f>IF(Sheet1!D$196,B145,NA())</f>
        <v xml:space="preserve"> </v>
      </c>
      <c r="C226" s="112"/>
      <c r="D226" s="131" t="e">
        <f>IF(Sheet1!$D$196,CHOOSE(Sheet1!D$268,"",IF($C145="Clear=&gt;","",D145)),NA())</f>
        <v>#VALUE!</v>
      </c>
      <c r="E226" s="130" t="e">
        <f>IF(Sheet1!$D$196,CHOOSE(Sheet1!E$268,"",IF($C145="Clear=&gt;","",E145)),NA())</f>
        <v>#VALUE!</v>
      </c>
      <c r="F226" s="130" t="e">
        <f>IF(Sheet1!$D$196,CHOOSE(Sheet1!F$268,"",IF($C145="Clear=&gt;","",F145)),NA())</f>
        <v>#VALUE!</v>
      </c>
      <c r="G226" s="130" t="e">
        <f>IF(Sheet1!$D$196,CHOOSE(Sheet1!G$268,"",IF($C145="Clear=&gt;","",G145)),NA())</f>
        <v>#VALUE!</v>
      </c>
      <c r="H226" s="130" t="e">
        <f>IF(Sheet1!$D$196,CHOOSE(Sheet1!H$268,"",IF($C145="Clear=&gt;","",H145)),NA())</f>
        <v>#VALUE!</v>
      </c>
      <c r="I226" s="130" t="e">
        <f>IF(Sheet1!$D$196,CHOOSE(Sheet1!I$268,"",IF($C145="Clear=&gt;","",I145)),NA())</f>
        <v>#VALUE!</v>
      </c>
      <c r="J226" s="130" t="e">
        <f>IF(Sheet1!$D$196,CHOOSE(Sheet1!J$268,"",IF($C145="Clear=&gt;","",J145)),NA())</f>
        <v>#VALUE!</v>
      </c>
      <c r="K226" s="129" t="e">
        <f>IF(Sheet1!$D$196,CHOOSE(Sheet1!K$268,"",IF($C145="Clear=&gt;","",K145)),NA())</f>
        <v>#VALUE!</v>
      </c>
    </row>
    <row r="227" spans="2:11" ht="13.2" hidden="1" x14ac:dyDescent="0.25">
      <c r="B227" s="112" t="str">
        <f>IF(Sheet1!D$196,B146,NA())</f>
        <v xml:space="preserve"> </v>
      </c>
      <c r="C227" s="112"/>
      <c r="D227" s="131" t="e">
        <f>IF(Sheet1!$D$196,CHOOSE(Sheet1!D$268,"",IF($C146="Clear=&gt;","",D146)),NA())</f>
        <v>#VALUE!</v>
      </c>
      <c r="E227" s="130" t="e">
        <f>IF(Sheet1!$D$196,CHOOSE(Sheet1!E$268,"",IF($C146="Clear=&gt;","",E146)),NA())</f>
        <v>#VALUE!</v>
      </c>
      <c r="F227" s="130" t="e">
        <f>IF(Sheet1!$D$196,CHOOSE(Sheet1!F$268,"",IF($C146="Clear=&gt;","",F146)),NA())</f>
        <v>#VALUE!</v>
      </c>
      <c r="G227" s="130" t="e">
        <f>IF(Sheet1!$D$196,CHOOSE(Sheet1!G$268,"",IF($C146="Clear=&gt;","",G146)),NA())</f>
        <v>#VALUE!</v>
      </c>
      <c r="H227" s="130" t="e">
        <f>IF(Sheet1!$D$196,CHOOSE(Sheet1!H$268,"",IF($C146="Clear=&gt;","",H146)),NA())</f>
        <v>#VALUE!</v>
      </c>
      <c r="I227" s="130" t="e">
        <f>IF(Sheet1!$D$196,CHOOSE(Sheet1!I$268,"",IF($C146="Clear=&gt;","",I146)),NA())</f>
        <v>#VALUE!</v>
      </c>
      <c r="J227" s="130" t="e">
        <f>IF(Sheet1!$D$196,CHOOSE(Sheet1!J$268,"",IF($C146="Clear=&gt;","",J146)),NA())</f>
        <v>#VALUE!</v>
      </c>
      <c r="K227" s="129" t="e">
        <f>IF(Sheet1!$D$196,CHOOSE(Sheet1!K$268,"",IF($C146="Clear=&gt;","",K146)),NA())</f>
        <v>#VALUE!</v>
      </c>
    </row>
    <row r="228" spans="2:11" ht="13.2" hidden="1" x14ac:dyDescent="0.25">
      <c r="B228" s="112" t="str">
        <f>IF(Sheet1!D$196,B147,NA())</f>
        <v xml:space="preserve"> </v>
      </c>
      <c r="C228" s="112"/>
      <c r="D228" s="131" t="e">
        <f>IF(Sheet1!$D$196,CHOOSE(Sheet1!D$268,"",IF($C147="Clear=&gt;","",D147)),NA())</f>
        <v>#VALUE!</v>
      </c>
      <c r="E228" s="130" t="e">
        <f>IF(Sheet1!$D$196,CHOOSE(Sheet1!E$268,"",IF($C147="Clear=&gt;","",E147)),NA())</f>
        <v>#VALUE!</v>
      </c>
      <c r="F228" s="130" t="e">
        <f>IF(Sheet1!$D$196,CHOOSE(Sheet1!F$268,"",IF($C147="Clear=&gt;","",F147)),NA())</f>
        <v>#VALUE!</v>
      </c>
      <c r="G228" s="130" t="e">
        <f>IF(Sheet1!$D$196,CHOOSE(Sheet1!G$268,"",IF($C147="Clear=&gt;","",G147)),NA())</f>
        <v>#VALUE!</v>
      </c>
      <c r="H228" s="130" t="e">
        <f>IF(Sheet1!$D$196,CHOOSE(Sheet1!H$268,"",IF($C147="Clear=&gt;","",H147)),NA())</f>
        <v>#VALUE!</v>
      </c>
      <c r="I228" s="130" t="e">
        <f>IF(Sheet1!$D$196,CHOOSE(Sheet1!I$268,"",IF($C147="Clear=&gt;","",I147)),NA())</f>
        <v>#VALUE!</v>
      </c>
      <c r="J228" s="130" t="e">
        <f>IF(Sheet1!$D$196,CHOOSE(Sheet1!J$268,"",IF($C147="Clear=&gt;","",J147)),NA())</f>
        <v>#VALUE!</v>
      </c>
      <c r="K228" s="129" t="e">
        <f>IF(Sheet1!$D$196,CHOOSE(Sheet1!K$268,"",IF($C147="Clear=&gt;","",K147)),NA())</f>
        <v>#VALUE!</v>
      </c>
    </row>
    <row r="229" spans="2:11" ht="13.2" hidden="1" x14ac:dyDescent="0.25">
      <c r="B229" s="112" t="str">
        <f>IF(Sheet1!D$196,B148,NA())</f>
        <v xml:space="preserve"> </v>
      </c>
      <c r="C229" s="112"/>
      <c r="D229" s="131" t="e">
        <f>IF(Sheet1!$D$196,CHOOSE(Sheet1!D$268,"",IF($C148="Clear=&gt;","",D148)),NA())</f>
        <v>#VALUE!</v>
      </c>
      <c r="E229" s="130" t="e">
        <f>IF(Sheet1!$D$196,CHOOSE(Sheet1!E$268,"",IF($C148="Clear=&gt;","",E148)),NA())</f>
        <v>#VALUE!</v>
      </c>
      <c r="F229" s="130" t="e">
        <f>IF(Sheet1!$D$196,CHOOSE(Sheet1!F$268,"",IF($C148="Clear=&gt;","",F148)),NA())</f>
        <v>#VALUE!</v>
      </c>
      <c r="G229" s="130" t="e">
        <f>IF(Sheet1!$D$196,CHOOSE(Sheet1!G$268,"",IF($C148="Clear=&gt;","",G148)),NA())</f>
        <v>#VALUE!</v>
      </c>
      <c r="H229" s="130" t="e">
        <f>IF(Sheet1!$D$196,CHOOSE(Sheet1!H$268,"",IF($C148="Clear=&gt;","",H148)),NA())</f>
        <v>#VALUE!</v>
      </c>
      <c r="I229" s="130" t="e">
        <f>IF(Sheet1!$D$196,CHOOSE(Sheet1!I$268,"",IF($C148="Clear=&gt;","",I148)),NA())</f>
        <v>#VALUE!</v>
      </c>
      <c r="J229" s="130" t="e">
        <f>IF(Sheet1!$D$196,CHOOSE(Sheet1!J$268,"",IF($C148="Clear=&gt;","",J148)),NA())</f>
        <v>#VALUE!</v>
      </c>
      <c r="K229" s="129" t="e">
        <f>IF(Sheet1!$D$196,CHOOSE(Sheet1!K$268,"",IF($C148="Clear=&gt;","",K148)),NA())</f>
        <v>#VALUE!</v>
      </c>
    </row>
    <row r="230" spans="2:11" ht="13.2" hidden="1" x14ac:dyDescent="0.25">
      <c r="B230" s="112" t="str">
        <f>IF(Sheet1!D$196,B149,NA())</f>
        <v xml:space="preserve"> </v>
      </c>
      <c r="C230" s="112"/>
      <c r="D230" s="131" t="e">
        <f>IF(Sheet1!$D$196,CHOOSE(Sheet1!D$268,"",IF($C149="Clear=&gt;","",D149)),NA())</f>
        <v>#VALUE!</v>
      </c>
      <c r="E230" s="130" t="e">
        <f>IF(Sheet1!$D$196,CHOOSE(Sheet1!E$268,"",IF($C149="Clear=&gt;","",E149)),NA())</f>
        <v>#VALUE!</v>
      </c>
      <c r="F230" s="130" t="e">
        <f>IF(Sheet1!$D$196,CHOOSE(Sheet1!F$268,"",IF($C149="Clear=&gt;","",F149)),NA())</f>
        <v>#VALUE!</v>
      </c>
      <c r="G230" s="130" t="e">
        <f>IF(Sheet1!$D$196,CHOOSE(Sheet1!G$268,"",IF($C149="Clear=&gt;","",G149)),NA())</f>
        <v>#VALUE!</v>
      </c>
      <c r="H230" s="130" t="e">
        <f>IF(Sheet1!$D$196,CHOOSE(Sheet1!H$268,"",IF($C149="Clear=&gt;","",H149)),NA())</f>
        <v>#VALUE!</v>
      </c>
      <c r="I230" s="130" t="e">
        <f>IF(Sheet1!$D$196,CHOOSE(Sheet1!I$268,"",IF($C149="Clear=&gt;","",I149)),NA())</f>
        <v>#VALUE!</v>
      </c>
      <c r="J230" s="130" t="e">
        <f>IF(Sheet1!$D$196,CHOOSE(Sheet1!J$268,"",IF($C149="Clear=&gt;","",J149)),NA())</f>
        <v>#VALUE!</v>
      </c>
      <c r="K230" s="129" t="e">
        <f>IF(Sheet1!$D$196,CHOOSE(Sheet1!K$268,"",IF($C149="Clear=&gt;","",K149)),NA())</f>
        <v>#VALUE!</v>
      </c>
    </row>
    <row r="231" spans="2:11" ht="13.2" hidden="1" x14ac:dyDescent="0.25">
      <c r="B231" s="112" t="str">
        <f>IF(Sheet1!D$196,B150,NA())</f>
        <v xml:space="preserve"> </v>
      </c>
      <c r="C231" s="112"/>
      <c r="D231" s="131" t="e">
        <f>IF(Sheet1!$D$196,CHOOSE(Sheet1!D$268,"",IF($C150="Clear=&gt;","",D150)),NA())</f>
        <v>#VALUE!</v>
      </c>
      <c r="E231" s="130" t="e">
        <f>IF(Sheet1!$D$196,CHOOSE(Sheet1!E$268,"",IF($C150="Clear=&gt;","",E150)),NA())</f>
        <v>#VALUE!</v>
      </c>
      <c r="F231" s="130" t="e">
        <f>IF(Sheet1!$D$196,CHOOSE(Sheet1!F$268,"",IF($C150="Clear=&gt;","",F150)),NA())</f>
        <v>#VALUE!</v>
      </c>
      <c r="G231" s="130" t="e">
        <f>IF(Sheet1!$D$196,CHOOSE(Sheet1!G$268,"",IF($C150="Clear=&gt;","",G150)),NA())</f>
        <v>#VALUE!</v>
      </c>
      <c r="H231" s="130" t="e">
        <f>IF(Sheet1!$D$196,CHOOSE(Sheet1!H$268,"",IF($C150="Clear=&gt;","",H150)),NA())</f>
        <v>#VALUE!</v>
      </c>
      <c r="I231" s="130" t="e">
        <f>IF(Sheet1!$D$196,CHOOSE(Sheet1!I$268,"",IF($C150="Clear=&gt;","",I150)),NA())</f>
        <v>#VALUE!</v>
      </c>
      <c r="J231" s="130" t="e">
        <f>IF(Sheet1!$D$196,CHOOSE(Sheet1!J$268,"",IF($C150="Clear=&gt;","",J150)),NA())</f>
        <v>#VALUE!</v>
      </c>
      <c r="K231" s="129" t="e">
        <f>IF(Sheet1!$D$196,CHOOSE(Sheet1!K$268,"",IF($C150="Clear=&gt;","",K150)),NA())</f>
        <v>#VALUE!</v>
      </c>
    </row>
    <row r="232" spans="2:11" ht="13.2" hidden="1" x14ac:dyDescent="0.25">
      <c r="B232" s="112" t="str">
        <f>IF(Sheet1!D$196,B151,NA())</f>
        <v xml:space="preserve"> </v>
      </c>
      <c r="C232" s="112"/>
      <c r="D232" s="131" t="e">
        <f>IF(Sheet1!$D$196,CHOOSE(Sheet1!D$268,"",IF($C151="Clear=&gt;","",D151)),NA())</f>
        <v>#VALUE!</v>
      </c>
      <c r="E232" s="130" t="e">
        <f>IF(Sheet1!$D$196,CHOOSE(Sheet1!E$268,"",IF($C151="Clear=&gt;","",E151)),NA())</f>
        <v>#VALUE!</v>
      </c>
      <c r="F232" s="130" t="e">
        <f>IF(Sheet1!$D$196,CHOOSE(Sheet1!F$268,"",IF($C151="Clear=&gt;","",F151)),NA())</f>
        <v>#VALUE!</v>
      </c>
      <c r="G232" s="130" t="e">
        <f>IF(Sheet1!$D$196,CHOOSE(Sheet1!G$268,"",IF($C151="Clear=&gt;","",G151)),NA())</f>
        <v>#VALUE!</v>
      </c>
      <c r="H232" s="130" t="e">
        <f>IF(Sheet1!$D$196,CHOOSE(Sheet1!H$268,"",IF($C151="Clear=&gt;","",H151)),NA())</f>
        <v>#VALUE!</v>
      </c>
      <c r="I232" s="130" t="e">
        <f>IF(Sheet1!$D$196,CHOOSE(Sheet1!I$268,"",IF($C151="Clear=&gt;","",I151)),NA())</f>
        <v>#VALUE!</v>
      </c>
      <c r="J232" s="130" t="e">
        <f>IF(Sheet1!$D$196,CHOOSE(Sheet1!J$268,"",IF($C151="Clear=&gt;","",J151)),NA())</f>
        <v>#VALUE!</v>
      </c>
      <c r="K232" s="129" t="e">
        <f>IF(Sheet1!$D$196,CHOOSE(Sheet1!K$268,"",IF($C151="Clear=&gt;","",K151)),NA())</f>
        <v>#VALUE!</v>
      </c>
    </row>
    <row r="233" spans="2:11" ht="13.2" hidden="1" x14ac:dyDescent="0.25">
      <c r="B233" s="112" t="str">
        <f>IF(Sheet1!D$196,B152,NA())</f>
        <v xml:space="preserve"> </v>
      </c>
      <c r="C233" s="112"/>
      <c r="D233" s="131" t="e">
        <f>IF(Sheet1!$D$196,CHOOSE(Sheet1!D$268,"",IF($C152="Clear=&gt;","",D152)),NA())</f>
        <v>#VALUE!</v>
      </c>
      <c r="E233" s="130" t="e">
        <f>IF(Sheet1!$D$196,CHOOSE(Sheet1!E$268,"",IF($C152="Clear=&gt;","",E152)),NA())</f>
        <v>#VALUE!</v>
      </c>
      <c r="F233" s="130" t="e">
        <f>IF(Sheet1!$D$196,CHOOSE(Sheet1!F$268,"",IF($C152="Clear=&gt;","",F152)),NA())</f>
        <v>#VALUE!</v>
      </c>
      <c r="G233" s="130" t="e">
        <f>IF(Sheet1!$D$196,CHOOSE(Sheet1!G$268,"",IF($C152="Clear=&gt;","",G152)),NA())</f>
        <v>#VALUE!</v>
      </c>
      <c r="H233" s="130" t="e">
        <f>IF(Sheet1!$D$196,CHOOSE(Sheet1!H$268,"",IF($C152="Clear=&gt;","",H152)),NA())</f>
        <v>#VALUE!</v>
      </c>
      <c r="I233" s="130" t="e">
        <f>IF(Sheet1!$D$196,CHOOSE(Sheet1!I$268,"",IF($C152="Clear=&gt;","",I152)),NA())</f>
        <v>#VALUE!</v>
      </c>
      <c r="J233" s="130" t="e">
        <f>IF(Sheet1!$D$196,CHOOSE(Sheet1!J$268,"",IF($C152="Clear=&gt;","",J152)),NA())</f>
        <v>#VALUE!</v>
      </c>
      <c r="K233" s="129" t="e">
        <f>IF(Sheet1!$D$196,CHOOSE(Sheet1!K$268,"",IF($C152="Clear=&gt;","",K152)),NA())</f>
        <v>#VALUE!</v>
      </c>
    </row>
    <row r="234" spans="2:11" ht="13.2" hidden="1" x14ac:dyDescent="0.25">
      <c r="B234" s="112" t="str">
        <f>IF(Sheet1!D$196,B153,NA())</f>
        <v xml:space="preserve"> </v>
      </c>
      <c r="C234" s="112"/>
      <c r="D234" s="131" t="e">
        <f>IF(Sheet1!$D$196,CHOOSE(Sheet1!D$268,"",IF($C153="Clear=&gt;","",D153)),NA())</f>
        <v>#VALUE!</v>
      </c>
      <c r="E234" s="130" t="e">
        <f>IF(Sheet1!$D$196,CHOOSE(Sheet1!E$268,"",IF($C153="Clear=&gt;","",E153)),NA())</f>
        <v>#VALUE!</v>
      </c>
      <c r="F234" s="130" t="e">
        <f>IF(Sheet1!$D$196,CHOOSE(Sheet1!F$268,"",IF($C153="Clear=&gt;","",F153)),NA())</f>
        <v>#VALUE!</v>
      </c>
      <c r="G234" s="130" t="e">
        <f>IF(Sheet1!$D$196,CHOOSE(Sheet1!G$268,"",IF($C153="Clear=&gt;","",G153)),NA())</f>
        <v>#VALUE!</v>
      </c>
      <c r="H234" s="130" t="e">
        <f>IF(Sheet1!$D$196,CHOOSE(Sheet1!H$268,"",IF($C153="Clear=&gt;","",H153)),NA())</f>
        <v>#VALUE!</v>
      </c>
      <c r="I234" s="130" t="e">
        <f>IF(Sheet1!$D$196,CHOOSE(Sheet1!I$268,"",IF($C153="Clear=&gt;","",I153)),NA())</f>
        <v>#VALUE!</v>
      </c>
      <c r="J234" s="130" t="e">
        <f>IF(Sheet1!$D$196,CHOOSE(Sheet1!J$268,"",IF($C153="Clear=&gt;","",J153)),NA())</f>
        <v>#VALUE!</v>
      </c>
      <c r="K234" s="129" t="e">
        <f>IF(Sheet1!$D$196,CHOOSE(Sheet1!K$268,"",IF($C153="Clear=&gt;","",K153)),NA())</f>
        <v>#VALUE!</v>
      </c>
    </row>
    <row r="235" spans="2:11" ht="13.2" hidden="1" x14ac:dyDescent="0.25">
      <c r="B235" s="112" t="str">
        <f>IF(Sheet1!D$196,B154,NA())</f>
        <v xml:space="preserve"> </v>
      </c>
      <c r="C235" s="112"/>
      <c r="D235" s="131" t="e">
        <f>IF(Sheet1!$D$196,CHOOSE(Sheet1!D$268,"",IF($C154="Clear=&gt;","",D154)),NA())</f>
        <v>#VALUE!</v>
      </c>
      <c r="E235" s="130" t="e">
        <f>IF(Sheet1!$D$196,CHOOSE(Sheet1!E$268,"",IF($C154="Clear=&gt;","",E154)),NA())</f>
        <v>#VALUE!</v>
      </c>
      <c r="F235" s="130" t="e">
        <f>IF(Sheet1!$D$196,CHOOSE(Sheet1!F$268,"",IF($C154="Clear=&gt;","",F154)),NA())</f>
        <v>#VALUE!</v>
      </c>
      <c r="G235" s="130" t="e">
        <f>IF(Sheet1!$D$196,CHOOSE(Sheet1!G$268,"",IF($C154="Clear=&gt;","",G154)),NA())</f>
        <v>#VALUE!</v>
      </c>
      <c r="H235" s="130" t="e">
        <f>IF(Sheet1!$D$196,CHOOSE(Sheet1!H$268,"",IF($C154="Clear=&gt;","",H154)),NA())</f>
        <v>#VALUE!</v>
      </c>
      <c r="I235" s="130" t="e">
        <f>IF(Sheet1!$D$196,CHOOSE(Sheet1!I$268,"",IF($C154="Clear=&gt;","",I154)),NA())</f>
        <v>#VALUE!</v>
      </c>
      <c r="J235" s="130" t="e">
        <f>IF(Sheet1!$D$196,CHOOSE(Sheet1!J$268,"",IF($C154="Clear=&gt;","",J154)),NA())</f>
        <v>#VALUE!</v>
      </c>
      <c r="K235" s="129" t="e">
        <f>IF(Sheet1!$D$196,CHOOSE(Sheet1!K$268,"",IF($C154="Clear=&gt;","",K154)),NA())</f>
        <v>#VALUE!</v>
      </c>
    </row>
    <row r="236" spans="2:11" ht="13.2" hidden="1" x14ac:dyDescent="0.25">
      <c r="B236" s="112" t="str">
        <f>IF(Sheet1!D$196,B155,NA())</f>
        <v xml:space="preserve"> </v>
      </c>
      <c r="C236" s="112"/>
      <c r="D236" s="131" t="e">
        <f>IF(Sheet1!$D$196,CHOOSE(Sheet1!D$268,"",IF($C155="Clear=&gt;","",D155)),NA())</f>
        <v>#VALUE!</v>
      </c>
      <c r="E236" s="130" t="e">
        <f>IF(Sheet1!$D$196,CHOOSE(Sheet1!E$268,"",IF($C155="Clear=&gt;","",E155)),NA())</f>
        <v>#VALUE!</v>
      </c>
      <c r="F236" s="130" t="e">
        <f>IF(Sheet1!$D$196,CHOOSE(Sheet1!F$268,"",IF($C155="Clear=&gt;","",F155)),NA())</f>
        <v>#VALUE!</v>
      </c>
      <c r="G236" s="130" t="e">
        <f>IF(Sheet1!$D$196,CHOOSE(Sheet1!G$268,"",IF($C155="Clear=&gt;","",G155)),NA())</f>
        <v>#VALUE!</v>
      </c>
      <c r="H236" s="130" t="e">
        <f>IF(Sheet1!$D$196,CHOOSE(Sheet1!H$268,"",IF($C155="Clear=&gt;","",H155)),NA())</f>
        <v>#VALUE!</v>
      </c>
      <c r="I236" s="130" t="e">
        <f>IF(Sheet1!$D$196,CHOOSE(Sheet1!I$268,"",IF($C155="Clear=&gt;","",I155)),NA())</f>
        <v>#VALUE!</v>
      </c>
      <c r="J236" s="130" t="e">
        <f>IF(Sheet1!$D$196,CHOOSE(Sheet1!J$268,"",IF($C155="Clear=&gt;","",J155)),NA())</f>
        <v>#VALUE!</v>
      </c>
      <c r="K236" s="129" t="e">
        <f>IF(Sheet1!$D$196,CHOOSE(Sheet1!K$268,"",IF($C155="Clear=&gt;","",K155)),NA())</f>
        <v>#VALUE!</v>
      </c>
    </row>
    <row r="237" spans="2:11" ht="13.2" hidden="1" x14ac:dyDescent="0.25">
      <c r="B237" s="112" t="str">
        <f>IF(Sheet1!D$196,B156,NA())</f>
        <v xml:space="preserve"> </v>
      </c>
      <c r="C237" s="112"/>
      <c r="D237" s="131" t="e">
        <f>IF(Sheet1!$D$196,CHOOSE(Sheet1!D$268,"",IF($C156="Clear=&gt;","",D156)),NA())</f>
        <v>#VALUE!</v>
      </c>
      <c r="E237" s="130" t="e">
        <f>IF(Sheet1!$D$196,CHOOSE(Sheet1!E$268,"",IF($C156="Clear=&gt;","",E156)),NA())</f>
        <v>#VALUE!</v>
      </c>
      <c r="F237" s="130" t="e">
        <f>IF(Sheet1!$D$196,CHOOSE(Sheet1!F$268,"",IF($C156="Clear=&gt;","",F156)),NA())</f>
        <v>#VALUE!</v>
      </c>
      <c r="G237" s="130" t="e">
        <f>IF(Sheet1!$D$196,CHOOSE(Sheet1!G$268,"",IF($C156="Clear=&gt;","",G156)),NA())</f>
        <v>#VALUE!</v>
      </c>
      <c r="H237" s="130" t="e">
        <f>IF(Sheet1!$D$196,CHOOSE(Sheet1!H$268,"",IF($C156="Clear=&gt;","",H156)),NA())</f>
        <v>#VALUE!</v>
      </c>
      <c r="I237" s="130" t="e">
        <f>IF(Sheet1!$D$196,CHOOSE(Sheet1!I$268,"",IF($C156="Clear=&gt;","",I156)),NA())</f>
        <v>#VALUE!</v>
      </c>
      <c r="J237" s="130" t="e">
        <f>IF(Sheet1!$D$196,CHOOSE(Sheet1!J$268,"",IF($C156="Clear=&gt;","",J156)),NA())</f>
        <v>#VALUE!</v>
      </c>
      <c r="K237" s="129" t="e">
        <f>IF(Sheet1!$D$196,CHOOSE(Sheet1!K$268,"",IF($C156="Clear=&gt;","",K156)),NA())</f>
        <v>#VALUE!</v>
      </c>
    </row>
    <row r="238" spans="2:11" ht="13.2" hidden="1" x14ac:dyDescent="0.25">
      <c r="B238" s="112" t="str">
        <f>IF(Sheet1!D$196,B157,NA())</f>
        <v xml:space="preserve"> </v>
      </c>
      <c r="C238" s="112"/>
      <c r="D238" s="131" t="e">
        <f>IF(Sheet1!$D$196,CHOOSE(Sheet1!D$268,"",IF($C157="Clear=&gt;","",D157)),NA())</f>
        <v>#VALUE!</v>
      </c>
      <c r="E238" s="130" t="e">
        <f>IF(Sheet1!$D$196,CHOOSE(Sheet1!E$268,"",IF($C157="Clear=&gt;","",E157)),NA())</f>
        <v>#VALUE!</v>
      </c>
      <c r="F238" s="130" t="e">
        <f>IF(Sheet1!$D$196,CHOOSE(Sheet1!F$268,"",IF($C157="Clear=&gt;","",F157)),NA())</f>
        <v>#VALUE!</v>
      </c>
      <c r="G238" s="130" t="e">
        <f>IF(Sheet1!$D$196,CHOOSE(Sheet1!G$268,"",IF($C157="Clear=&gt;","",G157)),NA())</f>
        <v>#VALUE!</v>
      </c>
      <c r="H238" s="130" t="e">
        <f>IF(Sheet1!$D$196,CHOOSE(Sheet1!H$268,"",IF($C157="Clear=&gt;","",H157)),NA())</f>
        <v>#VALUE!</v>
      </c>
      <c r="I238" s="130" t="e">
        <f>IF(Sheet1!$D$196,CHOOSE(Sheet1!I$268,"",IF($C157="Clear=&gt;","",I157)),NA())</f>
        <v>#VALUE!</v>
      </c>
      <c r="J238" s="130" t="e">
        <f>IF(Sheet1!$D$196,CHOOSE(Sheet1!J$268,"",IF($C157="Clear=&gt;","",J157)),NA())</f>
        <v>#VALUE!</v>
      </c>
      <c r="K238" s="129" t="e">
        <f>IF(Sheet1!$D$196,CHOOSE(Sheet1!K$268,"",IF($C157="Clear=&gt;","",K157)),NA())</f>
        <v>#VALUE!</v>
      </c>
    </row>
    <row r="239" spans="2:11" ht="13.2" hidden="1" x14ac:dyDescent="0.25">
      <c r="B239" s="112" t="str">
        <f>IF(Sheet1!D$196,B158,NA())</f>
        <v xml:space="preserve"> </v>
      </c>
      <c r="C239" s="112"/>
      <c r="D239" s="131" t="e">
        <f>IF(Sheet1!$D$196,CHOOSE(Sheet1!D$268,"",IF($C158="Clear=&gt;","",D158)),NA())</f>
        <v>#VALUE!</v>
      </c>
      <c r="E239" s="130" t="e">
        <f>IF(Sheet1!$D$196,CHOOSE(Sheet1!E$268,"",IF($C158="Clear=&gt;","",E158)),NA())</f>
        <v>#VALUE!</v>
      </c>
      <c r="F239" s="130" t="e">
        <f>IF(Sheet1!$D$196,CHOOSE(Sheet1!F$268,"",IF($C158="Clear=&gt;","",F158)),NA())</f>
        <v>#VALUE!</v>
      </c>
      <c r="G239" s="130" t="e">
        <f>IF(Sheet1!$D$196,CHOOSE(Sheet1!G$268,"",IF($C158="Clear=&gt;","",G158)),NA())</f>
        <v>#VALUE!</v>
      </c>
      <c r="H239" s="130" t="e">
        <f>IF(Sheet1!$D$196,CHOOSE(Sheet1!H$268,"",IF($C158="Clear=&gt;","",H158)),NA())</f>
        <v>#VALUE!</v>
      </c>
      <c r="I239" s="130" t="e">
        <f>IF(Sheet1!$D$196,CHOOSE(Sheet1!I$268,"",IF($C158="Clear=&gt;","",I158)),NA())</f>
        <v>#VALUE!</v>
      </c>
      <c r="J239" s="130" t="e">
        <f>IF(Sheet1!$D$196,CHOOSE(Sheet1!J$268,"",IF($C158="Clear=&gt;","",J158)),NA())</f>
        <v>#VALUE!</v>
      </c>
      <c r="K239" s="129" t="e">
        <f>IF(Sheet1!$D$196,CHOOSE(Sheet1!K$268,"",IF($C158="Clear=&gt;","",K158)),NA())</f>
        <v>#VALUE!</v>
      </c>
    </row>
    <row r="240" spans="2:11" ht="13.2" hidden="1" x14ac:dyDescent="0.25">
      <c r="B240" s="112" t="str">
        <f>IF(Sheet1!D$196,B159,NA())</f>
        <v xml:space="preserve"> </v>
      </c>
      <c r="C240" s="112"/>
      <c r="D240" s="131" t="e">
        <f>IF(Sheet1!$D$196,CHOOSE(Sheet1!D$268,"",IF($C159="Clear=&gt;","",D159)),NA())</f>
        <v>#VALUE!</v>
      </c>
      <c r="E240" s="130" t="e">
        <f>IF(Sheet1!$D$196,CHOOSE(Sheet1!E$268,"",IF($C159="Clear=&gt;","",E159)),NA())</f>
        <v>#VALUE!</v>
      </c>
      <c r="F240" s="130" t="e">
        <f>IF(Sheet1!$D$196,CHOOSE(Sheet1!F$268,"",IF($C159="Clear=&gt;","",F159)),NA())</f>
        <v>#VALUE!</v>
      </c>
      <c r="G240" s="130" t="e">
        <f>IF(Sheet1!$D$196,CHOOSE(Sheet1!G$268,"",IF($C159="Clear=&gt;","",G159)),NA())</f>
        <v>#VALUE!</v>
      </c>
      <c r="H240" s="130" t="e">
        <f>IF(Sheet1!$D$196,CHOOSE(Sheet1!H$268,"",IF($C159="Clear=&gt;","",H159)),NA())</f>
        <v>#VALUE!</v>
      </c>
      <c r="I240" s="130" t="e">
        <f>IF(Sheet1!$D$196,CHOOSE(Sheet1!I$268,"",IF($C159="Clear=&gt;","",I159)),NA())</f>
        <v>#VALUE!</v>
      </c>
      <c r="J240" s="130" t="e">
        <f>IF(Sheet1!$D$196,CHOOSE(Sheet1!J$268,"",IF($C159="Clear=&gt;","",J159)),NA())</f>
        <v>#VALUE!</v>
      </c>
      <c r="K240" s="129" t="e">
        <f>IF(Sheet1!$D$196,CHOOSE(Sheet1!K$268,"",IF($C159="Clear=&gt;","",K159)),NA())</f>
        <v>#VALUE!</v>
      </c>
    </row>
    <row r="241" spans="1:11" ht="13.2" hidden="1" x14ac:dyDescent="0.25">
      <c r="B241" s="112"/>
      <c r="C241" s="122" t="s">
        <v>242</v>
      </c>
      <c r="D241" s="127" t="e">
        <f>IF(Sheet1!D$196,SUM(D191:D240),NA())</f>
        <v>#VALUE!</v>
      </c>
      <c r="E241" s="127" t="e">
        <f>IF(Sheet1!D$196,SUM(E191:E240),NA())</f>
        <v>#VALUE!</v>
      </c>
      <c r="F241" s="127" t="e">
        <f>IF(Sheet1!D$196,SUM(F191:F240),NA())</f>
        <v>#VALUE!</v>
      </c>
      <c r="G241" s="127" t="e">
        <f>IF(Sheet1!D$196,SUM(G191:G240),NA())</f>
        <v>#VALUE!</v>
      </c>
      <c r="H241" s="127" t="e">
        <f>IF(Sheet1!D$196,SUM(H191:H240),NA())</f>
        <v>#VALUE!</v>
      </c>
      <c r="I241" s="127" t="e">
        <f>IF(Sheet1!D$196,SUM(I191:I240),NA())</f>
        <v>#VALUE!</v>
      </c>
      <c r="J241" s="127" t="e">
        <f>IF(Sheet1!D$196,SUM(J191:J240),NA())</f>
        <v>#VALUE!</v>
      </c>
      <c r="K241" s="127" t="e">
        <f>IF(Sheet1!D$196,SUM(K191:K240),NA())</f>
        <v>#VALUE!</v>
      </c>
    </row>
    <row r="242" spans="1:11" ht="13.2" hidden="1" x14ac:dyDescent="0.25"/>
    <row r="243" spans="1:11" ht="13.2" hidden="1" x14ac:dyDescent="0.25">
      <c r="A243" s="109" t="s">
        <v>243</v>
      </c>
      <c r="B243" s="110"/>
      <c r="C243" s="110"/>
      <c r="D243" s="125"/>
      <c r="E243" s="125"/>
      <c r="F243" s="125"/>
      <c r="G243" s="125"/>
      <c r="H243" s="125"/>
      <c r="I243" s="125"/>
      <c r="J243" s="125"/>
      <c r="K243" s="124"/>
    </row>
    <row r="244" spans="1:11" ht="13.2" hidden="1" x14ac:dyDescent="0.25"/>
    <row r="245" spans="1:11" ht="13.2" x14ac:dyDescent="0.25"/>
  </sheetData>
  <printOptions horizontalCentered="1"/>
  <pageMargins left="0.25" right="0.25" top="0.25" bottom="0.5" header="0.25" footer="0.25"/>
  <pageSetup scale="75" orientation="landscape" blackAndWhite="1" r:id="rId1"/>
  <headerFooter alignWithMargins="0">
    <oddFooter>&amp;R&amp;A,   Input Data,  Page 3 of 3,  (Printed:  &amp;D,   &amp;T ) Using ver 1.04r6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Drop Down 2">
              <controlPr defaultSize="0" autoFill="0" autoLine="0" autoPict="0">
                <anchor moveWithCells="1">
                  <from>
                    <xdr:col>3</xdr:col>
                    <xdr:colOff>0</xdr:colOff>
                    <xdr:row>105</xdr:row>
                    <xdr:rowOff>22860</xdr:rowOff>
                  </from>
                  <to>
                    <xdr:col>4</xdr:col>
                    <xdr:colOff>38100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Drop Down 25">
              <controlPr defaultSize="0" autoFill="0" autoLine="0" autoPict="0">
                <anchor moveWithCells="1">
                  <from>
                    <xdr:col>3</xdr:col>
                    <xdr:colOff>0</xdr:colOff>
                    <xdr:row>102</xdr:row>
                    <xdr:rowOff>152400</xdr:rowOff>
                  </from>
                  <to>
                    <xdr:col>4</xdr:col>
                    <xdr:colOff>30480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Drop Down 28">
              <controlPr defaultSize="0" autoFill="0" autoLine="0" autoPict="0">
                <anchor moveWithCells="1">
                  <from>
                    <xdr:col>4</xdr:col>
                    <xdr:colOff>30480</xdr:colOff>
                    <xdr:row>102</xdr:row>
                    <xdr:rowOff>152400</xdr:rowOff>
                  </from>
                  <to>
                    <xdr:col>5</xdr:col>
                    <xdr:colOff>38100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Drop Down 29">
              <controlPr defaultSize="0" autoFill="0" autoLine="0" autoPict="0">
                <anchor moveWithCells="1">
                  <from>
                    <xdr:col>5</xdr:col>
                    <xdr:colOff>30480</xdr:colOff>
                    <xdr:row>102</xdr:row>
                    <xdr:rowOff>152400</xdr:rowOff>
                  </from>
                  <to>
                    <xdr:col>6</xdr:col>
                    <xdr:colOff>45720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Drop Down 30">
              <controlPr defaultSize="0" autoFill="0" autoLine="0" autoPict="0">
                <anchor moveWithCells="1">
                  <from>
                    <xdr:col>6</xdr:col>
                    <xdr:colOff>38100</xdr:colOff>
                    <xdr:row>102</xdr:row>
                    <xdr:rowOff>152400</xdr:rowOff>
                  </from>
                  <to>
                    <xdr:col>7</xdr:col>
                    <xdr:colOff>30480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Drop Down 31">
              <controlPr defaultSize="0" autoFill="0" autoLine="0" autoPict="0">
                <anchor moveWithCells="1">
                  <from>
                    <xdr:col>7</xdr:col>
                    <xdr:colOff>38100</xdr:colOff>
                    <xdr:row>102</xdr:row>
                    <xdr:rowOff>152400</xdr:rowOff>
                  </from>
                  <to>
                    <xdr:col>8</xdr:col>
                    <xdr:colOff>38100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Drop Down 32">
              <controlPr defaultSize="0" autoFill="0" autoLine="0" autoPict="0">
                <anchor moveWithCells="1">
                  <from>
                    <xdr:col>8</xdr:col>
                    <xdr:colOff>30480</xdr:colOff>
                    <xdr:row>102</xdr:row>
                    <xdr:rowOff>152400</xdr:rowOff>
                  </from>
                  <to>
                    <xdr:col>9</xdr:col>
                    <xdr:colOff>45720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1" name="Drop Down 33">
              <controlPr defaultSize="0" autoFill="0" autoLine="0" autoPict="0">
                <anchor moveWithCells="1">
                  <from>
                    <xdr:col>9</xdr:col>
                    <xdr:colOff>38100</xdr:colOff>
                    <xdr:row>102</xdr:row>
                    <xdr:rowOff>152400</xdr:rowOff>
                  </from>
                  <to>
                    <xdr:col>10</xdr:col>
                    <xdr:colOff>38100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Drop Down 35">
              <controlPr defaultSize="0" autoFill="0" autoLine="0" autoPict="0">
                <anchor moveWithCells="1">
                  <from>
                    <xdr:col>10</xdr:col>
                    <xdr:colOff>30480</xdr:colOff>
                    <xdr:row>102</xdr:row>
                    <xdr:rowOff>152400</xdr:rowOff>
                  </from>
                  <to>
                    <xdr:col>11</xdr:col>
                    <xdr:colOff>30480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3" name="Drop Down 37">
              <controlPr defaultSize="0" autoFill="0" autoLine="0" autoPict="0">
                <anchor moveWithCells="1">
                  <from>
                    <xdr:col>4</xdr:col>
                    <xdr:colOff>38100</xdr:colOff>
                    <xdr:row>105</xdr:row>
                    <xdr:rowOff>22860</xdr:rowOff>
                  </from>
                  <to>
                    <xdr:col>5</xdr:col>
                    <xdr:colOff>30480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4" name="Drop Down 38">
              <controlPr defaultSize="0" autoFill="0" autoLine="0" autoPict="0">
                <anchor moveWithCells="1">
                  <from>
                    <xdr:col>5</xdr:col>
                    <xdr:colOff>30480</xdr:colOff>
                    <xdr:row>105</xdr:row>
                    <xdr:rowOff>22860</xdr:rowOff>
                  </from>
                  <to>
                    <xdr:col>6</xdr:col>
                    <xdr:colOff>30480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5" name="Drop Down 39">
              <controlPr defaultSize="0" autoFill="0" autoLine="0" autoPict="0">
                <anchor moveWithCells="1">
                  <from>
                    <xdr:col>6</xdr:col>
                    <xdr:colOff>22860</xdr:colOff>
                    <xdr:row>105</xdr:row>
                    <xdr:rowOff>22860</xdr:rowOff>
                  </from>
                  <to>
                    <xdr:col>7</xdr:col>
                    <xdr:colOff>30480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6" name="Drop Down 40">
              <controlPr defaultSize="0" autoFill="0" autoLine="0" autoPict="0">
                <anchor moveWithCells="1">
                  <from>
                    <xdr:col>7</xdr:col>
                    <xdr:colOff>38100</xdr:colOff>
                    <xdr:row>105</xdr:row>
                    <xdr:rowOff>22860</xdr:rowOff>
                  </from>
                  <to>
                    <xdr:col>8</xdr:col>
                    <xdr:colOff>38100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7" name="Drop Down 41">
              <controlPr defaultSize="0" autoFill="0" autoLine="0" autoPict="0">
                <anchor moveWithCells="1">
                  <from>
                    <xdr:col>8</xdr:col>
                    <xdr:colOff>38100</xdr:colOff>
                    <xdr:row>105</xdr:row>
                    <xdr:rowOff>22860</xdr:rowOff>
                  </from>
                  <to>
                    <xdr:col>9</xdr:col>
                    <xdr:colOff>45720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8" name="Drop Down 42">
              <controlPr defaultSize="0" autoFill="0" autoLine="0" autoPict="0">
                <anchor moveWithCells="1">
                  <from>
                    <xdr:col>9</xdr:col>
                    <xdr:colOff>38100</xdr:colOff>
                    <xdr:row>105</xdr:row>
                    <xdr:rowOff>22860</xdr:rowOff>
                  </from>
                  <to>
                    <xdr:col>10</xdr:col>
                    <xdr:colOff>45720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9" name="Drop Down 44">
              <controlPr defaultSize="0" autoFill="0" autoLine="0" autoPict="0">
                <anchor moveWithCells="1">
                  <from>
                    <xdr:col>10</xdr:col>
                    <xdr:colOff>38100</xdr:colOff>
                    <xdr:row>105</xdr:row>
                    <xdr:rowOff>22860</xdr:rowOff>
                  </from>
                  <to>
                    <xdr:col>11</xdr:col>
                    <xdr:colOff>30480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0" name="Drop Down 46">
              <controlPr defaultSize="0" autoFill="0" autoLine="0" autoPict="0">
                <anchor moveWithCells="1">
                  <from>
                    <xdr:col>3</xdr:col>
                    <xdr:colOff>7620</xdr:colOff>
                    <xdr:row>163</xdr:row>
                    <xdr:rowOff>152400</xdr:rowOff>
                  </from>
                  <to>
                    <xdr:col>4</xdr:col>
                    <xdr:colOff>38100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1" name="Drop Down 47">
              <controlPr defaultSize="0" autoFill="0" autoLine="0" autoPict="0">
                <anchor moveWithCells="1">
                  <from>
                    <xdr:col>4</xdr:col>
                    <xdr:colOff>30480</xdr:colOff>
                    <xdr:row>163</xdr:row>
                    <xdr:rowOff>152400</xdr:rowOff>
                  </from>
                  <to>
                    <xdr:col>5</xdr:col>
                    <xdr:colOff>22860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2" name="Drop Down 48">
              <controlPr defaultSize="0" autoFill="0" autoLine="0" autoPict="0">
                <anchor moveWithCells="1">
                  <from>
                    <xdr:col>5</xdr:col>
                    <xdr:colOff>22860</xdr:colOff>
                    <xdr:row>163</xdr:row>
                    <xdr:rowOff>152400</xdr:rowOff>
                  </from>
                  <to>
                    <xdr:col>6</xdr:col>
                    <xdr:colOff>38100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3" name="Drop Down 49">
              <controlPr defaultSize="0" autoFill="0" autoLine="0" autoPict="0">
                <anchor moveWithCells="1">
                  <from>
                    <xdr:col>6</xdr:col>
                    <xdr:colOff>38100</xdr:colOff>
                    <xdr:row>163</xdr:row>
                    <xdr:rowOff>152400</xdr:rowOff>
                  </from>
                  <to>
                    <xdr:col>7</xdr:col>
                    <xdr:colOff>22860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4" name="Drop Down 50">
              <controlPr defaultSize="0" autoFill="0" autoLine="0" autoPict="0">
                <anchor moveWithCells="1">
                  <from>
                    <xdr:col>7</xdr:col>
                    <xdr:colOff>30480</xdr:colOff>
                    <xdr:row>163</xdr:row>
                    <xdr:rowOff>152400</xdr:rowOff>
                  </from>
                  <to>
                    <xdr:col>8</xdr:col>
                    <xdr:colOff>30480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5" name="Drop Down 51">
              <controlPr defaultSize="0" autoFill="0" autoLine="0" autoPict="0">
                <anchor moveWithCells="1">
                  <from>
                    <xdr:col>8</xdr:col>
                    <xdr:colOff>38100</xdr:colOff>
                    <xdr:row>163</xdr:row>
                    <xdr:rowOff>152400</xdr:rowOff>
                  </from>
                  <to>
                    <xdr:col>9</xdr:col>
                    <xdr:colOff>30480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6" name="Drop Down 52">
              <controlPr defaultSize="0" autoFill="0" autoLine="0" autoPict="0">
                <anchor moveWithCells="1">
                  <from>
                    <xdr:col>9</xdr:col>
                    <xdr:colOff>30480</xdr:colOff>
                    <xdr:row>163</xdr:row>
                    <xdr:rowOff>152400</xdr:rowOff>
                  </from>
                  <to>
                    <xdr:col>10</xdr:col>
                    <xdr:colOff>30480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7" name="Drop Down 55">
              <controlPr defaultSize="0" autoFill="0" autoLine="0" autoPict="0">
                <anchor moveWithCells="1">
                  <from>
                    <xdr:col>3</xdr:col>
                    <xdr:colOff>0</xdr:colOff>
                    <xdr:row>11</xdr:row>
                    <xdr:rowOff>152400</xdr:rowOff>
                  </from>
                  <to>
                    <xdr:col>4</xdr:col>
                    <xdr:colOff>30480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8" name="Drop Down 56">
              <controlPr defaultSize="0" autoFill="0" autoLine="0" autoPict="0">
                <anchor moveWithCells="1">
                  <from>
                    <xdr:col>4</xdr:col>
                    <xdr:colOff>22860</xdr:colOff>
                    <xdr:row>11</xdr:row>
                    <xdr:rowOff>152400</xdr:rowOff>
                  </from>
                  <to>
                    <xdr:col>5</xdr:col>
                    <xdr:colOff>38100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9" name="Drop Down 83">
              <controlPr defaultSize="0" autoFill="0" autoLine="0" autoPict="0">
                <anchor moveWithCells="1">
                  <from>
                    <xdr:col>3</xdr:col>
                    <xdr:colOff>22860</xdr:colOff>
                    <xdr:row>170</xdr:row>
                    <xdr:rowOff>144780</xdr:rowOff>
                  </from>
                  <to>
                    <xdr:col>4</xdr:col>
                    <xdr:colOff>45720</xdr:colOff>
                    <xdr:row>172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0" name="Drop Down 54">
              <controlPr defaultSize="0" autoFill="0" autoLine="0" autoPict="0">
                <anchor moveWithCells="1">
                  <from>
                    <xdr:col>10</xdr:col>
                    <xdr:colOff>30480</xdr:colOff>
                    <xdr:row>163</xdr:row>
                    <xdr:rowOff>152400</xdr:rowOff>
                  </from>
                  <to>
                    <xdr:col>11</xdr:col>
                    <xdr:colOff>22860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1" name="Drop Down 57">
              <controlPr defaultSize="0" autoFill="0" autoLine="0" autoPict="0">
                <anchor moveWithCells="1">
                  <from>
                    <xdr:col>5</xdr:col>
                    <xdr:colOff>30480</xdr:colOff>
                    <xdr:row>11</xdr:row>
                    <xdr:rowOff>160020</xdr:rowOff>
                  </from>
                  <to>
                    <xdr:col>6</xdr:col>
                    <xdr:colOff>30480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2" name="Drop Down 58">
              <controlPr defaultSize="0" autoFill="0" autoLine="0" autoPict="0">
                <anchor moveWithCells="1">
                  <from>
                    <xdr:col>6</xdr:col>
                    <xdr:colOff>30480</xdr:colOff>
                    <xdr:row>12</xdr:row>
                    <xdr:rowOff>0</xdr:rowOff>
                  </from>
                  <to>
                    <xdr:col>7</xdr:col>
                    <xdr:colOff>30480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3" name="Drop Down 59">
              <controlPr defaultSize="0" autoFill="0" autoLine="0" autoPict="0">
                <anchor moveWithCells="1">
                  <from>
                    <xdr:col>7</xdr:col>
                    <xdr:colOff>22860</xdr:colOff>
                    <xdr:row>12</xdr:row>
                    <xdr:rowOff>0</xdr:rowOff>
                  </from>
                  <to>
                    <xdr:col>8</xdr:col>
                    <xdr:colOff>7620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4" name="Drop Down 60">
              <controlPr defaultSize="0" autoFill="0" autoLine="0" autoPict="0">
                <anchor moveWithCells="1">
                  <from>
                    <xdr:col>8</xdr:col>
                    <xdr:colOff>7620</xdr:colOff>
                    <xdr:row>12</xdr:row>
                    <xdr:rowOff>0</xdr:rowOff>
                  </from>
                  <to>
                    <xdr:col>9</xdr:col>
                    <xdr:colOff>7620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5" name="Drop Down 61">
              <controlPr defaultSize="0" autoFill="0" autoLine="0" autoPict="0">
                <anchor moveWithCells="1">
                  <from>
                    <xdr:col>9</xdr:col>
                    <xdr:colOff>22860</xdr:colOff>
                    <xdr:row>11</xdr:row>
                    <xdr:rowOff>160020</xdr:rowOff>
                  </from>
                  <to>
                    <xdr:col>10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6" name="Drop Down 64">
              <controlPr defaultSize="0" autoFill="0" autoLine="0" autoPict="0">
                <anchor moveWithCells="1">
                  <from>
                    <xdr:col>10</xdr:col>
                    <xdr:colOff>38100</xdr:colOff>
                    <xdr:row>12</xdr:row>
                    <xdr:rowOff>0</xdr:rowOff>
                  </from>
                  <to>
                    <xdr:col>11</xdr:col>
                    <xdr:colOff>30480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7" name="Drop Down 37">
              <controlPr defaultSize="0" autoLine="0" autoPict="0">
                <anchor moveWithCells="1">
                  <from>
                    <xdr:col>3</xdr:col>
                    <xdr:colOff>22860</xdr:colOff>
                    <xdr:row>9</xdr:row>
                    <xdr:rowOff>76200</xdr:rowOff>
                  </from>
                  <to>
                    <xdr:col>4</xdr:col>
                    <xdr:colOff>22860</xdr:colOff>
                    <xdr:row>10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pageSetUpPr fitToPage="1"/>
  </sheetPr>
  <dimension ref="A1:IS117"/>
  <sheetViews>
    <sheetView showGridLines="0" workbookViewId="0"/>
  </sheetViews>
  <sheetFormatPr defaultColWidth="0" defaultRowHeight="0" customHeight="1" zeroHeight="1" x14ac:dyDescent="0.2"/>
  <cols>
    <col min="1" max="1" width="6.88671875" style="171" customWidth="1"/>
    <col min="2" max="2" width="5.6640625" style="171" customWidth="1"/>
    <col min="3" max="3" width="7" style="171" customWidth="1"/>
    <col min="4" max="6" width="15.44140625" style="171" customWidth="1"/>
    <col min="7" max="7" width="9.44140625" style="171" customWidth="1"/>
    <col min="8" max="8" width="15.44140625" style="171" customWidth="1"/>
    <col min="9" max="9" width="9.5546875" style="171" customWidth="1"/>
    <col min="10" max="10" width="9.44140625" style="171" customWidth="1"/>
    <col min="11" max="11" width="15.44140625" style="171" customWidth="1"/>
    <col min="12" max="12" width="8.33203125" style="171" bestFit="1" customWidth="1"/>
    <col min="13" max="13" width="9.109375" style="171" customWidth="1"/>
    <col min="14" max="14" width="6.109375" style="171" customWidth="1"/>
    <col min="15" max="15" width="7.6640625" style="171" customWidth="1"/>
    <col min="16" max="21" width="15.44140625" style="171" customWidth="1"/>
    <col min="22" max="22" width="8.5546875" style="171" customWidth="1"/>
    <col min="23" max="24" width="15.44140625" style="171" hidden="1" customWidth="1"/>
    <col min="25" max="25" width="14.88671875" style="171" hidden="1" customWidth="1"/>
    <col min="26" max="26" width="17.88671875" style="171" hidden="1" customWidth="1"/>
    <col min="27" max="27" width="26" style="171" customWidth="1"/>
    <col min="28" max="28" width="6.88671875" style="171" customWidth="1"/>
    <col min="29" max="29" width="5.6640625" style="171" customWidth="1"/>
    <col min="30" max="30" width="7" style="171" customWidth="1"/>
    <col min="31" max="31" width="15.44140625" style="171" customWidth="1"/>
    <col min="32" max="32" width="9.44140625" style="171" customWidth="1"/>
    <col min="33" max="33" width="15.44140625" style="171" customWidth="1"/>
    <col min="34" max="34" width="9.5546875" style="171" customWidth="1"/>
    <col min="35" max="35" width="9.44140625" style="171" customWidth="1"/>
    <col min="36" max="36" width="15.44140625" style="171" customWidth="1"/>
    <col min="37" max="37" width="9.109375" style="171" customWidth="1"/>
    <col min="38" max="256" width="8.6640625" style="171" customWidth="1"/>
    <col min="257" max="257" width="6.88671875" style="171" customWidth="1"/>
    <col min="258" max="258" width="5.6640625" style="171" customWidth="1"/>
    <col min="259" max="259" width="7" style="171" customWidth="1"/>
    <col min="260" max="262" width="15.44140625" style="171" customWidth="1"/>
    <col min="263" max="263" width="9.44140625" style="171" customWidth="1"/>
    <col min="264" max="264" width="15.44140625" style="171" customWidth="1"/>
    <col min="265" max="265" width="9.5546875" style="171" customWidth="1"/>
    <col min="266" max="266" width="9.44140625" style="171" customWidth="1"/>
    <col min="267" max="267" width="15.44140625" style="171" customWidth="1"/>
    <col min="268" max="268" width="8.33203125" style="171" bestFit="1" customWidth="1"/>
    <col min="269" max="269" width="9.109375" style="171" customWidth="1"/>
    <col min="270" max="270" width="6.109375" style="171" customWidth="1"/>
    <col min="271" max="271" width="7.6640625" style="171" customWidth="1"/>
    <col min="272" max="277" width="15.44140625" style="171" customWidth="1"/>
    <col min="278" max="278" width="8.5546875" style="171" customWidth="1"/>
    <col min="279" max="283" width="0" style="171" hidden="1" customWidth="1"/>
    <col min="284" max="284" width="6.88671875" style="171" customWidth="1"/>
    <col min="285" max="285" width="5.6640625" style="171" customWidth="1"/>
    <col min="286" max="286" width="7" style="171" customWidth="1"/>
    <col min="287" max="287" width="15.44140625" style="171" customWidth="1"/>
    <col min="288" max="288" width="9.44140625" style="171" customWidth="1"/>
    <col min="289" max="289" width="15.44140625" style="171" customWidth="1"/>
    <col min="290" max="290" width="9.5546875" style="171" customWidth="1"/>
    <col min="291" max="291" width="9.44140625" style="171" customWidth="1"/>
    <col min="292" max="292" width="15.44140625" style="171" customWidth="1"/>
    <col min="293" max="293" width="0" style="171" hidden="1" customWidth="1"/>
    <col min="294" max="512" width="0" style="171" hidden="1"/>
    <col min="513" max="513" width="6.88671875" style="171" customWidth="1"/>
    <col min="514" max="514" width="5.6640625" style="171" customWidth="1"/>
    <col min="515" max="515" width="7" style="171" customWidth="1"/>
    <col min="516" max="518" width="15.44140625" style="171" customWidth="1"/>
    <col min="519" max="519" width="9.44140625" style="171" customWidth="1"/>
    <col min="520" max="520" width="15.44140625" style="171" customWidth="1"/>
    <col min="521" max="521" width="9.5546875" style="171" customWidth="1"/>
    <col min="522" max="522" width="9.44140625" style="171" customWidth="1"/>
    <col min="523" max="523" width="15.44140625" style="171" customWidth="1"/>
    <col min="524" max="524" width="8.33203125" style="171" bestFit="1" customWidth="1"/>
    <col min="525" max="525" width="9.109375" style="171" customWidth="1"/>
    <col min="526" max="526" width="6.109375" style="171" customWidth="1"/>
    <col min="527" max="527" width="7.6640625" style="171" customWidth="1"/>
    <col min="528" max="533" width="15.44140625" style="171" customWidth="1"/>
    <col min="534" max="534" width="8.5546875" style="171" customWidth="1"/>
    <col min="535" max="539" width="0" style="171" hidden="1" customWidth="1"/>
    <col min="540" max="540" width="6.88671875" style="171" customWidth="1"/>
    <col min="541" max="541" width="5.6640625" style="171" customWidth="1"/>
    <col min="542" max="542" width="7" style="171" customWidth="1"/>
    <col min="543" max="543" width="15.44140625" style="171" customWidth="1"/>
    <col min="544" max="544" width="9.44140625" style="171" customWidth="1"/>
    <col min="545" max="545" width="15.44140625" style="171" customWidth="1"/>
    <col min="546" max="546" width="9.5546875" style="171" customWidth="1"/>
    <col min="547" max="547" width="9.44140625" style="171" customWidth="1"/>
    <col min="548" max="548" width="15.44140625" style="171" customWidth="1"/>
    <col min="549" max="549" width="0" style="171" hidden="1" customWidth="1"/>
    <col min="550" max="768" width="0" style="171" hidden="1"/>
    <col min="769" max="769" width="6.88671875" style="171" customWidth="1"/>
    <col min="770" max="770" width="5.6640625" style="171" customWidth="1"/>
    <col min="771" max="771" width="7" style="171" customWidth="1"/>
    <col min="772" max="774" width="15.44140625" style="171" customWidth="1"/>
    <col min="775" max="775" width="9.44140625" style="171" customWidth="1"/>
    <col min="776" max="776" width="15.44140625" style="171" customWidth="1"/>
    <col min="777" max="777" width="9.5546875" style="171" customWidth="1"/>
    <col min="778" max="778" width="9.44140625" style="171" customWidth="1"/>
    <col min="779" max="779" width="15.44140625" style="171" customWidth="1"/>
    <col min="780" max="780" width="8.33203125" style="171" bestFit="1" customWidth="1"/>
    <col min="781" max="781" width="9.109375" style="171" customWidth="1"/>
    <col min="782" max="782" width="6.109375" style="171" customWidth="1"/>
    <col min="783" max="783" width="7.6640625" style="171" customWidth="1"/>
    <col min="784" max="789" width="15.44140625" style="171" customWidth="1"/>
    <col min="790" max="790" width="8.5546875" style="171" customWidth="1"/>
    <col min="791" max="795" width="0" style="171" hidden="1" customWidth="1"/>
    <col min="796" max="796" width="6.88671875" style="171" customWidth="1"/>
    <col min="797" max="797" width="5.6640625" style="171" customWidth="1"/>
    <col min="798" max="798" width="7" style="171" customWidth="1"/>
    <col min="799" max="799" width="15.44140625" style="171" customWidth="1"/>
    <col min="800" max="800" width="9.44140625" style="171" customWidth="1"/>
    <col min="801" max="801" width="15.44140625" style="171" customWidth="1"/>
    <col min="802" max="802" width="9.5546875" style="171" customWidth="1"/>
    <col min="803" max="803" width="9.44140625" style="171" customWidth="1"/>
    <col min="804" max="804" width="15.44140625" style="171" customWidth="1"/>
    <col min="805" max="805" width="0" style="171" hidden="1" customWidth="1"/>
    <col min="806" max="1024" width="0" style="171" hidden="1"/>
    <col min="1025" max="1025" width="6.88671875" style="171" customWidth="1"/>
    <col min="1026" max="1026" width="5.6640625" style="171" customWidth="1"/>
    <col min="1027" max="1027" width="7" style="171" customWidth="1"/>
    <col min="1028" max="1030" width="15.44140625" style="171" customWidth="1"/>
    <col min="1031" max="1031" width="9.44140625" style="171" customWidth="1"/>
    <col min="1032" max="1032" width="15.44140625" style="171" customWidth="1"/>
    <col min="1033" max="1033" width="9.5546875" style="171" customWidth="1"/>
    <col min="1034" max="1034" width="9.44140625" style="171" customWidth="1"/>
    <col min="1035" max="1035" width="15.44140625" style="171" customWidth="1"/>
    <col min="1036" max="1036" width="8.33203125" style="171" bestFit="1" customWidth="1"/>
    <col min="1037" max="1037" width="9.109375" style="171" customWidth="1"/>
    <col min="1038" max="1038" width="6.109375" style="171" customWidth="1"/>
    <col min="1039" max="1039" width="7.6640625" style="171" customWidth="1"/>
    <col min="1040" max="1045" width="15.44140625" style="171" customWidth="1"/>
    <col min="1046" max="1046" width="8.5546875" style="171" customWidth="1"/>
    <col min="1047" max="1051" width="0" style="171" hidden="1" customWidth="1"/>
    <col min="1052" max="1052" width="6.88671875" style="171" customWidth="1"/>
    <col min="1053" max="1053" width="5.6640625" style="171" customWidth="1"/>
    <col min="1054" max="1054" width="7" style="171" customWidth="1"/>
    <col min="1055" max="1055" width="15.44140625" style="171" customWidth="1"/>
    <col min="1056" max="1056" width="9.44140625" style="171" customWidth="1"/>
    <col min="1057" max="1057" width="15.44140625" style="171" customWidth="1"/>
    <col min="1058" max="1058" width="9.5546875" style="171" customWidth="1"/>
    <col min="1059" max="1059" width="9.44140625" style="171" customWidth="1"/>
    <col min="1060" max="1060" width="15.44140625" style="171" customWidth="1"/>
    <col min="1061" max="1061" width="0" style="171" hidden="1" customWidth="1"/>
    <col min="1062" max="1280" width="0" style="171" hidden="1"/>
    <col min="1281" max="1281" width="6.88671875" style="171" customWidth="1"/>
    <col min="1282" max="1282" width="5.6640625" style="171" customWidth="1"/>
    <col min="1283" max="1283" width="7" style="171" customWidth="1"/>
    <col min="1284" max="1286" width="15.44140625" style="171" customWidth="1"/>
    <col min="1287" max="1287" width="9.44140625" style="171" customWidth="1"/>
    <col min="1288" max="1288" width="15.44140625" style="171" customWidth="1"/>
    <col min="1289" max="1289" width="9.5546875" style="171" customWidth="1"/>
    <col min="1290" max="1290" width="9.44140625" style="171" customWidth="1"/>
    <col min="1291" max="1291" width="15.44140625" style="171" customWidth="1"/>
    <col min="1292" max="1292" width="8.33203125" style="171" bestFit="1" customWidth="1"/>
    <col min="1293" max="1293" width="9.109375" style="171" customWidth="1"/>
    <col min="1294" max="1294" width="6.109375" style="171" customWidth="1"/>
    <col min="1295" max="1295" width="7.6640625" style="171" customWidth="1"/>
    <col min="1296" max="1301" width="15.44140625" style="171" customWidth="1"/>
    <col min="1302" max="1302" width="8.5546875" style="171" customWidth="1"/>
    <col min="1303" max="1307" width="0" style="171" hidden="1" customWidth="1"/>
    <col min="1308" max="1308" width="6.88671875" style="171" customWidth="1"/>
    <col min="1309" max="1309" width="5.6640625" style="171" customWidth="1"/>
    <col min="1310" max="1310" width="7" style="171" customWidth="1"/>
    <col min="1311" max="1311" width="15.44140625" style="171" customWidth="1"/>
    <col min="1312" max="1312" width="9.44140625" style="171" customWidth="1"/>
    <col min="1313" max="1313" width="15.44140625" style="171" customWidth="1"/>
    <col min="1314" max="1314" width="9.5546875" style="171" customWidth="1"/>
    <col min="1315" max="1315" width="9.44140625" style="171" customWidth="1"/>
    <col min="1316" max="1316" width="15.44140625" style="171" customWidth="1"/>
    <col min="1317" max="1317" width="0" style="171" hidden="1" customWidth="1"/>
    <col min="1318" max="1536" width="0" style="171" hidden="1"/>
    <col min="1537" max="1537" width="6.88671875" style="171" customWidth="1"/>
    <col min="1538" max="1538" width="5.6640625" style="171" customWidth="1"/>
    <col min="1539" max="1539" width="7" style="171" customWidth="1"/>
    <col min="1540" max="1542" width="15.44140625" style="171" customWidth="1"/>
    <col min="1543" max="1543" width="9.44140625" style="171" customWidth="1"/>
    <col min="1544" max="1544" width="15.44140625" style="171" customWidth="1"/>
    <col min="1545" max="1545" width="9.5546875" style="171" customWidth="1"/>
    <col min="1546" max="1546" width="9.44140625" style="171" customWidth="1"/>
    <col min="1547" max="1547" width="15.44140625" style="171" customWidth="1"/>
    <col min="1548" max="1548" width="8.33203125" style="171" bestFit="1" customWidth="1"/>
    <col min="1549" max="1549" width="9.109375" style="171" customWidth="1"/>
    <col min="1550" max="1550" width="6.109375" style="171" customWidth="1"/>
    <col min="1551" max="1551" width="7.6640625" style="171" customWidth="1"/>
    <col min="1552" max="1557" width="15.44140625" style="171" customWidth="1"/>
    <col min="1558" max="1558" width="8.5546875" style="171" customWidth="1"/>
    <col min="1559" max="1563" width="0" style="171" hidden="1" customWidth="1"/>
    <col min="1564" max="1564" width="6.88671875" style="171" customWidth="1"/>
    <col min="1565" max="1565" width="5.6640625" style="171" customWidth="1"/>
    <col min="1566" max="1566" width="7" style="171" customWidth="1"/>
    <col min="1567" max="1567" width="15.44140625" style="171" customWidth="1"/>
    <col min="1568" max="1568" width="9.44140625" style="171" customWidth="1"/>
    <col min="1569" max="1569" width="15.44140625" style="171" customWidth="1"/>
    <col min="1570" max="1570" width="9.5546875" style="171" customWidth="1"/>
    <col min="1571" max="1571" width="9.44140625" style="171" customWidth="1"/>
    <col min="1572" max="1572" width="15.44140625" style="171" customWidth="1"/>
    <col min="1573" max="1573" width="0" style="171" hidden="1" customWidth="1"/>
    <col min="1574" max="1792" width="0" style="171" hidden="1"/>
    <col min="1793" max="1793" width="6.88671875" style="171" customWidth="1"/>
    <col min="1794" max="1794" width="5.6640625" style="171" customWidth="1"/>
    <col min="1795" max="1795" width="7" style="171" customWidth="1"/>
    <col min="1796" max="1798" width="15.44140625" style="171" customWidth="1"/>
    <col min="1799" max="1799" width="9.44140625" style="171" customWidth="1"/>
    <col min="1800" max="1800" width="15.44140625" style="171" customWidth="1"/>
    <col min="1801" max="1801" width="9.5546875" style="171" customWidth="1"/>
    <col min="1802" max="1802" width="9.44140625" style="171" customWidth="1"/>
    <col min="1803" max="1803" width="15.44140625" style="171" customWidth="1"/>
    <col min="1804" max="1804" width="8.33203125" style="171" bestFit="1" customWidth="1"/>
    <col min="1805" max="1805" width="9.109375" style="171" customWidth="1"/>
    <col min="1806" max="1806" width="6.109375" style="171" customWidth="1"/>
    <col min="1807" max="1807" width="7.6640625" style="171" customWidth="1"/>
    <col min="1808" max="1813" width="15.44140625" style="171" customWidth="1"/>
    <col min="1814" max="1814" width="8.5546875" style="171" customWidth="1"/>
    <col min="1815" max="1819" width="0" style="171" hidden="1" customWidth="1"/>
    <col min="1820" max="1820" width="6.88671875" style="171" customWidth="1"/>
    <col min="1821" max="1821" width="5.6640625" style="171" customWidth="1"/>
    <col min="1822" max="1822" width="7" style="171" customWidth="1"/>
    <col min="1823" max="1823" width="15.44140625" style="171" customWidth="1"/>
    <col min="1824" max="1824" width="9.44140625" style="171" customWidth="1"/>
    <col min="1825" max="1825" width="15.44140625" style="171" customWidth="1"/>
    <col min="1826" max="1826" width="9.5546875" style="171" customWidth="1"/>
    <col min="1827" max="1827" width="9.44140625" style="171" customWidth="1"/>
    <col min="1828" max="1828" width="15.44140625" style="171" customWidth="1"/>
    <col min="1829" max="1829" width="0" style="171" hidden="1" customWidth="1"/>
    <col min="1830" max="2048" width="0" style="171" hidden="1"/>
    <col min="2049" max="2049" width="6.88671875" style="171" customWidth="1"/>
    <col min="2050" max="2050" width="5.6640625" style="171" customWidth="1"/>
    <col min="2051" max="2051" width="7" style="171" customWidth="1"/>
    <col min="2052" max="2054" width="15.44140625" style="171" customWidth="1"/>
    <col min="2055" max="2055" width="9.44140625" style="171" customWidth="1"/>
    <col min="2056" max="2056" width="15.44140625" style="171" customWidth="1"/>
    <col min="2057" max="2057" width="9.5546875" style="171" customWidth="1"/>
    <col min="2058" max="2058" width="9.44140625" style="171" customWidth="1"/>
    <col min="2059" max="2059" width="15.44140625" style="171" customWidth="1"/>
    <col min="2060" max="2060" width="8.33203125" style="171" bestFit="1" customWidth="1"/>
    <col min="2061" max="2061" width="9.109375" style="171" customWidth="1"/>
    <col min="2062" max="2062" width="6.109375" style="171" customWidth="1"/>
    <col min="2063" max="2063" width="7.6640625" style="171" customWidth="1"/>
    <col min="2064" max="2069" width="15.44140625" style="171" customWidth="1"/>
    <col min="2070" max="2070" width="8.5546875" style="171" customWidth="1"/>
    <col min="2071" max="2075" width="0" style="171" hidden="1" customWidth="1"/>
    <col min="2076" max="2076" width="6.88671875" style="171" customWidth="1"/>
    <col min="2077" max="2077" width="5.6640625" style="171" customWidth="1"/>
    <col min="2078" max="2078" width="7" style="171" customWidth="1"/>
    <col min="2079" max="2079" width="15.44140625" style="171" customWidth="1"/>
    <col min="2080" max="2080" width="9.44140625" style="171" customWidth="1"/>
    <col min="2081" max="2081" width="15.44140625" style="171" customWidth="1"/>
    <col min="2082" max="2082" width="9.5546875" style="171" customWidth="1"/>
    <col min="2083" max="2083" width="9.44140625" style="171" customWidth="1"/>
    <col min="2084" max="2084" width="15.44140625" style="171" customWidth="1"/>
    <col min="2085" max="2085" width="0" style="171" hidden="1" customWidth="1"/>
    <col min="2086" max="2304" width="0" style="171" hidden="1"/>
    <col min="2305" max="2305" width="6.88671875" style="171" customWidth="1"/>
    <col min="2306" max="2306" width="5.6640625" style="171" customWidth="1"/>
    <col min="2307" max="2307" width="7" style="171" customWidth="1"/>
    <col min="2308" max="2310" width="15.44140625" style="171" customWidth="1"/>
    <col min="2311" max="2311" width="9.44140625" style="171" customWidth="1"/>
    <col min="2312" max="2312" width="15.44140625" style="171" customWidth="1"/>
    <col min="2313" max="2313" width="9.5546875" style="171" customWidth="1"/>
    <col min="2314" max="2314" width="9.44140625" style="171" customWidth="1"/>
    <col min="2315" max="2315" width="15.44140625" style="171" customWidth="1"/>
    <col min="2316" max="2316" width="8.33203125" style="171" bestFit="1" customWidth="1"/>
    <col min="2317" max="2317" width="9.109375" style="171" customWidth="1"/>
    <col min="2318" max="2318" width="6.109375" style="171" customWidth="1"/>
    <col min="2319" max="2319" width="7.6640625" style="171" customWidth="1"/>
    <col min="2320" max="2325" width="15.44140625" style="171" customWidth="1"/>
    <col min="2326" max="2326" width="8.5546875" style="171" customWidth="1"/>
    <col min="2327" max="2331" width="0" style="171" hidden="1" customWidth="1"/>
    <col min="2332" max="2332" width="6.88671875" style="171" customWidth="1"/>
    <col min="2333" max="2333" width="5.6640625" style="171" customWidth="1"/>
    <col min="2334" max="2334" width="7" style="171" customWidth="1"/>
    <col min="2335" max="2335" width="15.44140625" style="171" customWidth="1"/>
    <col min="2336" max="2336" width="9.44140625" style="171" customWidth="1"/>
    <col min="2337" max="2337" width="15.44140625" style="171" customWidth="1"/>
    <col min="2338" max="2338" width="9.5546875" style="171" customWidth="1"/>
    <col min="2339" max="2339" width="9.44140625" style="171" customWidth="1"/>
    <col min="2340" max="2340" width="15.44140625" style="171" customWidth="1"/>
    <col min="2341" max="2341" width="0" style="171" hidden="1" customWidth="1"/>
    <col min="2342" max="2560" width="0" style="171" hidden="1"/>
    <col min="2561" max="2561" width="6.88671875" style="171" customWidth="1"/>
    <col min="2562" max="2562" width="5.6640625" style="171" customWidth="1"/>
    <col min="2563" max="2563" width="7" style="171" customWidth="1"/>
    <col min="2564" max="2566" width="15.44140625" style="171" customWidth="1"/>
    <col min="2567" max="2567" width="9.44140625" style="171" customWidth="1"/>
    <col min="2568" max="2568" width="15.44140625" style="171" customWidth="1"/>
    <col min="2569" max="2569" width="9.5546875" style="171" customWidth="1"/>
    <col min="2570" max="2570" width="9.44140625" style="171" customWidth="1"/>
    <col min="2571" max="2571" width="15.44140625" style="171" customWidth="1"/>
    <col min="2572" max="2572" width="8.33203125" style="171" bestFit="1" customWidth="1"/>
    <col min="2573" max="2573" width="9.109375" style="171" customWidth="1"/>
    <col min="2574" max="2574" width="6.109375" style="171" customWidth="1"/>
    <col min="2575" max="2575" width="7.6640625" style="171" customWidth="1"/>
    <col min="2576" max="2581" width="15.44140625" style="171" customWidth="1"/>
    <col min="2582" max="2582" width="8.5546875" style="171" customWidth="1"/>
    <col min="2583" max="2587" width="0" style="171" hidden="1" customWidth="1"/>
    <col min="2588" max="2588" width="6.88671875" style="171" customWidth="1"/>
    <col min="2589" max="2589" width="5.6640625" style="171" customWidth="1"/>
    <col min="2590" max="2590" width="7" style="171" customWidth="1"/>
    <col min="2591" max="2591" width="15.44140625" style="171" customWidth="1"/>
    <col min="2592" max="2592" width="9.44140625" style="171" customWidth="1"/>
    <col min="2593" max="2593" width="15.44140625" style="171" customWidth="1"/>
    <col min="2594" max="2594" width="9.5546875" style="171" customWidth="1"/>
    <col min="2595" max="2595" width="9.44140625" style="171" customWidth="1"/>
    <col min="2596" max="2596" width="15.44140625" style="171" customWidth="1"/>
    <col min="2597" max="2597" width="0" style="171" hidden="1" customWidth="1"/>
    <col min="2598" max="2816" width="0" style="171" hidden="1"/>
    <col min="2817" max="2817" width="6.88671875" style="171" customWidth="1"/>
    <col min="2818" max="2818" width="5.6640625" style="171" customWidth="1"/>
    <col min="2819" max="2819" width="7" style="171" customWidth="1"/>
    <col min="2820" max="2822" width="15.44140625" style="171" customWidth="1"/>
    <col min="2823" max="2823" width="9.44140625" style="171" customWidth="1"/>
    <col min="2824" max="2824" width="15.44140625" style="171" customWidth="1"/>
    <col min="2825" max="2825" width="9.5546875" style="171" customWidth="1"/>
    <col min="2826" max="2826" width="9.44140625" style="171" customWidth="1"/>
    <col min="2827" max="2827" width="15.44140625" style="171" customWidth="1"/>
    <col min="2828" max="2828" width="8.33203125" style="171" bestFit="1" customWidth="1"/>
    <col min="2829" max="2829" width="9.109375" style="171" customWidth="1"/>
    <col min="2830" max="2830" width="6.109375" style="171" customWidth="1"/>
    <col min="2831" max="2831" width="7.6640625" style="171" customWidth="1"/>
    <col min="2832" max="2837" width="15.44140625" style="171" customWidth="1"/>
    <col min="2838" max="2838" width="8.5546875" style="171" customWidth="1"/>
    <col min="2839" max="2843" width="0" style="171" hidden="1" customWidth="1"/>
    <col min="2844" max="2844" width="6.88671875" style="171" customWidth="1"/>
    <col min="2845" max="2845" width="5.6640625" style="171" customWidth="1"/>
    <col min="2846" max="2846" width="7" style="171" customWidth="1"/>
    <col min="2847" max="2847" width="15.44140625" style="171" customWidth="1"/>
    <col min="2848" max="2848" width="9.44140625" style="171" customWidth="1"/>
    <col min="2849" max="2849" width="15.44140625" style="171" customWidth="1"/>
    <col min="2850" max="2850" width="9.5546875" style="171" customWidth="1"/>
    <col min="2851" max="2851" width="9.44140625" style="171" customWidth="1"/>
    <col min="2852" max="2852" width="15.44140625" style="171" customWidth="1"/>
    <col min="2853" max="2853" width="0" style="171" hidden="1" customWidth="1"/>
    <col min="2854" max="3072" width="0" style="171" hidden="1"/>
    <col min="3073" max="3073" width="6.88671875" style="171" customWidth="1"/>
    <col min="3074" max="3074" width="5.6640625" style="171" customWidth="1"/>
    <col min="3075" max="3075" width="7" style="171" customWidth="1"/>
    <col min="3076" max="3078" width="15.44140625" style="171" customWidth="1"/>
    <col min="3079" max="3079" width="9.44140625" style="171" customWidth="1"/>
    <col min="3080" max="3080" width="15.44140625" style="171" customWidth="1"/>
    <col min="3081" max="3081" width="9.5546875" style="171" customWidth="1"/>
    <col min="3082" max="3082" width="9.44140625" style="171" customWidth="1"/>
    <col min="3083" max="3083" width="15.44140625" style="171" customWidth="1"/>
    <col min="3084" max="3084" width="8.33203125" style="171" bestFit="1" customWidth="1"/>
    <col min="3085" max="3085" width="9.109375" style="171" customWidth="1"/>
    <col min="3086" max="3086" width="6.109375" style="171" customWidth="1"/>
    <col min="3087" max="3087" width="7.6640625" style="171" customWidth="1"/>
    <col min="3088" max="3093" width="15.44140625" style="171" customWidth="1"/>
    <col min="3094" max="3094" width="8.5546875" style="171" customWidth="1"/>
    <col min="3095" max="3099" width="0" style="171" hidden="1" customWidth="1"/>
    <col min="3100" max="3100" width="6.88671875" style="171" customWidth="1"/>
    <col min="3101" max="3101" width="5.6640625" style="171" customWidth="1"/>
    <col min="3102" max="3102" width="7" style="171" customWidth="1"/>
    <col min="3103" max="3103" width="15.44140625" style="171" customWidth="1"/>
    <col min="3104" max="3104" width="9.44140625" style="171" customWidth="1"/>
    <col min="3105" max="3105" width="15.44140625" style="171" customWidth="1"/>
    <col min="3106" max="3106" width="9.5546875" style="171" customWidth="1"/>
    <col min="3107" max="3107" width="9.44140625" style="171" customWidth="1"/>
    <col min="3108" max="3108" width="15.44140625" style="171" customWidth="1"/>
    <col min="3109" max="3109" width="0" style="171" hidden="1" customWidth="1"/>
    <col min="3110" max="3328" width="0" style="171" hidden="1"/>
    <col min="3329" max="3329" width="6.88671875" style="171" customWidth="1"/>
    <col min="3330" max="3330" width="5.6640625" style="171" customWidth="1"/>
    <col min="3331" max="3331" width="7" style="171" customWidth="1"/>
    <col min="3332" max="3334" width="15.44140625" style="171" customWidth="1"/>
    <col min="3335" max="3335" width="9.44140625" style="171" customWidth="1"/>
    <col min="3336" max="3336" width="15.44140625" style="171" customWidth="1"/>
    <col min="3337" max="3337" width="9.5546875" style="171" customWidth="1"/>
    <col min="3338" max="3338" width="9.44140625" style="171" customWidth="1"/>
    <col min="3339" max="3339" width="15.44140625" style="171" customWidth="1"/>
    <col min="3340" max="3340" width="8.33203125" style="171" bestFit="1" customWidth="1"/>
    <col min="3341" max="3341" width="9.109375" style="171" customWidth="1"/>
    <col min="3342" max="3342" width="6.109375" style="171" customWidth="1"/>
    <col min="3343" max="3343" width="7.6640625" style="171" customWidth="1"/>
    <col min="3344" max="3349" width="15.44140625" style="171" customWidth="1"/>
    <col min="3350" max="3350" width="8.5546875" style="171" customWidth="1"/>
    <col min="3351" max="3355" width="0" style="171" hidden="1" customWidth="1"/>
    <col min="3356" max="3356" width="6.88671875" style="171" customWidth="1"/>
    <col min="3357" max="3357" width="5.6640625" style="171" customWidth="1"/>
    <col min="3358" max="3358" width="7" style="171" customWidth="1"/>
    <col min="3359" max="3359" width="15.44140625" style="171" customWidth="1"/>
    <col min="3360" max="3360" width="9.44140625" style="171" customWidth="1"/>
    <col min="3361" max="3361" width="15.44140625" style="171" customWidth="1"/>
    <col min="3362" max="3362" width="9.5546875" style="171" customWidth="1"/>
    <col min="3363" max="3363" width="9.44140625" style="171" customWidth="1"/>
    <col min="3364" max="3364" width="15.44140625" style="171" customWidth="1"/>
    <col min="3365" max="3365" width="0" style="171" hidden="1" customWidth="1"/>
    <col min="3366" max="3584" width="0" style="171" hidden="1"/>
    <col min="3585" max="3585" width="6.88671875" style="171" customWidth="1"/>
    <col min="3586" max="3586" width="5.6640625" style="171" customWidth="1"/>
    <col min="3587" max="3587" width="7" style="171" customWidth="1"/>
    <col min="3588" max="3590" width="15.44140625" style="171" customWidth="1"/>
    <col min="3591" max="3591" width="9.44140625" style="171" customWidth="1"/>
    <col min="3592" max="3592" width="15.44140625" style="171" customWidth="1"/>
    <col min="3593" max="3593" width="9.5546875" style="171" customWidth="1"/>
    <col min="3594" max="3594" width="9.44140625" style="171" customWidth="1"/>
    <col min="3595" max="3595" width="15.44140625" style="171" customWidth="1"/>
    <col min="3596" max="3596" width="8.33203125" style="171" bestFit="1" customWidth="1"/>
    <col min="3597" max="3597" width="9.109375" style="171" customWidth="1"/>
    <col min="3598" max="3598" width="6.109375" style="171" customWidth="1"/>
    <col min="3599" max="3599" width="7.6640625" style="171" customWidth="1"/>
    <col min="3600" max="3605" width="15.44140625" style="171" customWidth="1"/>
    <col min="3606" max="3606" width="8.5546875" style="171" customWidth="1"/>
    <col min="3607" max="3611" width="0" style="171" hidden="1" customWidth="1"/>
    <col min="3612" max="3612" width="6.88671875" style="171" customWidth="1"/>
    <col min="3613" max="3613" width="5.6640625" style="171" customWidth="1"/>
    <col min="3614" max="3614" width="7" style="171" customWidth="1"/>
    <col min="3615" max="3615" width="15.44140625" style="171" customWidth="1"/>
    <col min="3616" max="3616" width="9.44140625" style="171" customWidth="1"/>
    <col min="3617" max="3617" width="15.44140625" style="171" customWidth="1"/>
    <col min="3618" max="3618" width="9.5546875" style="171" customWidth="1"/>
    <col min="3619" max="3619" width="9.44140625" style="171" customWidth="1"/>
    <col min="3620" max="3620" width="15.44140625" style="171" customWidth="1"/>
    <col min="3621" max="3621" width="0" style="171" hidden="1" customWidth="1"/>
    <col min="3622" max="3840" width="0" style="171" hidden="1"/>
    <col min="3841" max="3841" width="6.88671875" style="171" customWidth="1"/>
    <col min="3842" max="3842" width="5.6640625" style="171" customWidth="1"/>
    <col min="3843" max="3843" width="7" style="171" customWidth="1"/>
    <col min="3844" max="3846" width="15.44140625" style="171" customWidth="1"/>
    <col min="3847" max="3847" width="9.44140625" style="171" customWidth="1"/>
    <col min="3848" max="3848" width="15.44140625" style="171" customWidth="1"/>
    <col min="3849" max="3849" width="9.5546875" style="171" customWidth="1"/>
    <col min="3850" max="3850" width="9.44140625" style="171" customWidth="1"/>
    <col min="3851" max="3851" width="15.44140625" style="171" customWidth="1"/>
    <col min="3852" max="3852" width="8.33203125" style="171" bestFit="1" customWidth="1"/>
    <col min="3853" max="3853" width="9.109375" style="171" customWidth="1"/>
    <col min="3854" max="3854" width="6.109375" style="171" customWidth="1"/>
    <col min="3855" max="3855" width="7.6640625" style="171" customWidth="1"/>
    <col min="3856" max="3861" width="15.44140625" style="171" customWidth="1"/>
    <col min="3862" max="3862" width="8.5546875" style="171" customWidth="1"/>
    <col min="3863" max="3867" width="0" style="171" hidden="1" customWidth="1"/>
    <col min="3868" max="3868" width="6.88671875" style="171" customWidth="1"/>
    <col min="3869" max="3869" width="5.6640625" style="171" customWidth="1"/>
    <col min="3870" max="3870" width="7" style="171" customWidth="1"/>
    <col min="3871" max="3871" width="15.44140625" style="171" customWidth="1"/>
    <col min="3872" max="3872" width="9.44140625" style="171" customWidth="1"/>
    <col min="3873" max="3873" width="15.44140625" style="171" customWidth="1"/>
    <col min="3874" max="3874" width="9.5546875" style="171" customWidth="1"/>
    <col min="3875" max="3875" width="9.44140625" style="171" customWidth="1"/>
    <col min="3876" max="3876" width="15.44140625" style="171" customWidth="1"/>
    <col min="3877" max="3877" width="0" style="171" hidden="1" customWidth="1"/>
    <col min="3878" max="4096" width="0" style="171" hidden="1"/>
    <col min="4097" max="4097" width="6.88671875" style="171" customWidth="1"/>
    <col min="4098" max="4098" width="5.6640625" style="171" customWidth="1"/>
    <col min="4099" max="4099" width="7" style="171" customWidth="1"/>
    <col min="4100" max="4102" width="15.44140625" style="171" customWidth="1"/>
    <col min="4103" max="4103" width="9.44140625" style="171" customWidth="1"/>
    <col min="4104" max="4104" width="15.44140625" style="171" customWidth="1"/>
    <col min="4105" max="4105" width="9.5546875" style="171" customWidth="1"/>
    <col min="4106" max="4106" width="9.44140625" style="171" customWidth="1"/>
    <col min="4107" max="4107" width="15.44140625" style="171" customWidth="1"/>
    <col min="4108" max="4108" width="8.33203125" style="171" bestFit="1" customWidth="1"/>
    <col min="4109" max="4109" width="9.109375" style="171" customWidth="1"/>
    <col min="4110" max="4110" width="6.109375" style="171" customWidth="1"/>
    <col min="4111" max="4111" width="7.6640625" style="171" customWidth="1"/>
    <col min="4112" max="4117" width="15.44140625" style="171" customWidth="1"/>
    <col min="4118" max="4118" width="8.5546875" style="171" customWidth="1"/>
    <col min="4119" max="4123" width="0" style="171" hidden="1" customWidth="1"/>
    <col min="4124" max="4124" width="6.88671875" style="171" customWidth="1"/>
    <col min="4125" max="4125" width="5.6640625" style="171" customWidth="1"/>
    <col min="4126" max="4126" width="7" style="171" customWidth="1"/>
    <col min="4127" max="4127" width="15.44140625" style="171" customWidth="1"/>
    <col min="4128" max="4128" width="9.44140625" style="171" customWidth="1"/>
    <col min="4129" max="4129" width="15.44140625" style="171" customWidth="1"/>
    <col min="4130" max="4130" width="9.5546875" style="171" customWidth="1"/>
    <col min="4131" max="4131" width="9.44140625" style="171" customWidth="1"/>
    <col min="4132" max="4132" width="15.44140625" style="171" customWidth="1"/>
    <col min="4133" max="4133" width="0" style="171" hidden="1" customWidth="1"/>
    <col min="4134" max="4352" width="0" style="171" hidden="1"/>
    <col min="4353" max="4353" width="6.88671875" style="171" customWidth="1"/>
    <col min="4354" max="4354" width="5.6640625" style="171" customWidth="1"/>
    <col min="4355" max="4355" width="7" style="171" customWidth="1"/>
    <col min="4356" max="4358" width="15.44140625" style="171" customWidth="1"/>
    <col min="4359" max="4359" width="9.44140625" style="171" customWidth="1"/>
    <col min="4360" max="4360" width="15.44140625" style="171" customWidth="1"/>
    <col min="4361" max="4361" width="9.5546875" style="171" customWidth="1"/>
    <col min="4362" max="4362" width="9.44140625" style="171" customWidth="1"/>
    <col min="4363" max="4363" width="15.44140625" style="171" customWidth="1"/>
    <col min="4364" max="4364" width="8.33203125" style="171" bestFit="1" customWidth="1"/>
    <col min="4365" max="4365" width="9.109375" style="171" customWidth="1"/>
    <col min="4366" max="4366" width="6.109375" style="171" customWidth="1"/>
    <col min="4367" max="4367" width="7.6640625" style="171" customWidth="1"/>
    <col min="4368" max="4373" width="15.44140625" style="171" customWidth="1"/>
    <col min="4374" max="4374" width="8.5546875" style="171" customWidth="1"/>
    <col min="4375" max="4379" width="0" style="171" hidden="1" customWidth="1"/>
    <col min="4380" max="4380" width="6.88671875" style="171" customWidth="1"/>
    <col min="4381" max="4381" width="5.6640625" style="171" customWidth="1"/>
    <col min="4382" max="4382" width="7" style="171" customWidth="1"/>
    <col min="4383" max="4383" width="15.44140625" style="171" customWidth="1"/>
    <col min="4384" max="4384" width="9.44140625" style="171" customWidth="1"/>
    <col min="4385" max="4385" width="15.44140625" style="171" customWidth="1"/>
    <col min="4386" max="4386" width="9.5546875" style="171" customWidth="1"/>
    <col min="4387" max="4387" width="9.44140625" style="171" customWidth="1"/>
    <col min="4388" max="4388" width="15.44140625" style="171" customWidth="1"/>
    <col min="4389" max="4389" width="0" style="171" hidden="1" customWidth="1"/>
    <col min="4390" max="4608" width="0" style="171" hidden="1"/>
    <col min="4609" max="4609" width="6.88671875" style="171" customWidth="1"/>
    <col min="4610" max="4610" width="5.6640625" style="171" customWidth="1"/>
    <col min="4611" max="4611" width="7" style="171" customWidth="1"/>
    <col min="4612" max="4614" width="15.44140625" style="171" customWidth="1"/>
    <col min="4615" max="4615" width="9.44140625" style="171" customWidth="1"/>
    <col min="4616" max="4616" width="15.44140625" style="171" customWidth="1"/>
    <col min="4617" max="4617" width="9.5546875" style="171" customWidth="1"/>
    <col min="4618" max="4618" width="9.44140625" style="171" customWidth="1"/>
    <col min="4619" max="4619" width="15.44140625" style="171" customWidth="1"/>
    <col min="4620" max="4620" width="8.33203125" style="171" bestFit="1" customWidth="1"/>
    <col min="4621" max="4621" width="9.109375" style="171" customWidth="1"/>
    <col min="4622" max="4622" width="6.109375" style="171" customWidth="1"/>
    <col min="4623" max="4623" width="7.6640625" style="171" customWidth="1"/>
    <col min="4624" max="4629" width="15.44140625" style="171" customWidth="1"/>
    <col min="4630" max="4630" width="8.5546875" style="171" customWidth="1"/>
    <col min="4631" max="4635" width="0" style="171" hidden="1" customWidth="1"/>
    <col min="4636" max="4636" width="6.88671875" style="171" customWidth="1"/>
    <col min="4637" max="4637" width="5.6640625" style="171" customWidth="1"/>
    <col min="4638" max="4638" width="7" style="171" customWidth="1"/>
    <col min="4639" max="4639" width="15.44140625" style="171" customWidth="1"/>
    <col min="4640" max="4640" width="9.44140625" style="171" customWidth="1"/>
    <col min="4641" max="4641" width="15.44140625" style="171" customWidth="1"/>
    <col min="4642" max="4642" width="9.5546875" style="171" customWidth="1"/>
    <col min="4643" max="4643" width="9.44140625" style="171" customWidth="1"/>
    <col min="4644" max="4644" width="15.44140625" style="171" customWidth="1"/>
    <col min="4645" max="4645" width="0" style="171" hidden="1" customWidth="1"/>
    <col min="4646" max="4864" width="0" style="171" hidden="1"/>
    <col min="4865" max="4865" width="6.88671875" style="171" customWidth="1"/>
    <col min="4866" max="4866" width="5.6640625" style="171" customWidth="1"/>
    <col min="4867" max="4867" width="7" style="171" customWidth="1"/>
    <col min="4868" max="4870" width="15.44140625" style="171" customWidth="1"/>
    <col min="4871" max="4871" width="9.44140625" style="171" customWidth="1"/>
    <col min="4872" max="4872" width="15.44140625" style="171" customWidth="1"/>
    <col min="4873" max="4873" width="9.5546875" style="171" customWidth="1"/>
    <col min="4874" max="4874" width="9.44140625" style="171" customWidth="1"/>
    <col min="4875" max="4875" width="15.44140625" style="171" customWidth="1"/>
    <col min="4876" max="4876" width="8.33203125" style="171" bestFit="1" customWidth="1"/>
    <col min="4877" max="4877" width="9.109375" style="171" customWidth="1"/>
    <col min="4878" max="4878" width="6.109375" style="171" customWidth="1"/>
    <col min="4879" max="4879" width="7.6640625" style="171" customWidth="1"/>
    <col min="4880" max="4885" width="15.44140625" style="171" customWidth="1"/>
    <col min="4886" max="4886" width="8.5546875" style="171" customWidth="1"/>
    <col min="4887" max="4891" width="0" style="171" hidden="1" customWidth="1"/>
    <col min="4892" max="4892" width="6.88671875" style="171" customWidth="1"/>
    <col min="4893" max="4893" width="5.6640625" style="171" customWidth="1"/>
    <col min="4894" max="4894" width="7" style="171" customWidth="1"/>
    <col min="4895" max="4895" width="15.44140625" style="171" customWidth="1"/>
    <col min="4896" max="4896" width="9.44140625" style="171" customWidth="1"/>
    <col min="4897" max="4897" width="15.44140625" style="171" customWidth="1"/>
    <col min="4898" max="4898" width="9.5546875" style="171" customWidth="1"/>
    <col min="4899" max="4899" width="9.44140625" style="171" customWidth="1"/>
    <col min="4900" max="4900" width="15.44140625" style="171" customWidth="1"/>
    <col min="4901" max="4901" width="0" style="171" hidden="1" customWidth="1"/>
    <col min="4902" max="5120" width="0" style="171" hidden="1"/>
    <col min="5121" max="5121" width="6.88671875" style="171" customWidth="1"/>
    <col min="5122" max="5122" width="5.6640625" style="171" customWidth="1"/>
    <col min="5123" max="5123" width="7" style="171" customWidth="1"/>
    <col min="5124" max="5126" width="15.44140625" style="171" customWidth="1"/>
    <col min="5127" max="5127" width="9.44140625" style="171" customWidth="1"/>
    <col min="5128" max="5128" width="15.44140625" style="171" customWidth="1"/>
    <col min="5129" max="5129" width="9.5546875" style="171" customWidth="1"/>
    <col min="5130" max="5130" width="9.44140625" style="171" customWidth="1"/>
    <col min="5131" max="5131" width="15.44140625" style="171" customWidth="1"/>
    <col min="5132" max="5132" width="8.33203125" style="171" bestFit="1" customWidth="1"/>
    <col min="5133" max="5133" width="9.109375" style="171" customWidth="1"/>
    <col min="5134" max="5134" width="6.109375" style="171" customWidth="1"/>
    <col min="5135" max="5135" width="7.6640625" style="171" customWidth="1"/>
    <col min="5136" max="5141" width="15.44140625" style="171" customWidth="1"/>
    <col min="5142" max="5142" width="8.5546875" style="171" customWidth="1"/>
    <col min="5143" max="5147" width="0" style="171" hidden="1" customWidth="1"/>
    <col min="5148" max="5148" width="6.88671875" style="171" customWidth="1"/>
    <col min="5149" max="5149" width="5.6640625" style="171" customWidth="1"/>
    <col min="5150" max="5150" width="7" style="171" customWidth="1"/>
    <col min="5151" max="5151" width="15.44140625" style="171" customWidth="1"/>
    <col min="5152" max="5152" width="9.44140625" style="171" customWidth="1"/>
    <col min="5153" max="5153" width="15.44140625" style="171" customWidth="1"/>
    <col min="5154" max="5154" width="9.5546875" style="171" customWidth="1"/>
    <col min="5155" max="5155" width="9.44140625" style="171" customWidth="1"/>
    <col min="5156" max="5156" width="15.44140625" style="171" customWidth="1"/>
    <col min="5157" max="5157" width="0" style="171" hidden="1" customWidth="1"/>
    <col min="5158" max="5376" width="0" style="171" hidden="1"/>
    <col min="5377" max="5377" width="6.88671875" style="171" customWidth="1"/>
    <col min="5378" max="5378" width="5.6640625" style="171" customWidth="1"/>
    <col min="5379" max="5379" width="7" style="171" customWidth="1"/>
    <col min="5380" max="5382" width="15.44140625" style="171" customWidth="1"/>
    <col min="5383" max="5383" width="9.44140625" style="171" customWidth="1"/>
    <col min="5384" max="5384" width="15.44140625" style="171" customWidth="1"/>
    <col min="5385" max="5385" width="9.5546875" style="171" customWidth="1"/>
    <col min="5386" max="5386" width="9.44140625" style="171" customWidth="1"/>
    <col min="5387" max="5387" width="15.44140625" style="171" customWidth="1"/>
    <col min="5388" max="5388" width="8.33203125" style="171" bestFit="1" customWidth="1"/>
    <col min="5389" max="5389" width="9.109375" style="171" customWidth="1"/>
    <col min="5390" max="5390" width="6.109375" style="171" customWidth="1"/>
    <col min="5391" max="5391" width="7.6640625" style="171" customWidth="1"/>
    <col min="5392" max="5397" width="15.44140625" style="171" customWidth="1"/>
    <col min="5398" max="5398" width="8.5546875" style="171" customWidth="1"/>
    <col min="5399" max="5403" width="0" style="171" hidden="1" customWidth="1"/>
    <col min="5404" max="5404" width="6.88671875" style="171" customWidth="1"/>
    <col min="5405" max="5405" width="5.6640625" style="171" customWidth="1"/>
    <col min="5406" max="5406" width="7" style="171" customWidth="1"/>
    <col min="5407" max="5407" width="15.44140625" style="171" customWidth="1"/>
    <col min="5408" max="5408" width="9.44140625" style="171" customWidth="1"/>
    <col min="5409" max="5409" width="15.44140625" style="171" customWidth="1"/>
    <col min="5410" max="5410" width="9.5546875" style="171" customWidth="1"/>
    <col min="5411" max="5411" width="9.44140625" style="171" customWidth="1"/>
    <col min="5412" max="5412" width="15.44140625" style="171" customWidth="1"/>
    <col min="5413" max="5413" width="0" style="171" hidden="1" customWidth="1"/>
    <col min="5414" max="5632" width="0" style="171" hidden="1"/>
    <col min="5633" max="5633" width="6.88671875" style="171" customWidth="1"/>
    <col min="5634" max="5634" width="5.6640625" style="171" customWidth="1"/>
    <col min="5635" max="5635" width="7" style="171" customWidth="1"/>
    <col min="5636" max="5638" width="15.44140625" style="171" customWidth="1"/>
    <col min="5639" max="5639" width="9.44140625" style="171" customWidth="1"/>
    <col min="5640" max="5640" width="15.44140625" style="171" customWidth="1"/>
    <col min="5641" max="5641" width="9.5546875" style="171" customWidth="1"/>
    <col min="5642" max="5642" width="9.44140625" style="171" customWidth="1"/>
    <col min="5643" max="5643" width="15.44140625" style="171" customWidth="1"/>
    <col min="5644" max="5644" width="8.33203125" style="171" bestFit="1" customWidth="1"/>
    <col min="5645" max="5645" width="9.109375" style="171" customWidth="1"/>
    <col min="5646" max="5646" width="6.109375" style="171" customWidth="1"/>
    <col min="5647" max="5647" width="7.6640625" style="171" customWidth="1"/>
    <col min="5648" max="5653" width="15.44140625" style="171" customWidth="1"/>
    <col min="5654" max="5654" width="8.5546875" style="171" customWidth="1"/>
    <col min="5655" max="5659" width="0" style="171" hidden="1" customWidth="1"/>
    <col min="5660" max="5660" width="6.88671875" style="171" customWidth="1"/>
    <col min="5661" max="5661" width="5.6640625" style="171" customWidth="1"/>
    <col min="5662" max="5662" width="7" style="171" customWidth="1"/>
    <col min="5663" max="5663" width="15.44140625" style="171" customWidth="1"/>
    <col min="5664" max="5664" width="9.44140625" style="171" customWidth="1"/>
    <col min="5665" max="5665" width="15.44140625" style="171" customWidth="1"/>
    <col min="5666" max="5666" width="9.5546875" style="171" customWidth="1"/>
    <col min="5667" max="5667" width="9.44140625" style="171" customWidth="1"/>
    <col min="5668" max="5668" width="15.44140625" style="171" customWidth="1"/>
    <col min="5669" max="5669" width="0" style="171" hidden="1" customWidth="1"/>
    <col min="5670" max="5888" width="0" style="171" hidden="1"/>
    <col min="5889" max="5889" width="6.88671875" style="171" customWidth="1"/>
    <col min="5890" max="5890" width="5.6640625" style="171" customWidth="1"/>
    <col min="5891" max="5891" width="7" style="171" customWidth="1"/>
    <col min="5892" max="5894" width="15.44140625" style="171" customWidth="1"/>
    <col min="5895" max="5895" width="9.44140625" style="171" customWidth="1"/>
    <col min="5896" max="5896" width="15.44140625" style="171" customWidth="1"/>
    <col min="5897" max="5897" width="9.5546875" style="171" customWidth="1"/>
    <col min="5898" max="5898" width="9.44140625" style="171" customWidth="1"/>
    <col min="5899" max="5899" width="15.44140625" style="171" customWidth="1"/>
    <col min="5900" max="5900" width="8.33203125" style="171" bestFit="1" customWidth="1"/>
    <col min="5901" max="5901" width="9.109375" style="171" customWidth="1"/>
    <col min="5902" max="5902" width="6.109375" style="171" customWidth="1"/>
    <col min="5903" max="5903" width="7.6640625" style="171" customWidth="1"/>
    <col min="5904" max="5909" width="15.44140625" style="171" customWidth="1"/>
    <col min="5910" max="5910" width="8.5546875" style="171" customWidth="1"/>
    <col min="5911" max="5915" width="0" style="171" hidden="1" customWidth="1"/>
    <col min="5916" max="5916" width="6.88671875" style="171" customWidth="1"/>
    <col min="5917" max="5917" width="5.6640625" style="171" customWidth="1"/>
    <col min="5918" max="5918" width="7" style="171" customWidth="1"/>
    <col min="5919" max="5919" width="15.44140625" style="171" customWidth="1"/>
    <col min="5920" max="5920" width="9.44140625" style="171" customWidth="1"/>
    <col min="5921" max="5921" width="15.44140625" style="171" customWidth="1"/>
    <col min="5922" max="5922" width="9.5546875" style="171" customWidth="1"/>
    <col min="5923" max="5923" width="9.44140625" style="171" customWidth="1"/>
    <col min="5924" max="5924" width="15.44140625" style="171" customWidth="1"/>
    <col min="5925" max="5925" width="0" style="171" hidden="1" customWidth="1"/>
    <col min="5926" max="6144" width="0" style="171" hidden="1"/>
    <col min="6145" max="6145" width="6.88671875" style="171" customWidth="1"/>
    <col min="6146" max="6146" width="5.6640625" style="171" customWidth="1"/>
    <col min="6147" max="6147" width="7" style="171" customWidth="1"/>
    <col min="6148" max="6150" width="15.44140625" style="171" customWidth="1"/>
    <col min="6151" max="6151" width="9.44140625" style="171" customWidth="1"/>
    <col min="6152" max="6152" width="15.44140625" style="171" customWidth="1"/>
    <col min="6153" max="6153" width="9.5546875" style="171" customWidth="1"/>
    <col min="6154" max="6154" width="9.44140625" style="171" customWidth="1"/>
    <col min="6155" max="6155" width="15.44140625" style="171" customWidth="1"/>
    <col min="6156" max="6156" width="8.33203125" style="171" bestFit="1" customWidth="1"/>
    <col min="6157" max="6157" width="9.109375" style="171" customWidth="1"/>
    <col min="6158" max="6158" width="6.109375" style="171" customWidth="1"/>
    <col min="6159" max="6159" width="7.6640625" style="171" customWidth="1"/>
    <col min="6160" max="6165" width="15.44140625" style="171" customWidth="1"/>
    <col min="6166" max="6166" width="8.5546875" style="171" customWidth="1"/>
    <col min="6167" max="6171" width="0" style="171" hidden="1" customWidth="1"/>
    <col min="6172" max="6172" width="6.88671875" style="171" customWidth="1"/>
    <col min="6173" max="6173" width="5.6640625" style="171" customWidth="1"/>
    <col min="6174" max="6174" width="7" style="171" customWidth="1"/>
    <col min="6175" max="6175" width="15.44140625" style="171" customWidth="1"/>
    <col min="6176" max="6176" width="9.44140625" style="171" customWidth="1"/>
    <col min="6177" max="6177" width="15.44140625" style="171" customWidth="1"/>
    <col min="6178" max="6178" width="9.5546875" style="171" customWidth="1"/>
    <col min="6179" max="6179" width="9.44140625" style="171" customWidth="1"/>
    <col min="6180" max="6180" width="15.44140625" style="171" customWidth="1"/>
    <col min="6181" max="6181" width="0" style="171" hidden="1" customWidth="1"/>
    <col min="6182" max="6400" width="0" style="171" hidden="1"/>
    <col min="6401" max="6401" width="6.88671875" style="171" customWidth="1"/>
    <col min="6402" max="6402" width="5.6640625" style="171" customWidth="1"/>
    <col min="6403" max="6403" width="7" style="171" customWidth="1"/>
    <col min="6404" max="6406" width="15.44140625" style="171" customWidth="1"/>
    <col min="6407" max="6407" width="9.44140625" style="171" customWidth="1"/>
    <col min="6408" max="6408" width="15.44140625" style="171" customWidth="1"/>
    <col min="6409" max="6409" width="9.5546875" style="171" customWidth="1"/>
    <col min="6410" max="6410" width="9.44140625" style="171" customWidth="1"/>
    <col min="6411" max="6411" width="15.44140625" style="171" customWidth="1"/>
    <col min="6412" max="6412" width="8.33203125" style="171" bestFit="1" customWidth="1"/>
    <col min="6413" max="6413" width="9.109375" style="171" customWidth="1"/>
    <col min="6414" max="6414" width="6.109375" style="171" customWidth="1"/>
    <col min="6415" max="6415" width="7.6640625" style="171" customWidth="1"/>
    <col min="6416" max="6421" width="15.44140625" style="171" customWidth="1"/>
    <col min="6422" max="6422" width="8.5546875" style="171" customWidth="1"/>
    <col min="6423" max="6427" width="0" style="171" hidden="1" customWidth="1"/>
    <col min="6428" max="6428" width="6.88671875" style="171" customWidth="1"/>
    <col min="6429" max="6429" width="5.6640625" style="171" customWidth="1"/>
    <col min="6430" max="6430" width="7" style="171" customWidth="1"/>
    <col min="6431" max="6431" width="15.44140625" style="171" customWidth="1"/>
    <col min="6432" max="6432" width="9.44140625" style="171" customWidth="1"/>
    <col min="6433" max="6433" width="15.44140625" style="171" customWidth="1"/>
    <col min="6434" max="6434" width="9.5546875" style="171" customWidth="1"/>
    <col min="6435" max="6435" width="9.44140625" style="171" customWidth="1"/>
    <col min="6436" max="6436" width="15.44140625" style="171" customWidth="1"/>
    <col min="6437" max="6437" width="0" style="171" hidden="1" customWidth="1"/>
    <col min="6438" max="6656" width="0" style="171" hidden="1"/>
    <col min="6657" max="6657" width="6.88671875" style="171" customWidth="1"/>
    <col min="6658" max="6658" width="5.6640625" style="171" customWidth="1"/>
    <col min="6659" max="6659" width="7" style="171" customWidth="1"/>
    <col min="6660" max="6662" width="15.44140625" style="171" customWidth="1"/>
    <col min="6663" max="6663" width="9.44140625" style="171" customWidth="1"/>
    <col min="6664" max="6664" width="15.44140625" style="171" customWidth="1"/>
    <col min="6665" max="6665" width="9.5546875" style="171" customWidth="1"/>
    <col min="6666" max="6666" width="9.44140625" style="171" customWidth="1"/>
    <col min="6667" max="6667" width="15.44140625" style="171" customWidth="1"/>
    <col min="6668" max="6668" width="8.33203125" style="171" bestFit="1" customWidth="1"/>
    <col min="6669" max="6669" width="9.109375" style="171" customWidth="1"/>
    <col min="6670" max="6670" width="6.109375" style="171" customWidth="1"/>
    <col min="6671" max="6671" width="7.6640625" style="171" customWidth="1"/>
    <col min="6672" max="6677" width="15.44140625" style="171" customWidth="1"/>
    <col min="6678" max="6678" width="8.5546875" style="171" customWidth="1"/>
    <col min="6679" max="6683" width="0" style="171" hidden="1" customWidth="1"/>
    <col min="6684" max="6684" width="6.88671875" style="171" customWidth="1"/>
    <col min="6685" max="6685" width="5.6640625" style="171" customWidth="1"/>
    <col min="6686" max="6686" width="7" style="171" customWidth="1"/>
    <col min="6687" max="6687" width="15.44140625" style="171" customWidth="1"/>
    <col min="6688" max="6688" width="9.44140625" style="171" customWidth="1"/>
    <col min="6689" max="6689" width="15.44140625" style="171" customWidth="1"/>
    <col min="6690" max="6690" width="9.5546875" style="171" customWidth="1"/>
    <col min="6691" max="6691" width="9.44140625" style="171" customWidth="1"/>
    <col min="6692" max="6692" width="15.44140625" style="171" customWidth="1"/>
    <col min="6693" max="6693" width="0" style="171" hidden="1" customWidth="1"/>
    <col min="6694" max="6912" width="0" style="171" hidden="1"/>
    <col min="6913" max="6913" width="6.88671875" style="171" customWidth="1"/>
    <col min="6914" max="6914" width="5.6640625" style="171" customWidth="1"/>
    <col min="6915" max="6915" width="7" style="171" customWidth="1"/>
    <col min="6916" max="6918" width="15.44140625" style="171" customWidth="1"/>
    <col min="6919" max="6919" width="9.44140625" style="171" customWidth="1"/>
    <col min="6920" max="6920" width="15.44140625" style="171" customWidth="1"/>
    <col min="6921" max="6921" width="9.5546875" style="171" customWidth="1"/>
    <col min="6922" max="6922" width="9.44140625" style="171" customWidth="1"/>
    <col min="6923" max="6923" width="15.44140625" style="171" customWidth="1"/>
    <col min="6924" max="6924" width="8.33203125" style="171" bestFit="1" customWidth="1"/>
    <col min="6925" max="6925" width="9.109375" style="171" customWidth="1"/>
    <col min="6926" max="6926" width="6.109375" style="171" customWidth="1"/>
    <col min="6927" max="6927" width="7.6640625" style="171" customWidth="1"/>
    <col min="6928" max="6933" width="15.44140625" style="171" customWidth="1"/>
    <col min="6934" max="6934" width="8.5546875" style="171" customWidth="1"/>
    <col min="6935" max="6939" width="0" style="171" hidden="1" customWidth="1"/>
    <col min="6940" max="6940" width="6.88671875" style="171" customWidth="1"/>
    <col min="6941" max="6941" width="5.6640625" style="171" customWidth="1"/>
    <col min="6942" max="6942" width="7" style="171" customWidth="1"/>
    <col min="6943" max="6943" width="15.44140625" style="171" customWidth="1"/>
    <col min="6944" max="6944" width="9.44140625" style="171" customWidth="1"/>
    <col min="6945" max="6945" width="15.44140625" style="171" customWidth="1"/>
    <col min="6946" max="6946" width="9.5546875" style="171" customWidth="1"/>
    <col min="6947" max="6947" width="9.44140625" style="171" customWidth="1"/>
    <col min="6948" max="6948" width="15.44140625" style="171" customWidth="1"/>
    <col min="6949" max="6949" width="0" style="171" hidden="1" customWidth="1"/>
    <col min="6950" max="7168" width="0" style="171" hidden="1"/>
    <col min="7169" max="7169" width="6.88671875" style="171" customWidth="1"/>
    <col min="7170" max="7170" width="5.6640625" style="171" customWidth="1"/>
    <col min="7171" max="7171" width="7" style="171" customWidth="1"/>
    <col min="7172" max="7174" width="15.44140625" style="171" customWidth="1"/>
    <col min="7175" max="7175" width="9.44140625" style="171" customWidth="1"/>
    <col min="7176" max="7176" width="15.44140625" style="171" customWidth="1"/>
    <col min="7177" max="7177" width="9.5546875" style="171" customWidth="1"/>
    <col min="7178" max="7178" width="9.44140625" style="171" customWidth="1"/>
    <col min="7179" max="7179" width="15.44140625" style="171" customWidth="1"/>
    <col min="7180" max="7180" width="8.33203125" style="171" bestFit="1" customWidth="1"/>
    <col min="7181" max="7181" width="9.109375" style="171" customWidth="1"/>
    <col min="7182" max="7182" width="6.109375" style="171" customWidth="1"/>
    <col min="7183" max="7183" width="7.6640625" style="171" customWidth="1"/>
    <col min="7184" max="7189" width="15.44140625" style="171" customWidth="1"/>
    <col min="7190" max="7190" width="8.5546875" style="171" customWidth="1"/>
    <col min="7191" max="7195" width="0" style="171" hidden="1" customWidth="1"/>
    <col min="7196" max="7196" width="6.88671875" style="171" customWidth="1"/>
    <col min="7197" max="7197" width="5.6640625" style="171" customWidth="1"/>
    <col min="7198" max="7198" width="7" style="171" customWidth="1"/>
    <col min="7199" max="7199" width="15.44140625" style="171" customWidth="1"/>
    <col min="7200" max="7200" width="9.44140625" style="171" customWidth="1"/>
    <col min="7201" max="7201" width="15.44140625" style="171" customWidth="1"/>
    <col min="7202" max="7202" width="9.5546875" style="171" customWidth="1"/>
    <col min="7203" max="7203" width="9.44140625" style="171" customWidth="1"/>
    <col min="7204" max="7204" width="15.44140625" style="171" customWidth="1"/>
    <col min="7205" max="7205" width="0" style="171" hidden="1" customWidth="1"/>
    <col min="7206" max="7424" width="0" style="171" hidden="1"/>
    <col min="7425" max="7425" width="6.88671875" style="171" customWidth="1"/>
    <col min="7426" max="7426" width="5.6640625" style="171" customWidth="1"/>
    <col min="7427" max="7427" width="7" style="171" customWidth="1"/>
    <col min="7428" max="7430" width="15.44140625" style="171" customWidth="1"/>
    <col min="7431" max="7431" width="9.44140625" style="171" customWidth="1"/>
    <col min="7432" max="7432" width="15.44140625" style="171" customWidth="1"/>
    <col min="7433" max="7433" width="9.5546875" style="171" customWidth="1"/>
    <col min="7434" max="7434" width="9.44140625" style="171" customWidth="1"/>
    <col min="7435" max="7435" width="15.44140625" style="171" customWidth="1"/>
    <col min="7436" max="7436" width="8.33203125" style="171" bestFit="1" customWidth="1"/>
    <col min="7437" max="7437" width="9.109375" style="171" customWidth="1"/>
    <col min="7438" max="7438" width="6.109375" style="171" customWidth="1"/>
    <col min="7439" max="7439" width="7.6640625" style="171" customWidth="1"/>
    <col min="7440" max="7445" width="15.44140625" style="171" customWidth="1"/>
    <col min="7446" max="7446" width="8.5546875" style="171" customWidth="1"/>
    <col min="7447" max="7451" width="0" style="171" hidden="1" customWidth="1"/>
    <col min="7452" max="7452" width="6.88671875" style="171" customWidth="1"/>
    <col min="7453" max="7453" width="5.6640625" style="171" customWidth="1"/>
    <col min="7454" max="7454" width="7" style="171" customWidth="1"/>
    <col min="7455" max="7455" width="15.44140625" style="171" customWidth="1"/>
    <col min="7456" max="7456" width="9.44140625" style="171" customWidth="1"/>
    <col min="7457" max="7457" width="15.44140625" style="171" customWidth="1"/>
    <col min="7458" max="7458" width="9.5546875" style="171" customWidth="1"/>
    <col min="7459" max="7459" width="9.44140625" style="171" customWidth="1"/>
    <col min="7460" max="7460" width="15.44140625" style="171" customWidth="1"/>
    <col min="7461" max="7461" width="0" style="171" hidden="1" customWidth="1"/>
    <col min="7462" max="7680" width="0" style="171" hidden="1"/>
    <col min="7681" max="7681" width="6.88671875" style="171" customWidth="1"/>
    <col min="7682" max="7682" width="5.6640625" style="171" customWidth="1"/>
    <col min="7683" max="7683" width="7" style="171" customWidth="1"/>
    <col min="7684" max="7686" width="15.44140625" style="171" customWidth="1"/>
    <col min="7687" max="7687" width="9.44140625" style="171" customWidth="1"/>
    <col min="7688" max="7688" width="15.44140625" style="171" customWidth="1"/>
    <col min="7689" max="7689" width="9.5546875" style="171" customWidth="1"/>
    <col min="7690" max="7690" width="9.44140625" style="171" customWidth="1"/>
    <col min="7691" max="7691" width="15.44140625" style="171" customWidth="1"/>
    <col min="7692" max="7692" width="8.33203125" style="171" bestFit="1" customWidth="1"/>
    <col min="7693" max="7693" width="9.109375" style="171" customWidth="1"/>
    <col min="7694" max="7694" width="6.109375" style="171" customWidth="1"/>
    <col min="7695" max="7695" width="7.6640625" style="171" customWidth="1"/>
    <col min="7696" max="7701" width="15.44140625" style="171" customWidth="1"/>
    <col min="7702" max="7702" width="8.5546875" style="171" customWidth="1"/>
    <col min="7703" max="7707" width="0" style="171" hidden="1" customWidth="1"/>
    <col min="7708" max="7708" width="6.88671875" style="171" customWidth="1"/>
    <col min="7709" max="7709" width="5.6640625" style="171" customWidth="1"/>
    <col min="7710" max="7710" width="7" style="171" customWidth="1"/>
    <col min="7711" max="7711" width="15.44140625" style="171" customWidth="1"/>
    <col min="7712" max="7712" width="9.44140625" style="171" customWidth="1"/>
    <col min="7713" max="7713" width="15.44140625" style="171" customWidth="1"/>
    <col min="7714" max="7714" width="9.5546875" style="171" customWidth="1"/>
    <col min="7715" max="7715" width="9.44140625" style="171" customWidth="1"/>
    <col min="7716" max="7716" width="15.44140625" style="171" customWidth="1"/>
    <col min="7717" max="7717" width="0" style="171" hidden="1" customWidth="1"/>
    <col min="7718" max="7936" width="0" style="171" hidden="1"/>
    <col min="7937" max="7937" width="6.88671875" style="171" customWidth="1"/>
    <col min="7938" max="7938" width="5.6640625" style="171" customWidth="1"/>
    <col min="7939" max="7939" width="7" style="171" customWidth="1"/>
    <col min="7940" max="7942" width="15.44140625" style="171" customWidth="1"/>
    <col min="7943" max="7943" width="9.44140625" style="171" customWidth="1"/>
    <col min="7944" max="7944" width="15.44140625" style="171" customWidth="1"/>
    <col min="7945" max="7945" width="9.5546875" style="171" customWidth="1"/>
    <col min="7946" max="7946" width="9.44140625" style="171" customWidth="1"/>
    <col min="7947" max="7947" width="15.44140625" style="171" customWidth="1"/>
    <col min="7948" max="7948" width="8.33203125" style="171" bestFit="1" customWidth="1"/>
    <col min="7949" max="7949" width="9.109375" style="171" customWidth="1"/>
    <col min="7950" max="7950" width="6.109375" style="171" customWidth="1"/>
    <col min="7951" max="7951" width="7.6640625" style="171" customWidth="1"/>
    <col min="7952" max="7957" width="15.44140625" style="171" customWidth="1"/>
    <col min="7958" max="7958" width="8.5546875" style="171" customWidth="1"/>
    <col min="7959" max="7963" width="0" style="171" hidden="1" customWidth="1"/>
    <col min="7964" max="7964" width="6.88671875" style="171" customWidth="1"/>
    <col min="7965" max="7965" width="5.6640625" style="171" customWidth="1"/>
    <col min="7966" max="7966" width="7" style="171" customWidth="1"/>
    <col min="7967" max="7967" width="15.44140625" style="171" customWidth="1"/>
    <col min="7968" max="7968" width="9.44140625" style="171" customWidth="1"/>
    <col min="7969" max="7969" width="15.44140625" style="171" customWidth="1"/>
    <col min="7970" max="7970" width="9.5546875" style="171" customWidth="1"/>
    <col min="7971" max="7971" width="9.44140625" style="171" customWidth="1"/>
    <col min="7972" max="7972" width="15.44140625" style="171" customWidth="1"/>
    <col min="7973" max="7973" width="0" style="171" hidden="1" customWidth="1"/>
    <col min="7974" max="8192" width="0" style="171" hidden="1"/>
    <col min="8193" max="8193" width="6.88671875" style="171" customWidth="1"/>
    <col min="8194" max="8194" width="5.6640625" style="171" customWidth="1"/>
    <col min="8195" max="8195" width="7" style="171" customWidth="1"/>
    <col min="8196" max="8198" width="15.44140625" style="171" customWidth="1"/>
    <col min="8199" max="8199" width="9.44140625" style="171" customWidth="1"/>
    <col min="8200" max="8200" width="15.44140625" style="171" customWidth="1"/>
    <col min="8201" max="8201" width="9.5546875" style="171" customWidth="1"/>
    <col min="8202" max="8202" width="9.44140625" style="171" customWidth="1"/>
    <col min="8203" max="8203" width="15.44140625" style="171" customWidth="1"/>
    <col min="8204" max="8204" width="8.33203125" style="171" bestFit="1" customWidth="1"/>
    <col min="8205" max="8205" width="9.109375" style="171" customWidth="1"/>
    <col min="8206" max="8206" width="6.109375" style="171" customWidth="1"/>
    <col min="8207" max="8207" width="7.6640625" style="171" customWidth="1"/>
    <col min="8208" max="8213" width="15.44140625" style="171" customWidth="1"/>
    <col min="8214" max="8214" width="8.5546875" style="171" customWidth="1"/>
    <col min="8215" max="8219" width="0" style="171" hidden="1" customWidth="1"/>
    <col min="8220" max="8220" width="6.88671875" style="171" customWidth="1"/>
    <col min="8221" max="8221" width="5.6640625" style="171" customWidth="1"/>
    <col min="8222" max="8222" width="7" style="171" customWidth="1"/>
    <col min="8223" max="8223" width="15.44140625" style="171" customWidth="1"/>
    <col min="8224" max="8224" width="9.44140625" style="171" customWidth="1"/>
    <col min="8225" max="8225" width="15.44140625" style="171" customWidth="1"/>
    <col min="8226" max="8226" width="9.5546875" style="171" customWidth="1"/>
    <col min="8227" max="8227" width="9.44140625" style="171" customWidth="1"/>
    <col min="8228" max="8228" width="15.44140625" style="171" customWidth="1"/>
    <col min="8229" max="8229" width="0" style="171" hidden="1" customWidth="1"/>
    <col min="8230" max="8448" width="0" style="171" hidden="1"/>
    <col min="8449" max="8449" width="6.88671875" style="171" customWidth="1"/>
    <col min="8450" max="8450" width="5.6640625" style="171" customWidth="1"/>
    <col min="8451" max="8451" width="7" style="171" customWidth="1"/>
    <col min="8452" max="8454" width="15.44140625" style="171" customWidth="1"/>
    <col min="8455" max="8455" width="9.44140625" style="171" customWidth="1"/>
    <col min="8456" max="8456" width="15.44140625" style="171" customWidth="1"/>
    <col min="8457" max="8457" width="9.5546875" style="171" customWidth="1"/>
    <col min="8458" max="8458" width="9.44140625" style="171" customWidth="1"/>
    <col min="8459" max="8459" width="15.44140625" style="171" customWidth="1"/>
    <col min="8460" max="8460" width="8.33203125" style="171" bestFit="1" customWidth="1"/>
    <col min="8461" max="8461" width="9.109375" style="171" customWidth="1"/>
    <col min="8462" max="8462" width="6.109375" style="171" customWidth="1"/>
    <col min="8463" max="8463" width="7.6640625" style="171" customWidth="1"/>
    <col min="8464" max="8469" width="15.44140625" style="171" customWidth="1"/>
    <col min="8470" max="8470" width="8.5546875" style="171" customWidth="1"/>
    <col min="8471" max="8475" width="0" style="171" hidden="1" customWidth="1"/>
    <col min="8476" max="8476" width="6.88671875" style="171" customWidth="1"/>
    <col min="8477" max="8477" width="5.6640625" style="171" customWidth="1"/>
    <col min="8478" max="8478" width="7" style="171" customWidth="1"/>
    <col min="8479" max="8479" width="15.44140625" style="171" customWidth="1"/>
    <col min="8480" max="8480" width="9.44140625" style="171" customWidth="1"/>
    <col min="8481" max="8481" width="15.44140625" style="171" customWidth="1"/>
    <col min="8482" max="8482" width="9.5546875" style="171" customWidth="1"/>
    <col min="8483" max="8483" width="9.44140625" style="171" customWidth="1"/>
    <col min="8484" max="8484" width="15.44140625" style="171" customWidth="1"/>
    <col min="8485" max="8485" width="0" style="171" hidden="1" customWidth="1"/>
    <col min="8486" max="8704" width="0" style="171" hidden="1"/>
    <col min="8705" max="8705" width="6.88671875" style="171" customWidth="1"/>
    <col min="8706" max="8706" width="5.6640625" style="171" customWidth="1"/>
    <col min="8707" max="8707" width="7" style="171" customWidth="1"/>
    <col min="8708" max="8710" width="15.44140625" style="171" customWidth="1"/>
    <col min="8711" max="8711" width="9.44140625" style="171" customWidth="1"/>
    <col min="8712" max="8712" width="15.44140625" style="171" customWidth="1"/>
    <col min="8713" max="8713" width="9.5546875" style="171" customWidth="1"/>
    <col min="8714" max="8714" width="9.44140625" style="171" customWidth="1"/>
    <col min="8715" max="8715" width="15.44140625" style="171" customWidth="1"/>
    <col min="8716" max="8716" width="8.33203125" style="171" bestFit="1" customWidth="1"/>
    <col min="8717" max="8717" width="9.109375" style="171" customWidth="1"/>
    <col min="8718" max="8718" width="6.109375" style="171" customWidth="1"/>
    <col min="8719" max="8719" width="7.6640625" style="171" customWidth="1"/>
    <col min="8720" max="8725" width="15.44140625" style="171" customWidth="1"/>
    <col min="8726" max="8726" width="8.5546875" style="171" customWidth="1"/>
    <col min="8727" max="8731" width="0" style="171" hidden="1" customWidth="1"/>
    <col min="8732" max="8732" width="6.88671875" style="171" customWidth="1"/>
    <col min="8733" max="8733" width="5.6640625" style="171" customWidth="1"/>
    <col min="8734" max="8734" width="7" style="171" customWidth="1"/>
    <col min="8735" max="8735" width="15.44140625" style="171" customWidth="1"/>
    <col min="8736" max="8736" width="9.44140625" style="171" customWidth="1"/>
    <col min="8737" max="8737" width="15.44140625" style="171" customWidth="1"/>
    <col min="8738" max="8738" width="9.5546875" style="171" customWidth="1"/>
    <col min="8739" max="8739" width="9.44140625" style="171" customWidth="1"/>
    <col min="8740" max="8740" width="15.44140625" style="171" customWidth="1"/>
    <col min="8741" max="8741" width="0" style="171" hidden="1" customWidth="1"/>
    <col min="8742" max="8960" width="0" style="171" hidden="1"/>
    <col min="8961" max="8961" width="6.88671875" style="171" customWidth="1"/>
    <col min="8962" max="8962" width="5.6640625" style="171" customWidth="1"/>
    <col min="8963" max="8963" width="7" style="171" customWidth="1"/>
    <col min="8964" max="8966" width="15.44140625" style="171" customWidth="1"/>
    <col min="8967" max="8967" width="9.44140625" style="171" customWidth="1"/>
    <col min="8968" max="8968" width="15.44140625" style="171" customWidth="1"/>
    <col min="8969" max="8969" width="9.5546875" style="171" customWidth="1"/>
    <col min="8970" max="8970" width="9.44140625" style="171" customWidth="1"/>
    <col min="8971" max="8971" width="15.44140625" style="171" customWidth="1"/>
    <col min="8972" max="8972" width="8.33203125" style="171" bestFit="1" customWidth="1"/>
    <col min="8973" max="8973" width="9.109375" style="171" customWidth="1"/>
    <col min="8974" max="8974" width="6.109375" style="171" customWidth="1"/>
    <col min="8975" max="8975" width="7.6640625" style="171" customWidth="1"/>
    <col min="8976" max="8981" width="15.44140625" style="171" customWidth="1"/>
    <col min="8982" max="8982" width="8.5546875" style="171" customWidth="1"/>
    <col min="8983" max="8987" width="0" style="171" hidden="1" customWidth="1"/>
    <col min="8988" max="8988" width="6.88671875" style="171" customWidth="1"/>
    <col min="8989" max="8989" width="5.6640625" style="171" customWidth="1"/>
    <col min="8990" max="8990" width="7" style="171" customWidth="1"/>
    <col min="8991" max="8991" width="15.44140625" style="171" customWidth="1"/>
    <col min="8992" max="8992" width="9.44140625" style="171" customWidth="1"/>
    <col min="8993" max="8993" width="15.44140625" style="171" customWidth="1"/>
    <col min="8994" max="8994" width="9.5546875" style="171" customWidth="1"/>
    <col min="8995" max="8995" width="9.44140625" style="171" customWidth="1"/>
    <col min="8996" max="8996" width="15.44140625" style="171" customWidth="1"/>
    <col min="8997" max="8997" width="0" style="171" hidden="1" customWidth="1"/>
    <col min="8998" max="9216" width="0" style="171" hidden="1"/>
    <col min="9217" max="9217" width="6.88671875" style="171" customWidth="1"/>
    <col min="9218" max="9218" width="5.6640625" style="171" customWidth="1"/>
    <col min="9219" max="9219" width="7" style="171" customWidth="1"/>
    <col min="9220" max="9222" width="15.44140625" style="171" customWidth="1"/>
    <col min="9223" max="9223" width="9.44140625" style="171" customWidth="1"/>
    <col min="9224" max="9224" width="15.44140625" style="171" customWidth="1"/>
    <col min="9225" max="9225" width="9.5546875" style="171" customWidth="1"/>
    <col min="9226" max="9226" width="9.44140625" style="171" customWidth="1"/>
    <col min="9227" max="9227" width="15.44140625" style="171" customWidth="1"/>
    <col min="9228" max="9228" width="8.33203125" style="171" bestFit="1" customWidth="1"/>
    <col min="9229" max="9229" width="9.109375" style="171" customWidth="1"/>
    <col min="9230" max="9230" width="6.109375" style="171" customWidth="1"/>
    <col min="9231" max="9231" width="7.6640625" style="171" customWidth="1"/>
    <col min="9232" max="9237" width="15.44140625" style="171" customWidth="1"/>
    <col min="9238" max="9238" width="8.5546875" style="171" customWidth="1"/>
    <col min="9239" max="9243" width="0" style="171" hidden="1" customWidth="1"/>
    <col min="9244" max="9244" width="6.88671875" style="171" customWidth="1"/>
    <col min="9245" max="9245" width="5.6640625" style="171" customWidth="1"/>
    <col min="9246" max="9246" width="7" style="171" customWidth="1"/>
    <col min="9247" max="9247" width="15.44140625" style="171" customWidth="1"/>
    <col min="9248" max="9248" width="9.44140625" style="171" customWidth="1"/>
    <col min="9249" max="9249" width="15.44140625" style="171" customWidth="1"/>
    <col min="9250" max="9250" width="9.5546875" style="171" customWidth="1"/>
    <col min="9251" max="9251" width="9.44140625" style="171" customWidth="1"/>
    <col min="9252" max="9252" width="15.44140625" style="171" customWidth="1"/>
    <col min="9253" max="9253" width="0" style="171" hidden="1" customWidth="1"/>
    <col min="9254" max="9472" width="0" style="171" hidden="1"/>
    <col min="9473" max="9473" width="6.88671875" style="171" customWidth="1"/>
    <col min="9474" max="9474" width="5.6640625" style="171" customWidth="1"/>
    <col min="9475" max="9475" width="7" style="171" customWidth="1"/>
    <col min="9476" max="9478" width="15.44140625" style="171" customWidth="1"/>
    <col min="9479" max="9479" width="9.44140625" style="171" customWidth="1"/>
    <col min="9480" max="9480" width="15.44140625" style="171" customWidth="1"/>
    <col min="9481" max="9481" width="9.5546875" style="171" customWidth="1"/>
    <col min="9482" max="9482" width="9.44140625" style="171" customWidth="1"/>
    <col min="9483" max="9483" width="15.44140625" style="171" customWidth="1"/>
    <col min="9484" max="9484" width="8.33203125" style="171" bestFit="1" customWidth="1"/>
    <col min="9485" max="9485" width="9.109375" style="171" customWidth="1"/>
    <col min="9486" max="9486" width="6.109375" style="171" customWidth="1"/>
    <col min="9487" max="9487" width="7.6640625" style="171" customWidth="1"/>
    <col min="9488" max="9493" width="15.44140625" style="171" customWidth="1"/>
    <col min="9494" max="9494" width="8.5546875" style="171" customWidth="1"/>
    <col min="9495" max="9499" width="0" style="171" hidden="1" customWidth="1"/>
    <col min="9500" max="9500" width="6.88671875" style="171" customWidth="1"/>
    <col min="9501" max="9501" width="5.6640625" style="171" customWidth="1"/>
    <col min="9502" max="9502" width="7" style="171" customWidth="1"/>
    <col min="9503" max="9503" width="15.44140625" style="171" customWidth="1"/>
    <col min="9504" max="9504" width="9.44140625" style="171" customWidth="1"/>
    <col min="9505" max="9505" width="15.44140625" style="171" customWidth="1"/>
    <col min="9506" max="9506" width="9.5546875" style="171" customWidth="1"/>
    <col min="9507" max="9507" width="9.44140625" style="171" customWidth="1"/>
    <col min="9508" max="9508" width="15.44140625" style="171" customWidth="1"/>
    <col min="9509" max="9509" width="0" style="171" hidden="1" customWidth="1"/>
    <col min="9510" max="9728" width="0" style="171" hidden="1"/>
    <col min="9729" max="9729" width="6.88671875" style="171" customWidth="1"/>
    <col min="9730" max="9730" width="5.6640625" style="171" customWidth="1"/>
    <col min="9731" max="9731" width="7" style="171" customWidth="1"/>
    <col min="9732" max="9734" width="15.44140625" style="171" customWidth="1"/>
    <col min="9735" max="9735" width="9.44140625" style="171" customWidth="1"/>
    <col min="9736" max="9736" width="15.44140625" style="171" customWidth="1"/>
    <col min="9737" max="9737" width="9.5546875" style="171" customWidth="1"/>
    <col min="9738" max="9738" width="9.44140625" style="171" customWidth="1"/>
    <col min="9739" max="9739" width="15.44140625" style="171" customWidth="1"/>
    <col min="9740" max="9740" width="8.33203125" style="171" bestFit="1" customWidth="1"/>
    <col min="9741" max="9741" width="9.109375" style="171" customWidth="1"/>
    <col min="9742" max="9742" width="6.109375" style="171" customWidth="1"/>
    <col min="9743" max="9743" width="7.6640625" style="171" customWidth="1"/>
    <col min="9744" max="9749" width="15.44140625" style="171" customWidth="1"/>
    <col min="9750" max="9750" width="8.5546875" style="171" customWidth="1"/>
    <col min="9751" max="9755" width="0" style="171" hidden="1" customWidth="1"/>
    <col min="9756" max="9756" width="6.88671875" style="171" customWidth="1"/>
    <col min="9757" max="9757" width="5.6640625" style="171" customWidth="1"/>
    <col min="9758" max="9758" width="7" style="171" customWidth="1"/>
    <col min="9759" max="9759" width="15.44140625" style="171" customWidth="1"/>
    <col min="9760" max="9760" width="9.44140625" style="171" customWidth="1"/>
    <col min="9761" max="9761" width="15.44140625" style="171" customWidth="1"/>
    <col min="9762" max="9762" width="9.5546875" style="171" customWidth="1"/>
    <col min="9763" max="9763" width="9.44140625" style="171" customWidth="1"/>
    <col min="9764" max="9764" width="15.44140625" style="171" customWidth="1"/>
    <col min="9765" max="9765" width="0" style="171" hidden="1" customWidth="1"/>
    <col min="9766" max="9984" width="0" style="171" hidden="1"/>
    <col min="9985" max="9985" width="6.88671875" style="171" customWidth="1"/>
    <col min="9986" max="9986" width="5.6640625" style="171" customWidth="1"/>
    <col min="9987" max="9987" width="7" style="171" customWidth="1"/>
    <col min="9988" max="9990" width="15.44140625" style="171" customWidth="1"/>
    <col min="9991" max="9991" width="9.44140625" style="171" customWidth="1"/>
    <col min="9992" max="9992" width="15.44140625" style="171" customWidth="1"/>
    <col min="9993" max="9993" width="9.5546875" style="171" customWidth="1"/>
    <col min="9994" max="9994" width="9.44140625" style="171" customWidth="1"/>
    <col min="9995" max="9995" width="15.44140625" style="171" customWidth="1"/>
    <col min="9996" max="9996" width="8.33203125" style="171" bestFit="1" customWidth="1"/>
    <col min="9997" max="9997" width="9.109375" style="171" customWidth="1"/>
    <col min="9998" max="9998" width="6.109375" style="171" customWidth="1"/>
    <col min="9999" max="9999" width="7.6640625" style="171" customWidth="1"/>
    <col min="10000" max="10005" width="15.44140625" style="171" customWidth="1"/>
    <col min="10006" max="10006" width="8.5546875" style="171" customWidth="1"/>
    <col min="10007" max="10011" width="0" style="171" hidden="1" customWidth="1"/>
    <col min="10012" max="10012" width="6.88671875" style="171" customWidth="1"/>
    <col min="10013" max="10013" width="5.6640625" style="171" customWidth="1"/>
    <col min="10014" max="10014" width="7" style="171" customWidth="1"/>
    <col min="10015" max="10015" width="15.44140625" style="171" customWidth="1"/>
    <col min="10016" max="10016" width="9.44140625" style="171" customWidth="1"/>
    <col min="10017" max="10017" width="15.44140625" style="171" customWidth="1"/>
    <col min="10018" max="10018" width="9.5546875" style="171" customWidth="1"/>
    <col min="10019" max="10019" width="9.44140625" style="171" customWidth="1"/>
    <col min="10020" max="10020" width="15.44140625" style="171" customWidth="1"/>
    <col min="10021" max="10021" width="0" style="171" hidden="1" customWidth="1"/>
    <col min="10022" max="10240" width="0" style="171" hidden="1"/>
    <col min="10241" max="10241" width="6.88671875" style="171" customWidth="1"/>
    <col min="10242" max="10242" width="5.6640625" style="171" customWidth="1"/>
    <col min="10243" max="10243" width="7" style="171" customWidth="1"/>
    <col min="10244" max="10246" width="15.44140625" style="171" customWidth="1"/>
    <col min="10247" max="10247" width="9.44140625" style="171" customWidth="1"/>
    <col min="10248" max="10248" width="15.44140625" style="171" customWidth="1"/>
    <col min="10249" max="10249" width="9.5546875" style="171" customWidth="1"/>
    <col min="10250" max="10250" width="9.44140625" style="171" customWidth="1"/>
    <col min="10251" max="10251" width="15.44140625" style="171" customWidth="1"/>
    <col min="10252" max="10252" width="8.33203125" style="171" bestFit="1" customWidth="1"/>
    <col min="10253" max="10253" width="9.109375" style="171" customWidth="1"/>
    <col min="10254" max="10254" width="6.109375" style="171" customWidth="1"/>
    <col min="10255" max="10255" width="7.6640625" style="171" customWidth="1"/>
    <col min="10256" max="10261" width="15.44140625" style="171" customWidth="1"/>
    <col min="10262" max="10262" width="8.5546875" style="171" customWidth="1"/>
    <col min="10263" max="10267" width="0" style="171" hidden="1" customWidth="1"/>
    <col min="10268" max="10268" width="6.88671875" style="171" customWidth="1"/>
    <col min="10269" max="10269" width="5.6640625" style="171" customWidth="1"/>
    <col min="10270" max="10270" width="7" style="171" customWidth="1"/>
    <col min="10271" max="10271" width="15.44140625" style="171" customWidth="1"/>
    <col min="10272" max="10272" width="9.44140625" style="171" customWidth="1"/>
    <col min="10273" max="10273" width="15.44140625" style="171" customWidth="1"/>
    <col min="10274" max="10274" width="9.5546875" style="171" customWidth="1"/>
    <col min="10275" max="10275" width="9.44140625" style="171" customWidth="1"/>
    <col min="10276" max="10276" width="15.44140625" style="171" customWidth="1"/>
    <col min="10277" max="10277" width="0" style="171" hidden="1" customWidth="1"/>
    <col min="10278" max="10496" width="0" style="171" hidden="1"/>
    <col min="10497" max="10497" width="6.88671875" style="171" customWidth="1"/>
    <col min="10498" max="10498" width="5.6640625" style="171" customWidth="1"/>
    <col min="10499" max="10499" width="7" style="171" customWidth="1"/>
    <col min="10500" max="10502" width="15.44140625" style="171" customWidth="1"/>
    <col min="10503" max="10503" width="9.44140625" style="171" customWidth="1"/>
    <col min="10504" max="10504" width="15.44140625" style="171" customWidth="1"/>
    <col min="10505" max="10505" width="9.5546875" style="171" customWidth="1"/>
    <col min="10506" max="10506" width="9.44140625" style="171" customWidth="1"/>
    <col min="10507" max="10507" width="15.44140625" style="171" customWidth="1"/>
    <col min="10508" max="10508" width="8.33203125" style="171" bestFit="1" customWidth="1"/>
    <col min="10509" max="10509" width="9.109375" style="171" customWidth="1"/>
    <col min="10510" max="10510" width="6.109375" style="171" customWidth="1"/>
    <col min="10511" max="10511" width="7.6640625" style="171" customWidth="1"/>
    <col min="10512" max="10517" width="15.44140625" style="171" customWidth="1"/>
    <col min="10518" max="10518" width="8.5546875" style="171" customWidth="1"/>
    <col min="10519" max="10523" width="0" style="171" hidden="1" customWidth="1"/>
    <col min="10524" max="10524" width="6.88671875" style="171" customWidth="1"/>
    <col min="10525" max="10525" width="5.6640625" style="171" customWidth="1"/>
    <col min="10526" max="10526" width="7" style="171" customWidth="1"/>
    <col min="10527" max="10527" width="15.44140625" style="171" customWidth="1"/>
    <col min="10528" max="10528" width="9.44140625" style="171" customWidth="1"/>
    <col min="10529" max="10529" width="15.44140625" style="171" customWidth="1"/>
    <col min="10530" max="10530" width="9.5546875" style="171" customWidth="1"/>
    <col min="10531" max="10531" width="9.44140625" style="171" customWidth="1"/>
    <col min="10532" max="10532" width="15.44140625" style="171" customWidth="1"/>
    <col min="10533" max="10533" width="0" style="171" hidden="1" customWidth="1"/>
    <col min="10534" max="10752" width="0" style="171" hidden="1"/>
    <col min="10753" max="10753" width="6.88671875" style="171" customWidth="1"/>
    <col min="10754" max="10754" width="5.6640625" style="171" customWidth="1"/>
    <col min="10755" max="10755" width="7" style="171" customWidth="1"/>
    <col min="10756" max="10758" width="15.44140625" style="171" customWidth="1"/>
    <col min="10759" max="10759" width="9.44140625" style="171" customWidth="1"/>
    <col min="10760" max="10760" width="15.44140625" style="171" customWidth="1"/>
    <col min="10761" max="10761" width="9.5546875" style="171" customWidth="1"/>
    <col min="10762" max="10762" width="9.44140625" style="171" customWidth="1"/>
    <col min="10763" max="10763" width="15.44140625" style="171" customWidth="1"/>
    <col min="10764" max="10764" width="8.33203125" style="171" bestFit="1" customWidth="1"/>
    <col min="10765" max="10765" width="9.109375" style="171" customWidth="1"/>
    <col min="10766" max="10766" width="6.109375" style="171" customWidth="1"/>
    <col min="10767" max="10767" width="7.6640625" style="171" customWidth="1"/>
    <col min="10768" max="10773" width="15.44140625" style="171" customWidth="1"/>
    <col min="10774" max="10774" width="8.5546875" style="171" customWidth="1"/>
    <col min="10775" max="10779" width="0" style="171" hidden="1" customWidth="1"/>
    <col min="10780" max="10780" width="6.88671875" style="171" customWidth="1"/>
    <col min="10781" max="10781" width="5.6640625" style="171" customWidth="1"/>
    <col min="10782" max="10782" width="7" style="171" customWidth="1"/>
    <col min="10783" max="10783" width="15.44140625" style="171" customWidth="1"/>
    <col min="10784" max="10784" width="9.44140625" style="171" customWidth="1"/>
    <col min="10785" max="10785" width="15.44140625" style="171" customWidth="1"/>
    <col min="10786" max="10786" width="9.5546875" style="171" customWidth="1"/>
    <col min="10787" max="10787" width="9.44140625" style="171" customWidth="1"/>
    <col min="10788" max="10788" width="15.44140625" style="171" customWidth="1"/>
    <col min="10789" max="10789" width="0" style="171" hidden="1" customWidth="1"/>
    <col min="10790" max="11008" width="0" style="171" hidden="1"/>
    <col min="11009" max="11009" width="6.88671875" style="171" customWidth="1"/>
    <col min="11010" max="11010" width="5.6640625" style="171" customWidth="1"/>
    <col min="11011" max="11011" width="7" style="171" customWidth="1"/>
    <col min="11012" max="11014" width="15.44140625" style="171" customWidth="1"/>
    <col min="11015" max="11015" width="9.44140625" style="171" customWidth="1"/>
    <col min="11016" max="11016" width="15.44140625" style="171" customWidth="1"/>
    <col min="11017" max="11017" width="9.5546875" style="171" customWidth="1"/>
    <col min="11018" max="11018" width="9.44140625" style="171" customWidth="1"/>
    <col min="11019" max="11019" width="15.44140625" style="171" customWidth="1"/>
    <col min="11020" max="11020" width="8.33203125" style="171" bestFit="1" customWidth="1"/>
    <col min="11021" max="11021" width="9.109375" style="171" customWidth="1"/>
    <col min="11022" max="11022" width="6.109375" style="171" customWidth="1"/>
    <col min="11023" max="11023" width="7.6640625" style="171" customWidth="1"/>
    <col min="11024" max="11029" width="15.44140625" style="171" customWidth="1"/>
    <col min="11030" max="11030" width="8.5546875" style="171" customWidth="1"/>
    <col min="11031" max="11035" width="0" style="171" hidden="1" customWidth="1"/>
    <col min="11036" max="11036" width="6.88671875" style="171" customWidth="1"/>
    <col min="11037" max="11037" width="5.6640625" style="171" customWidth="1"/>
    <col min="11038" max="11038" width="7" style="171" customWidth="1"/>
    <col min="11039" max="11039" width="15.44140625" style="171" customWidth="1"/>
    <col min="11040" max="11040" width="9.44140625" style="171" customWidth="1"/>
    <col min="11041" max="11041" width="15.44140625" style="171" customWidth="1"/>
    <col min="11042" max="11042" width="9.5546875" style="171" customWidth="1"/>
    <col min="11043" max="11043" width="9.44140625" style="171" customWidth="1"/>
    <col min="11044" max="11044" width="15.44140625" style="171" customWidth="1"/>
    <col min="11045" max="11045" width="0" style="171" hidden="1" customWidth="1"/>
    <col min="11046" max="11264" width="0" style="171" hidden="1"/>
    <col min="11265" max="11265" width="6.88671875" style="171" customWidth="1"/>
    <col min="11266" max="11266" width="5.6640625" style="171" customWidth="1"/>
    <col min="11267" max="11267" width="7" style="171" customWidth="1"/>
    <col min="11268" max="11270" width="15.44140625" style="171" customWidth="1"/>
    <col min="11271" max="11271" width="9.44140625" style="171" customWidth="1"/>
    <col min="11272" max="11272" width="15.44140625" style="171" customWidth="1"/>
    <col min="11273" max="11273" width="9.5546875" style="171" customWidth="1"/>
    <col min="11274" max="11274" width="9.44140625" style="171" customWidth="1"/>
    <col min="11275" max="11275" width="15.44140625" style="171" customWidth="1"/>
    <col min="11276" max="11276" width="8.33203125" style="171" bestFit="1" customWidth="1"/>
    <col min="11277" max="11277" width="9.109375" style="171" customWidth="1"/>
    <col min="11278" max="11278" width="6.109375" style="171" customWidth="1"/>
    <col min="11279" max="11279" width="7.6640625" style="171" customWidth="1"/>
    <col min="11280" max="11285" width="15.44140625" style="171" customWidth="1"/>
    <col min="11286" max="11286" width="8.5546875" style="171" customWidth="1"/>
    <col min="11287" max="11291" width="0" style="171" hidden="1" customWidth="1"/>
    <col min="11292" max="11292" width="6.88671875" style="171" customWidth="1"/>
    <col min="11293" max="11293" width="5.6640625" style="171" customWidth="1"/>
    <col min="11294" max="11294" width="7" style="171" customWidth="1"/>
    <col min="11295" max="11295" width="15.44140625" style="171" customWidth="1"/>
    <col min="11296" max="11296" width="9.44140625" style="171" customWidth="1"/>
    <col min="11297" max="11297" width="15.44140625" style="171" customWidth="1"/>
    <col min="11298" max="11298" width="9.5546875" style="171" customWidth="1"/>
    <col min="11299" max="11299" width="9.44140625" style="171" customWidth="1"/>
    <col min="11300" max="11300" width="15.44140625" style="171" customWidth="1"/>
    <col min="11301" max="11301" width="0" style="171" hidden="1" customWidth="1"/>
    <col min="11302" max="11520" width="0" style="171" hidden="1"/>
    <col min="11521" max="11521" width="6.88671875" style="171" customWidth="1"/>
    <col min="11522" max="11522" width="5.6640625" style="171" customWidth="1"/>
    <col min="11523" max="11523" width="7" style="171" customWidth="1"/>
    <col min="11524" max="11526" width="15.44140625" style="171" customWidth="1"/>
    <col min="11527" max="11527" width="9.44140625" style="171" customWidth="1"/>
    <col min="11528" max="11528" width="15.44140625" style="171" customWidth="1"/>
    <col min="11529" max="11529" width="9.5546875" style="171" customWidth="1"/>
    <col min="11530" max="11530" width="9.44140625" style="171" customWidth="1"/>
    <col min="11531" max="11531" width="15.44140625" style="171" customWidth="1"/>
    <col min="11532" max="11532" width="8.33203125" style="171" bestFit="1" customWidth="1"/>
    <col min="11533" max="11533" width="9.109375" style="171" customWidth="1"/>
    <col min="11534" max="11534" width="6.109375" style="171" customWidth="1"/>
    <col min="11535" max="11535" width="7.6640625" style="171" customWidth="1"/>
    <col min="11536" max="11541" width="15.44140625" style="171" customWidth="1"/>
    <col min="11542" max="11542" width="8.5546875" style="171" customWidth="1"/>
    <col min="11543" max="11547" width="0" style="171" hidden="1" customWidth="1"/>
    <col min="11548" max="11548" width="6.88671875" style="171" customWidth="1"/>
    <col min="11549" max="11549" width="5.6640625" style="171" customWidth="1"/>
    <col min="11550" max="11550" width="7" style="171" customWidth="1"/>
    <col min="11551" max="11551" width="15.44140625" style="171" customWidth="1"/>
    <col min="11552" max="11552" width="9.44140625" style="171" customWidth="1"/>
    <col min="11553" max="11553" width="15.44140625" style="171" customWidth="1"/>
    <col min="11554" max="11554" width="9.5546875" style="171" customWidth="1"/>
    <col min="11555" max="11555" width="9.44140625" style="171" customWidth="1"/>
    <col min="11556" max="11556" width="15.44140625" style="171" customWidth="1"/>
    <col min="11557" max="11557" width="0" style="171" hidden="1" customWidth="1"/>
    <col min="11558" max="11776" width="0" style="171" hidden="1"/>
    <col min="11777" max="11777" width="6.88671875" style="171" customWidth="1"/>
    <col min="11778" max="11778" width="5.6640625" style="171" customWidth="1"/>
    <col min="11779" max="11779" width="7" style="171" customWidth="1"/>
    <col min="11780" max="11782" width="15.44140625" style="171" customWidth="1"/>
    <col min="11783" max="11783" width="9.44140625" style="171" customWidth="1"/>
    <col min="11784" max="11784" width="15.44140625" style="171" customWidth="1"/>
    <col min="11785" max="11785" width="9.5546875" style="171" customWidth="1"/>
    <col min="11786" max="11786" width="9.44140625" style="171" customWidth="1"/>
    <col min="11787" max="11787" width="15.44140625" style="171" customWidth="1"/>
    <col min="11788" max="11788" width="8.33203125" style="171" bestFit="1" customWidth="1"/>
    <col min="11789" max="11789" width="9.109375" style="171" customWidth="1"/>
    <col min="11790" max="11790" width="6.109375" style="171" customWidth="1"/>
    <col min="11791" max="11791" width="7.6640625" style="171" customWidth="1"/>
    <col min="11792" max="11797" width="15.44140625" style="171" customWidth="1"/>
    <col min="11798" max="11798" width="8.5546875" style="171" customWidth="1"/>
    <col min="11799" max="11803" width="0" style="171" hidden="1" customWidth="1"/>
    <col min="11804" max="11804" width="6.88671875" style="171" customWidth="1"/>
    <col min="11805" max="11805" width="5.6640625" style="171" customWidth="1"/>
    <col min="11806" max="11806" width="7" style="171" customWidth="1"/>
    <col min="11807" max="11807" width="15.44140625" style="171" customWidth="1"/>
    <col min="11808" max="11808" width="9.44140625" style="171" customWidth="1"/>
    <col min="11809" max="11809" width="15.44140625" style="171" customWidth="1"/>
    <col min="11810" max="11810" width="9.5546875" style="171" customWidth="1"/>
    <col min="11811" max="11811" width="9.44140625" style="171" customWidth="1"/>
    <col min="11812" max="11812" width="15.44140625" style="171" customWidth="1"/>
    <col min="11813" max="11813" width="0" style="171" hidden="1" customWidth="1"/>
    <col min="11814" max="12032" width="0" style="171" hidden="1"/>
    <col min="12033" max="12033" width="6.88671875" style="171" customWidth="1"/>
    <col min="12034" max="12034" width="5.6640625" style="171" customWidth="1"/>
    <col min="12035" max="12035" width="7" style="171" customWidth="1"/>
    <col min="12036" max="12038" width="15.44140625" style="171" customWidth="1"/>
    <col min="12039" max="12039" width="9.44140625" style="171" customWidth="1"/>
    <col min="12040" max="12040" width="15.44140625" style="171" customWidth="1"/>
    <col min="12041" max="12041" width="9.5546875" style="171" customWidth="1"/>
    <col min="12042" max="12042" width="9.44140625" style="171" customWidth="1"/>
    <col min="12043" max="12043" width="15.44140625" style="171" customWidth="1"/>
    <col min="12044" max="12044" width="8.33203125" style="171" bestFit="1" customWidth="1"/>
    <col min="12045" max="12045" width="9.109375" style="171" customWidth="1"/>
    <col min="12046" max="12046" width="6.109375" style="171" customWidth="1"/>
    <col min="12047" max="12047" width="7.6640625" style="171" customWidth="1"/>
    <col min="12048" max="12053" width="15.44140625" style="171" customWidth="1"/>
    <col min="12054" max="12054" width="8.5546875" style="171" customWidth="1"/>
    <col min="12055" max="12059" width="0" style="171" hidden="1" customWidth="1"/>
    <col min="12060" max="12060" width="6.88671875" style="171" customWidth="1"/>
    <col min="12061" max="12061" width="5.6640625" style="171" customWidth="1"/>
    <col min="12062" max="12062" width="7" style="171" customWidth="1"/>
    <col min="12063" max="12063" width="15.44140625" style="171" customWidth="1"/>
    <col min="12064" max="12064" width="9.44140625" style="171" customWidth="1"/>
    <col min="12065" max="12065" width="15.44140625" style="171" customWidth="1"/>
    <col min="12066" max="12066" width="9.5546875" style="171" customWidth="1"/>
    <col min="12067" max="12067" width="9.44140625" style="171" customWidth="1"/>
    <col min="12068" max="12068" width="15.44140625" style="171" customWidth="1"/>
    <col min="12069" max="12069" width="0" style="171" hidden="1" customWidth="1"/>
    <col min="12070" max="12288" width="0" style="171" hidden="1"/>
    <col min="12289" max="12289" width="6.88671875" style="171" customWidth="1"/>
    <col min="12290" max="12290" width="5.6640625" style="171" customWidth="1"/>
    <col min="12291" max="12291" width="7" style="171" customWidth="1"/>
    <col min="12292" max="12294" width="15.44140625" style="171" customWidth="1"/>
    <col min="12295" max="12295" width="9.44140625" style="171" customWidth="1"/>
    <col min="12296" max="12296" width="15.44140625" style="171" customWidth="1"/>
    <col min="12297" max="12297" width="9.5546875" style="171" customWidth="1"/>
    <col min="12298" max="12298" width="9.44140625" style="171" customWidth="1"/>
    <col min="12299" max="12299" width="15.44140625" style="171" customWidth="1"/>
    <col min="12300" max="12300" width="8.33203125" style="171" bestFit="1" customWidth="1"/>
    <col min="12301" max="12301" width="9.109375" style="171" customWidth="1"/>
    <col min="12302" max="12302" width="6.109375" style="171" customWidth="1"/>
    <col min="12303" max="12303" width="7.6640625" style="171" customWidth="1"/>
    <col min="12304" max="12309" width="15.44140625" style="171" customWidth="1"/>
    <col min="12310" max="12310" width="8.5546875" style="171" customWidth="1"/>
    <col min="12311" max="12315" width="0" style="171" hidden="1" customWidth="1"/>
    <col min="12316" max="12316" width="6.88671875" style="171" customWidth="1"/>
    <col min="12317" max="12317" width="5.6640625" style="171" customWidth="1"/>
    <col min="12318" max="12318" width="7" style="171" customWidth="1"/>
    <col min="12319" max="12319" width="15.44140625" style="171" customWidth="1"/>
    <col min="12320" max="12320" width="9.44140625" style="171" customWidth="1"/>
    <col min="12321" max="12321" width="15.44140625" style="171" customWidth="1"/>
    <col min="12322" max="12322" width="9.5546875" style="171" customWidth="1"/>
    <col min="12323" max="12323" width="9.44140625" style="171" customWidth="1"/>
    <col min="12324" max="12324" width="15.44140625" style="171" customWidth="1"/>
    <col min="12325" max="12325" width="0" style="171" hidden="1" customWidth="1"/>
    <col min="12326" max="12544" width="0" style="171" hidden="1"/>
    <col min="12545" max="12545" width="6.88671875" style="171" customWidth="1"/>
    <col min="12546" max="12546" width="5.6640625" style="171" customWidth="1"/>
    <col min="12547" max="12547" width="7" style="171" customWidth="1"/>
    <col min="12548" max="12550" width="15.44140625" style="171" customWidth="1"/>
    <col min="12551" max="12551" width="9.44140625" style="171" customWidth="1"/>
    <col min="12552" max="12552" width="15.44140625" style="171" customWidth="1"/>
    <col min="12553" max="12553" width="9.5546875" style="171" customWidth="1"/>
    <col min="12554" max="12554" width="9.44140625" style="171" customWidth="1"/>
    <col min="12555" max="12555" width="15.44140625" style="171" customWidth="1"/>
    <col min="12556" max="12556" width="8.33203125" style="171" bestFit="1" customWidth="1"/>
    <col min="12557" max="12557" width="9.109375" style="171" customWidth="1"/>
    <col min="12558" max="12558" width="6.109375" style="171" customWidth="1"/>
    <col min="12559" max="12559" width="7.6640625" style="171" customWidth="1"/>
    <col min="12560" max="12565" width="15.44140625" style="171" customWidth="1"/>
    <col min="12566" max="12566" width="8.5546875" style="171" customWidth="1"/>
    <col min="12567" max="12571" width="0" style="171" hidden="1" customWidth="1"/>
    <col min="12572" max="12572" width="6.88671875" style="171" customWidth="1"/>
    <col min="12573" max="12573" width="5.6640625" style="171" customWidth="1"/>
    <col min="12574" max="12574" width="7" style="171" customWidth="1"/>
    <col min="12575" max="12575" width="15.44140625" style="171" customWidth="1"/>
    <col min="12576" max="12576" width="9.44140625" style="171" customWidth="1"/>
    <col min="12577" max="12577" width="15.44140625" style="171" customWidth="1"/>
    <col min="12578" max="12578" width="9.5546875" style="171" customWidth="1"/>
    <col min="12579" max="12579" width="9.44140625" style="171" customWidth="1"/>
    <col min="12580" max="12580" width="15.44140625" style="171" customWidth="1"/>
    <col min="12581" max="12581" width="0" style="171" hidden="1" customWidth="1"/>
    <col min="12582" max="12800" width="0" style="171" hidden="1"/>
    <col min="12801" max="12801" width="6.88671875" style="171" customWidth="1"/>
    <col min="12802" max="12802" width="5.6640625" style="171" customWidth="1"/>
    <col min="12803" max="12803" width="7" style="171" customWidth="1"/>
    <col min="12804" max="12806" width="15.44140625" style="171" customWidth="1"/>
    <col min="12807" max="12807" width="9.44140625" style="171" customWidth="1"/>
    <col min="12808" max="12808" width="15.44140625" style="171" customWidth="1"/>
    <col min="12809" max="12809" width="9.5546875" style="171" customWidth="1"/>
    <col min="12810" max="12810" width="9.44140625" style="171" customWidth="1"/>
    <col min="12811" max="12811" width="15.44140625" style="171" customWidth="1"/>
    <col min="12812" max="12812" width="8.33203125" style="171" bestFit="1" customWidth="1"/>
    <col min="12813" max="12813" width="9.109375" style="171" customWidth="1"/>
    <col min="12814" max="12814" width="6.109375" style="171" customWidth="1"/>
    <col min="12815" max="12815" width="7.6640625" style="171" customWidth="1"/>
    <col min="12816" max="12821" width="15.44140625" style="171" customWidth="1"/>
    <col min="12822" max="12822" width="8.5546875" style="171" customWidth="1"/>
    <col min="12823" max="12827" width="0" style="171" hidden="1" customWidth="1"/>
    <col min="12828" max="12828" width="6.88671875" style="171" customWidth="1"/>
    <col min="12829" max="12829" width="5.6640625" style="171" customWidth="1"/>
    <col min="12830" max="12830" width="7" style="171" customWidth="1"/>
    <col min="12831" max="12831" width="15.44140625" style="171" customWidth="1"/>
    <col min="12832" max="12832" width="9.44140625" style="171" customWidth="1"/>
    <col min="12833" max="12833" width="15.44140625" style="171" customWidth="1"/>
    <col min="12834" max="12834" width="9.5546875" style="171" customWidth="1"/>
    <col min="12835" max="12835" width="9.44140625" style="171" customWidth="1"/>
    <col min="12836" max="12836" width="15.44140625" style="171" customWidth="1"/>
    <col min="12837" max="12837" width="0" style="171" hidden="1" customWidth="1"/>
    <col min="12838" max="13056" width="0" style="171" hidden="1"/>
    <col min="13057" max="13057" width="6.88671875" style="171" customWidth="1"/>
    <col min="13058" max="13058" width="5.6640625" style="171" customWidth="1"/>
    <col min="13059" max="13059" width="7" style="171" customWidth="1"/>
    <col min="13060" max="13062" width="15.44140625" style="171" customWidth="1"/>
    <col min="13063" max="13063" width="9.44140625" style="171" customWidth="1"/>
    <col min="13064" max="13064" width="15.44140625" style="171" customWidth="1"/>
    <col min="13065" max="13065" width="9.5546875" style="171" customWidth="1"/>
    <col min="13066" max="13066" width="9.44140625" style="171" customWidth="1"/>
    <col min="13067" max="13067" width="15.44140625" style="171" customWidth="1"/>
    <col min="13068" max="13068" width="8.33203125" style="171" bestFit="1" customWidth="1"/>
    <col min="13069" max="13069" width="9.109375" style="171" customWidth="1"/>
    <col min="13070" max="13070" width="6.109375" style="171" customWidth="1"/>
    <col min="13071" max="13071" width="7.6640625" style="171" customWidth="1"/>
    <col min="13072" max="13077" width="15.44140625" style="171" customWidth="1"/>
    <col min="13078" max="13078" width="8.5546875" style="171" customWidth="1"/>
    <col min="13079" max="13083" width="0" style="171" hidden="1" customWidth="1"/>
    <col min="13084" max="13084" width="6.88671875" style="171" customWidth="1"/>
    <col min="13085" max="13085" width="5.6640625" style="171" customWidth="1"/>
    <col min="13086" max="13086" width="7" style="171" customWidth="1"/>
    <col min="13087" max="13087" width="15.44140625" style="171" customWidth="1"/>
    <col min="13088" max="13088" width="9.44140625" style="171" customWidth="1"/>
    <col min="13089" max="13089" width="15.44140625" style="171" customWidth="1"/>
    <col min="13090" max="13090" width="9.5546875" style="171" customWidth="1"/>
    <col min="13091" max="13091" width="9.44140625" style="171" customWidth="1"/>
    <col min="13092" max="13092" width="15.44140625" style="171" customWidth="1"/>
    <col min="13093" max="13093" width="0" style="171" hidden="1" customWidth="1"/>
    <col min="13094" max="13312" width="0" style="171" hidden="1"/>
    <col min="13313" max="13313" width="6.88671875" style="171" customWidth="1"/>
    <col min="13314" max="13314" width="5.6640625" style="171" customWidth="1"/>
    <col min="13315" max="13315" width="7" style="171" customWidth="1"/>
    <col min="13316" max="13318" width="15.44140625" style="171" customWidth="1"/>
    <col min="13319" max="13319" width="9.44140625" style="171" customWidth="1"/>
    <col min="13320" max="13320" width="15.44140625" style="171" customWidth="1"/>
    <col min="13321" max="13321" width="9.5546875" style="171" customWidth="1"/>
    <col min="13322" max="13322" width="9.44140625" style="171" customWidth="1"/>
    <col min="13323" max="13323" width="15.44140625" style="171" customWidth="1"/>
    <col min="13324" max="13324" width="8.33203125" style="171" bestFit="1" customWidth="1"/>
    <col min="13325" max="13325" width="9.109375" style="171" customWidth="1"/>
    <col min="13326" max="13326" width="6.109375" style="171" customWidth="1"/>
    <col min="13327" max="13327" width="7.6640625" style="171" customWidth="1"/>
    <col min="13328" max="13333" width="15.44140625" style="171" customWidth="1"/>
    <col min="13334" max="13334" width="8.5546875" style="171" customWidth="1"/>
    <col min="13335" max="13339" width="0" style="171" hidden="1" customWidth="1"/>
    <col min="13340" max="13340" width="6.88671875" style="171" customWidth="1"/>
    <col min="13341" max="13341" width="5.6640625" style="171" customWidth="1"/>
    <col min="13342" max="13342" width="7" style="171" customWidth="1"/>
    <col min="13343" max="13343" width="15.44140625" style="171" customWidth="1"/>
    <col min="13344" max="13344" width="9.44140625" style="171" customWidth="1"/>
    <col min="13345" max="13345" width="15.44140625" style="171" customWidth="1"/>
    <col min="13346" max="13346" width="9.5546875" style="171" customWidth="1"/>
    <col min="13347" max="13347" width="9.44140625" style="171" customWidth="1"/>
    <col min="13348" max="13348" width="15.44140625" style="171" customWidth="1"/>
    <col min="13349" max="13349" width="0" style="171" hidden="1" customWidth="1"/>
    <col min="13350" max="13568" width="0" style="171" hidden="1"/>
    <col min="13569" max="13569" width="6.88671875" style="171" customWidth="1"/>
    <col min="13570" max="13570" width="5.6640625" style="171" customWidth="1"/>
    <col min="13571" max="13571" width="7" style="171" customWidth="1"/>
    <col min="13572" max="13574" width="15.44140625" style="171" customWidth="1"/>
    <col min="13575" max="13575" width="9.44140625" style="171" customWidth="1"/>
    <col min="13576" max="13576" width="15.44140625" style="171" customWidth="1"/>
    <col min="13577" max="13577" width="9.5546875" style="171" customWidth="1"/>
    <col min="13578" max="13578" width="9.44140625" style="171" customWidth="1"/>
    <col min="13579" max="13579" width="15.44140625" style="171" customWidth="1"/>
    <col min="13580" max="13580" width="8.33203125" style="171" bestFit="1" customWidth="1"/>
    <col min="13581" max="13581" width="9.109375" style="171" customWidth="1"/>
    <col min="13582" max="13582" width="6.109375" style="171" customWidth="1"/>
    <col min="13583" max="13583" width="7.6640625" style="171" customWidth="1"/>
    <col min="13584" max="13589" width="15.44140625" style="171" customWidth="1"/>
    <col min="13590" max="13590" width="8.5546875" style="171" customWidth="1"/>
    <col min="13591" max="13595" width="0" style="171" hidden="1" customWidth="1"/>
    <col min="13596" max="13596" width="6.88671875" style="171" customWidth="1"/>
    <col min="13597" max="13597" width="5.6640625" style="171" customWidth="1"/>
    <col min="13598" max="13598" width="7" style="171" customWidth="1"/>
    <col min="13599" max="13599" width="15.44140625" style="171" customWidth="1"/>
    <col min="13600" max="13600" width="9.44140625" style="171" customWidth="1"/>
    <col min="13601" max="13601" width="15.44140625" style="171" customWidth="1"/>
    <col min="13602" max="13602" width="9.5546875" style="171" customWidth="1"/>
    <col min="13603" max="13603" width="9.44140625" style="171" customWidth="1"/>
    <col min="13604" max="13604" width="15.44140625" style="171" customWidth="1"/>
    <col min="13605" max="13605" width="0" style="171" hidden="1" customWidth="1"/>
    <col min="13606" max="13824" width="0" style="171" hidden="1"/>
    <col min="13825" max="13825" width="6.88671875" style="171" customWidth="1"/>
    <col min="13826" max="13826" width="5.6640625" style="171" customWidth="1"/>
    <col min="13827" max="13827" width="7" style="171" customWidth="1"/>
    <col min="13828" max="13830" width="15.44140625" style="171" customWidth="1"/>
    <col min="13831" max="13831" width="9.44140625" style="171" customWidth="1"/>
    <col min="13832" max="13832" width="15.44140625" style="171" customWidth="1"/>
    <col min="13833" max="13833" width="9.5546875" style="171" customWidth="1"/>
    <col min="13834" max="13834" width="9.44140625" style="171" customWidth="1"/>
    <col min="13835" max="13835" width="15.44140625" style="171" customWidth="1"/>
    <col min="13836" max="13836" width="8.33203125" style="171" bestFit="1" customWidth="1"/>
    <col min="13837" max="13837" width="9.109375" style="171" customWidth="1"/>
    <col min="13838" max="13838" width="6.109375" style="171" customWidth="1"/>
    <col min="13839" max="13839" width="7.6640625" style="171" customWidth="1"/>
    <col min="13840" max="13845" width="15.44140625" style="171" customWidth="1"/>
    <col min="13846" max="13846" width="8.5546875" style="171" customWidth="1"/>
    <col min="13847" max="13851" width="0" style="171" hidden="1" customWidth="1"/>
    <col min="13852" max="13852" width="6.88671875" style="171" customWidth="1"/>
    <col min="13853" max="13853" width="5.6640625" style="171" customWidth="1"/>
    <col min="13854" max="13854" width="7" style="171" customWidth="1"/>
    <col min="13855" max="13855" width="15.44140625" style="171" customWidth="1"/>
    <col min="13856" max="13856" width="9.44140625" style="171" customWidth="1"/>
    <col min="13857" max="13857" width="15.44140625" style="171" customWidth="1"/>
    <col min="13858" max="13858" width="9.5546875" style="171" customWidth="1"/>
    <col min="13859" max="13859" width="9.44140625" style="171" customWidth="1"/>
    <col min="13860" max="13860" width="15.44140625" style="171" customWidth="1"/>
    <col min="13861" max="13861" width="0" style="171" hidden="1" customWidth="1"/>
    <col min="13862" max="14080" width="0" style="171" hidden="1"/>
    <col min="14081" max="14081" width="6.88671875" style="171" customWidth="1"/>
    <col min="14082" max="14082" width="5.6640625" style="171" customWidth="1"/>
    <col min="14083" max="14083" width="7" style="171" customWidth="1"/>
    <col min="14084" max="14086" width="15.44140625" style="171" customWidth="1"/>
    <col min="14087" max="14087" width="9.44140625" style="171" customWidth="1"/>
    <col min="14088" max="14088" width="15.44140625" style="171" customWidth="1"/>
    <col min="14089" max="14089" width="9.5546875" style="171" customWidth="1"/>
    <col min="14090" max="14090" width="9.44140625" style="171" customWidth="1"/>
    <col min="14091" max="14091" width="15.44140625" style="171" customWidth="1"/>
    <col min="14092" max="14092" width="8.33203125" style="171" bestFit="1" customWidth="1"/>
    <col min="14093" max="14093" width="9.109375" style="171" customWidth="1"/>
    <col min="14094" max="14094" width="6.109375" style="171" customWidth="1"/>
    <col min="14095" max="14095" width="7.6640625" style="171" customWidth="1"/>
    <col min="14096" max="14101" width="15.44140625" style="171" customWidth="1"/>
    <col min="14102" max="14102" width="8.5546875" style="171" customWidth="1"/>
    <col min="14103" max="14107" width="0" style="171" hidden="1" customWidth="1"/>
    <col min="14108" max="14108" width="6.88671875" style="171" customWidth="1"/>
    <col min="14109" max="14109" width="5.6640625" style="171" customWidth="1"/>
    <col min="14110" max="14110" width="7" style="171" customWidth="1"/>
    <col min="14111" max="14111" width="15.44140625" style="171" customWidth="1"/>
    <col min="14112" max="14112" width="9.44140625" style="171" customWidth="1"/>
    <col min="14113" max="14113" width="15.44140625" style="171" customWidth="1"/>
    <col min="14114" max="14114" width="9.5546875" style="171" customWidth="1"/>
    <col min="14115" max="14115" width="9.44140625" style="171" customWidth="1"/>
    <col min="14116" max="14116" width="15.44140625" style="171" customWidth="1"/>
    <col min="14117" max="14117" width="0" style="171" hidden="1" customWidth="1"/>
    <col min="14118" max="14336" width="0" style="171" hidden="1"/>
    <col min="14337" max="14337" width="6.88671875" style="171" customWidth="1"/>
    <col min="14338" max="14338" width="5.6640625" style="171" customWidth="1"/>
    <col min="14339" max="14339" width="7" style="171" customWidth="1"/>
    <col min="14340" max="14342" width="15.44140625" style="171" customWidth="1"/>
    <col min="14343" max="14343" width="9.44140625" style="171" customWidth="1"/>
    <col min="14344" max="14344" width="15.44140625" style="171" customWidth="1"/>
    <col min="14345" max="14345" width="9.5546875" style="171" customWidth="1"/>
    <col min="14346" max="14346" width="9.44140625" style="171" customWidth="1"/>
    <col min="14347" max="14347" width="15.44140625" style="171" customWidth="1"/>
    <col min="14348" max="14348" width="8.33203125" style="171" bestFit="1" customWidth="1"/>
    <col min="14349" max="14349" width="9.109375" style="171" customWidth="1"/>
    <col min="14350" max="14350" width="6.109375" style="171" customWidth="1"/>
    <col min="14351" max="14351" width="7.6640625" style="171" customWidth="1"/>
    <col min="14352" max="14357" width="15.44140625" style="171" customWidth="1"/>
    <col min="14358" max="14358" width="8.5546875" style="171" customWidth="1"/>
    <col min="14359" max="14363" width="0" style="171" hidden="1" customWidth="1"/>
    <col min="14364" max="14364" width="6.88671875" style="171" customWidth="1"/>
    <col min="14365" max="14365" width="5.6640625" style="171" customWidth="1"/>
    <col min="14366" max="14366" width="7" style="171" customWidth="1"/>
    <col min="14367" max="14367" width="15.44140625" style="171" customWidth="1"/>
    <col min="14368" max="14368" width="9.44140625" style="171" customWidth="1"/>
    <col min="14369" max="14369" width="15.44140625" style="171" customWidth="1"/>
    <col min="14370" max="14370" width="9.5546875" style="171" customWidth="1"/>
    <col min="14371" max="14371" width="9.44140625" style="171" customWidth="1"/>
    <col min="14372" max="14372" width="15.44140625" style="171" customWidth="1"/>
    <col min="14373" max="14373" width="0" style="171" hidden="1" customWidth="1"/>
    <col min="14374" max="14592" width="0" style="171" hidden="1"/>
    <col min="14593" max="14593" width="6.88671875" style="171" customWidth="1"/>
    <col min="14594" max="14594" width="5.6640625" style="171" customWidth="1"/>
    <col min="14595" max="14595" width="7" style="171" customWidth="1"/>
    <col min="14596" max="14598" width="15.44140625" style="171" customWidth="1"/>
    <col min="14599" max="14599" width="9.44140625" style="171" customWidth="1"/>
    <col min="14600" max="14600" width="15.44140625" style="171" customWidth="1"/>
    <col min="14601" max="14601" width="9.5546875" style="171" customWidth="1"/>
    <col min="14602" max="14602" width="9.44140625" style="171" customWidth="1"/>
    <col min="14603" max="14603" width="15.44140625" style="171" customWidth="1"/>
    <col min="14604" max="14604" width="8.33203125" style="171" bestFit="1" customWidth="1"/>
    <col min="14605" max="14605" width="9.109375" style="171" customWidth="1"/>
    <col min="14606" max="14606" width="6.109375" style="171" customWidth="1"/>
    <col min="14607" max="14607" width="7.6640625" style="171" customWidth="1"/>
    <col min="14608" max="14613" width="15.44140625" style="171" customWidth="1"/>
    <col min="14614" max="14614" width="8.5546875" style="171" customWidth="1"/>
    <col min="14615" max="14619" width="0" style="171" hidden="1" customWidth="1"/>
    <col min="14620" max="14620" width="6.88671875" style="171" customWidth="1"/>
    <col min="14621" max="14621" width="5.6640625" style="171" customWidth="1"/>
    <col min="14622" max="14622" width="7" style="171" customWidth="1"/>
    <col min="14623" max="14623" width="15.44140625" style="171" customWidth="1"/>
    <col min="14624" max="14624" width="9.44140625" style="171" customWidth="1"/>
    <col min="14625" max="14625" width="15.44140625" style="171" customWidth="1"/>
    <col min="14626" max="14626" width="9.5546875" style="171" customWidth="1"/>
    <col min="14627" max="14627" width="9.44140625" style="171" customWidth="1"/>
    <col min="14628" max="14628" width="15.44140625" style="171" customWidth="1"/>
    <col min="14629" max="14629" width="0" style="171" hidden="1" customWidth="1"/>
    <col min="14630" max="14848" width="0" style="171" hidden="1"/>
    <col min="14849" max="14849" width="6.88671875" style="171" customWidth="1"/>
    <col min="14850" max="14850" width="5.6640625" style="171" customWidth="1"/>
    <col min="14851" max="14851" width="7" style="171" customWidth="1"/>
    <col min="14852" max="14854" width="15.44140625" style="171" customWidth="1"/>
    <col min="14855" max="14855" width="9.44140625" style="171" customWidth="1"/>
    <col min="14856" max="14856" width="15.44140625" style="171" customWidth="1"/>
    <col min="14857" max="14857" width="9.5546875" style="171" customWidth="1"/>
    <col min="14858" max="14858" width="9.44140625" style="171" customWidth="1"/>
    <col min="14859" max="14859" width="15.44140625" style="171" customWidth="1"/>
    <col min="14860" max="14860" width="8.33203125" style="171" bestFit="1" customWidth="1"/>
    <col min="14861" max="14861" width="9.109375" style="171" customWidth="1"/>
    <col min="14862" max="14862" width="6.109375" style="171" customWidth="1"/>
    <col min="14863" max="14863" width="7.6640625" style="171" customWidth="1"/>
    <col min="14864" max="14869" width="15.44140625" style="171" customWidth="1"/>
    <col min="14870" max="14870" width="8.5546875" style="171" customWidth="1"/>
    <col min="14871" max="14875" width="0" style="171" hidden="1" customWidth="1"/>
    <col min="14876" max="14876" width="6.88671875" style="171" customWidth="1"/>
    <col min="14877" max="14877" width="5.6640625" style="171" customWidth="1"/>
    <col min="14878" max="14878" width="7" style="171" customWidth="1"/>
    <col min="14879" max="14879" width="15.44140625" style="171" customWidth="1"/>
    <col min="14880" max="14880" width="9.44140625" style="171" customWidth="1"/>
    <col min="14881" max="14881" width="15.44140625" style="171" customWidth="1"/>
    <col min="14882" max="14882" width="9.5546875" style="171" customWidth="1"/>
    <col min="14883" max="14883" width="9.44140625" style="171" customWidth="1"/>
    <col min="14884" max="14884" width="15.44140625" style="171" customWidth="1"/>
    <col min="14885" max="14885" width="0" style="171" hidden="1" customWidth="1"/>
    <col min="14886" max="15104" width="0" style="171" hidden="1"/>
    <col min="15105" max="15105" width="6.88671875" style="171" customWidth="1"/>
    <col min="15106" max="15106" width="5.6640625" style="171" customWidth="1"/>
    <col min="15107" max="15107" width="7" style="171" customWidth="1"/>
    <col min="15108" max="15110" width="15.44140625" style="171" customWidth="1"/>
    <col min="15111" max="15111" width="9.44140625" style="171" customWidth="1"/>
    <col min="15112" max="15112" width="15.44140625" style="171" customWidth="1"/>
    <col min="15113" max="15113" width="9.5546875" style="171" customWidth="1"/>
    <col min="15114" max="15114" width="9.44140625" style="171" customWidth="1"/>
    <col min="15115" max="15115" width="15.44140625" style="171" customWidth="1"/>
    <col min="15116" max="15116" width="8.33203125" style="171" bestFit="1" customWidth="1"/>
    <col min="15117" max="15117" width="9.109375" style="171" customWidth="1"/>
    <col min="15118" max="15118" width="6.109375" style="171" customWidth="1"/>
    <col min="15119" max="15119" width="7.6640625" style="171" customWidth="1"/>
    <col min="15120" max="15125" width="15.44140625" style="171" customWidth="1"/>
    <col min="15126" max="15126" width="8.5546875" style="171" customWidth="1"/>
    <col min="15127" max="15131" width="0" style="171" hidden="1" customWidth="1"/>
    <col min="15132" max="15132" width="6.88671875" style="171" customWidth="1"/>
    <col min="15133" max="15133" width="5.6640625" style="171" customWidth="1"/>
    <col min="15134" max="15134" width="7" style="171" customWidth="1"/>
    <col min="15135" max="15135" width="15.44140625" style="171" customWidth="1"/>
    <col min="15136" max="15136" width="9.44140625" style="171" customWidth="1"/>
    <col min="15137" max="15137" width="15.44140625" style="171" customWidth="1"/>
    <col min="15138" max="15138" width="9.5546875" style="171" customWidth="1"/>
    <col min="15139" max="15139" width="9.44140625" style="171" customWidth="1"/>
    <col min="15140" max="15140" width="15.44140625" style="171" customWidth="1"/>
    <col min="15141" max="15141" width="0" style="171" hidden="1" customWidth="1"/>
    <col min="15142" max="15360" width="0" style="171" hidden="1"/>
    <col min="15361" max="15361" width="6.88671875" style="171" customWidth="1"/>
    <col min="15362" max="15362" width="5.6640625" style="171" customWidth="1"/>
    <col min="15363" max="15363" width="7" style="171" customWidth="1"/>
    <col min="15364" max="15366" width="15.44140625" style="171" customWidth="1"/>
    <col min="15367" max="15367" width="9.44140625" style="171" customWidth="1"/>
    <col min="15368" max="15368" width="15.44140625" style="171" customWidth="1"/>
    <col min="15369" max="15369" width="9.5546875" style="171" customWidth="1"/>
    <col min="15370" max="15370" width="9.44140625" style="171" customWidth="1"/>
    <col min="15371" max="15371" width="15.44140625" style="171" customWidth="1"/>
    <col min="15372" max="15372" width="8.33203125" style="171" bestFit="1" customWidth="1"/>
    <col min="15373" max="15373" width="9.109375" style="171" customWidth="1"/>
    <col min="15374" max="15374" width="6.109375" style="171" customWidth="1"/>
    <col min="15375" max="15375" width="7.6640625" style="171" customWidth="1"/>
    <col min="15376" max="15381" width="15.44140625" style="171" customWidth="1"/>
    <col min="15382" max="15382" width="8.5546875" style="171" customWidth="1"/>
    <col min="15383" max="15387" width="0" style="171" hidden="1" customWidth="1"/>
    <col min="15388" max="15388" width="6.88671875" style="171" customWidth="1"/>
    <col min="15389" max="15389" width="5.6640625" style="171" customWidth="1"/>
    <col min="15390" max="15390" width="7" style="171" customWidth="1"/>
    <col min="15391" max="15391" width="15.44140625" style="171" customWidth="1"/>
    <col min="15392" max="15392" width="9.44140625" style="171" customWidth="1"/>
    <col min="15393" max="15393" width="15.44140625" style="171" customWidth="1"/>
    <col min="15394" max="15394" width="9.5546875" style="171" customWidth="1"/>
    <col min="15395" max="15395" width="9.44140625" style="171" customWidth="1"/>
    <col min="15396" max="15396" width="15.44140625" style="171" customWidth="1"/>
    <col min="15397" max="15397" width="0" style="171" hidden="1" customWidth="1"/>
    <col min="15398" max="15616" width="0" style="171" hidden="1"/>
    <col min="15617" max="15617" width="6.88671875" style="171" customWidth="1"/>
    <col min="15618" max="15618" width="5.6640625" style="171" customWidth="1"/>
    <col min="15619" max="15619" width="7" style="171" customWidth="1"/>
    <col min="15620" max="15622" width="15.44140625" style="171" customWidth="1"/>
    <col min="15623" max="15623" width="9.44140625" style="171" customWidth="1"/>
    <col min="15624" max="15624" width="15.44140625" style="171" customWidth="1"/>
    <col min="15625" max="15625" width="9.5546875" style="171" customWidth="1"/>
    <col min="15626" max="15626" width="9.44140625" style="171" customWidth="1"/>
    <col min="15627" max="15627" width="15.44140625" style="171" customWidth="1"/>
    <col min="15628" max="15628" width="8.33203125" style="171" bestFit="1" customWidth="1"/>
    <col min="15629" max="15629" width="9.109375" style="171" customWidth="1"/>
    <col min="15630" max="15630" width="6.109375" style="171" customWidth="1"/>
    <col min="15631" max="15631" width="7.6640625" style="171" customWidth="1"/>
    <col min="15632" max="15637" width="15.44140625" style="171" customWidth="1"/>
    <col min="15638" max="15638" width="8.5546875" style="171" customWidth="1"/>
    <col min="15639" max="15643" width="0" style="171" hidden="1" customWidth="1"/>
    <col min="15644" max="15644" width="6.88671875" style="171" customWidth="1"/>
    <col min="15645" max="15645" width="5.6640625" style="171" customWidth="1"/>
    <col min="15646" max="15646" width="7" style="171" customWidth="1"/>
    <col min="15647" max="15647" width="15.44140625" style="171" customWidth="1"/>
    <col min="15648" max="15648" width="9.44140625" style="171" customWidth="1"/>
    <col min="15649" max="15649" width="15.44140625" style="171" customWidth="1"/>
    <col min="15650" max="15650" width="9.5546875" style="171" customWidth="1"/>
    <col min="15651" max="15651" width="9.44140625" style="171" customWidth="1"/>
    <col min="15652" max="15652" width="15.44140625" style="171" customWidth="1"/>
    <col min="15653" max="15653" width="0" style="171" hidden="1" customWidth="1"/>
    <col min="15654" max="15872" width="0" style="171" hidden="1"/>
    <col min="15873" max="15873" width="6.88671875" style="171" customWidth="1"/>
    <col min="15874" max="15874" width="5.6640625" style="171" customWidth="1"/>
    <col min="15875" max="15875" width="7" style="171" customWidth="1"/>
    <col min="15876" max="15878" width="15.44140625" style="171" customWidth="1"/>
    <col min="15879" max="15879" width="9.44140625" style="171" customWidth="1"/>
    <col min="15880" max="15880" width="15.44140625" style="171" customWidth="1"/>
    <col min="15881" max="15881" width="9.5546875" style="171" customWidth="1"/>
    <col min="15882" max="15882" width="9.44140625" style="171" customWidth="1"/>
    <col min="15883" max="15883" width="15.44140625" style="171" customWidth="1"/>
    <col min="15884" max="15884" width="8.33203125" style="171" bestFit="1" customWidth="1"/>
    <col min="15885" max="15885" width="9.109375" style="171" customWidth="1"/>
    <col min="15886" max="15886" width="6.109375" style="171" customWidth="1"/>
    <col min="15887" max="15887" width="7.6640625" style="171" customWidth="1"/>
    <col min="15888" max="15893" width="15.44140625" style="171" customWidth="1"/>
    <col min="15894" max="15894" width="8.5546875" style="171" customWidth="1"/>
    <col min="15895" max="15899" width="0" style="171" hidden="1" customWidth="1"/>
    <col min="15900" max="15900" width="6.88671875" style="171" customWidth="1"/>
    <col min="15901" max="15901" width="5.6640625" style="171" customWidth="1"/>
    <col min="15902" max="15902" width="7" style="171" customWidth="1"/>
    <col min="15903" max="15903" width="15.44140625" style="171" customWidth="1"/>
    <col min="15904" max="15904" width="9.44140625" style="171" customWidth="1"/>
    <col min="15905" max="15905" width="15.44140625" style="171" customWidth="1"/>
    <col min="15906" max="15906" width="9.5546875" style="171" customWidth="1"/>
    <col min="15907" max="15907" width="9.44140625" style="171" customWidth="1"/>
    <col min="15908" max="15908" width="15.44140625" style="171" customWidth="1"/>
    <col min="15909" max="15909" width="0" style="171" hidden="1" customWidth="1"/>
    <col min="15910" max="16128" width="0" style="171" hidden="1"/>
    <col min="16129" max="16129" width="6.88671875" style="171" customWidth="1"/>
    <col min="16130" max="16130" width="5.6640625" style="171" customWidth="1"/>
    <col min="16131" max="16131" width="7" style="171" customWidth="1"/>
    <col min="16132" max="16134" width="15.44140625" style="171" customWidth="1"/>
    <col min="16135" max="16135" width="9.44140625" style="171" customWidth="1"/>
    <col min="16136" max="16136" width="15.44140625" style="171" customWidth="1"/>
    <col min="16137" max="16137" width="9.5546875" style="171" customWidth="1"/>
    <col min="16138" max="16138" width="9.44140625" style="171" customWidth="1"/>
    <col min="16139" max="16139" width="15.44140625" style="171" customWidth="1"/>
    <col min="16140" max="16140" width="8.33203125" style="171" bestFit="1" customWidth="1"/>
    <col min="16141" max="16141" width="9.109375" style="171" customWidth="1"/>
    <col min="16142" max="16142" width="6.109375" style="171" customWidth="1"/>
    <col min="16143" max="16143" width="7.6640625" style="171" customWidth="1"/>
    <col min="16144" max="16149" width="15.44140625" style="171" customWidth="1"/>
    <col min="16150" max="16150" width="8.5546875" style="171" customWidth="1"/>
    <col min="16151" max="16155" width="0" style="171" hidden="1" customWidth="1"/>
    <col min="16156" max="16156" width="6.88671875" style="171" customWidth="1"/>
    <col min="16157" max="16157" width="5.6640625" style="171" customWidth="1"/>
    <col min="16158" max="16158" width="7" style="171" customWidth="1"/>
    <col min="16159" max="16159" width="15.44140625" style="171" customWidth="1"/>
    <col min="16160" max="16160" width="9.44140625" style="171" customWidth="1"/>
    <col min="16161" max="16161" width="15.44140625" style="171" customWidth="1"/>
    <col min="16162" max="16162" width="9.5546875" style="171" customWidth="1"/>
    <col min="16163" max="16163" width="9.44140625" style="171" customWidth="1"/>
    <col min="16164" max="16164" width="15.44140625" style="171" customWidth="1"/>
    <col min="16165" max="16165" width="0" style="171" hidden="1" customWidth="1"/>
    <col min="16166" max="16384" width="0" style="171" hidden="1"/>
  </cols>
  <sheetData>
    <row r="1" spans="1:36" ht="24.75" customHeight="1" thickBot="1" x14ac:dyDescent="0.25">
      <c r="A1" s="169"/>
      <c r="B1" s="170"/>
      <c r="C1" s="170"/>
      <c r="D1" s="169"/>
      <c r="E1" s="169" t="s">
        <v>279</v>
      </c>
      <c r="F1" s="169"/>
      <c r="G1" s="169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</row>
    <row r="2" spans="1:36" ht="13.2" x14ac:dyDescent="0.25">
      <c r="A2" s="172" t="str">
        <f>IF(Sheet1!D$8=1,IF(NOT(Sheet1!D$192=1), "6.  Costs and Benefits Display (    ECONOMIC ANALYSIS  -  NO STATUS QUO FORMAT    ):","6.  Costs and Benefits Display (     ECONOMIC ANALYSIS FORMAT    ):"),IF(Sheet1!D8=2,IF(NOT(Sheet1!D$192=1),"6.  Costs and Benefits Display (COST COMPARISON( NO SQ) FORMAT (complies w/policy  Oct 1996 f/ OSCR Initiatives)    ):","6.  Costs and Benefits Display (COST COMPARISON FORMAT (complies with policy amended Oct 1996 for OSCR initiatives)   ):"),IF(NOT(Sheet1!D$192=1),"6. Cost and Benefits Display (COST COMPARISON (NO SQ) FORMAT (complies with policy dated Dec 1996)    ):","6.  Cost and Benefits Display (COST COMPARISON FORMAT (complies with policy dated Dec 1996)    ):")))</f>
        <v>6.  Costs and Benefits Display (     ECONOMIC ANALYSIS FORMAT    ):</v>
      </c>
      <c r="B2" s="173"/>
      <c r="C2" s="173"/>
      <c r="D2" s="173"/>
      <c r="E2" s="174"/>
      <c r="F2" s="174"/>
      <c r="G2" s="173"/>
      <c r="H2" s="173"/>
      <c r="I2" s="175"/>
      <c r="J2" s="173"/>
      <c r="K2" s="176"/>
      <c r="L2" s="177"/>
      <c r="M2" s="178" t="s">
        <v>280</v>
      </c>
      <c r="N2" s="179"/>
      <c r="O2" s="173"/>
      <c r="P2" s="180"/>
      <c r="Q2" s="180"/>
      <c r="R2" s="180"/>
      <c r="S2" s="180"/>
      <c r="T2" s="180"/>
      <c r="U2" s="181"/>
      <c r="V2" s="182"/>
      <c r="W2" s="183"/>
      <c r="AB2" s="178" t="s">
        <v>281</v>
      </c>
      <c r="AC2" s="184"/>
      <c r="AD2" s="185"/>
      <c r="AE2" s="186"/>
      <c r="AF2" s="187"/>
      <c r="AG2" s="186"/>
      <c r="AH2" s="188"/>
      <c r="AI2" s="187"/>
      <c r="AJ2" s="189"/>
    </row>
    <row r="3" spans="1:36" ht="13.8" thickBot="1" x14ac:dyDescent="0.3">
      <c r="A3" s="190"/>
      <c r="B3" s="191" t="str">
        <f>IF(AND(Sheet1!D$8=2,Sheet1!D$22&lt;&gt;3),"(*) WARNING:  This ''COST COMPARISON  FORMAT'' only applies for ''OSCR INITIATIVES'' - USE OTHER FORMAT!!!!",IF(AND(Sheet1!D$8=3,Sheet1!D$22=3),"(*) WARNING: This ''COST COMPARISON FORMAT'' does apply for ''OSCR INITIATIVES'' - USE OTHER FORMAT!! "," "))</f>
        <v xml:space="preserve"> </v>
      </c>
      <c r="C3" s="192"/>
      <c r="D3" s="192"/>
      <c r="E3" s="193"/>
      <c r="F3" s="194"/>
      <c r="G3" s="192"/>
      <c r="H3" s="192"/>
      <c r="I3" s="192"/>
      <c r="J3" s="195"/>
      <c r="K3" s="196"/>
      <c r="L3" s="177"/>
      <c r="M3" s="197"/>
      <c r="N3" s="198"/>
      <c r="O3" s="192"/>
      <c r="P3" s="199"/>
      <c r="Q3" s="199"/>
      <c r="R3" s="199"/>
      <c r="S3" s="199"/>
      <c r="T3" s="199"/>
      <c r="U3" s="200"/>
      <c r="V3" s="182"/>
      <c r="W3" s="183"/>
      <c r="AB3" s="201" t="s">
        <v>282</v>
      </c>
      <c r="AC3" s="202"/>
      <c r="AD3" s="203"/>
      <c r="AE3" s="204"/>
      <c r="AF3" s="205"/>
      <c r="AG3" s="204"/>
      <c r="AH3" s="206"/>
      <c r="AI3" s="205"/>
      <c r="AJ3" s="207"/>
    </row>
    <row r="4" spans="1:36" ht="11.4" x14ac:dyDescent="0.2">
      <c r="A4" s="208" t="s">
        <v>283</v>
      </c>
      <c r="B4" s="208" t="s">
        <v>284</v>
      </c>
      <c r="C4" s="209"/>
      <c r="D4" s="210" t="str">
        <f>IF(Sheet1!D$192=1,"6c.","n/a.")</f>
        <v>6c.</v>
      </c>
      <c r="E4" s="210" t="str">
        <f>IF(Sheet1!D$192=1,"6d.","6c.")</f>
        <v>6d.</v>
      </c>
      <c r="F4" s="210" t="str">
        <f>IF(Sheet1!D$192=1,"6e.","n/a.")</f>
        <v>6e.</v>
      </c>
      <c r="G4" s="210" t="str">
        <f>IF(Sheet1!D$192=1,"6f.","6d.")</f>
        <v>6f.</v>
      </c>
      <c r="H4" s="210" t="str">
        <f>IF(Sheet1!D$192=1,"6g.","6e.")</f>
        <v>6g.</v>
      </c>
      <c r="I4" s="210" t="str">
        <f>IF(Sheet1!D$192=1,"6h.","6f.")</f>
        <v>6h.</v>
      </c>
      <c r="J4" s="210" t="str">
        <f>IF(Sheet1!D$192=1,"6i.","6g.")</f>
        <v>6i.</v>
      </c>
      <c r="K4" s="210" t="str">
        <f>IF(Sheet1!D$192=1,"6j.","6h.")</f>
        <v>6j.</v>
      </c>
      <c r="L4" s="177"/>
      <c r="M4" s="210" t="str">
        <f>IF(Sheet1!D$192=1,"6k.","6j.")</f>
        <v>6k.</v>
      </c>
      <c r="N4" s="210" t="str">
        <f>IF(Sheet1!D$192=1,"6l.","6k.")</f>
        <v>6l.</v>
      </c>
      <c r="O4" s="210" t="str">
        <f>IF(Sheet1!D$192=1,"6m.","6l.")</f>
        <v>6m.</v>
      </c>
      <c r="P4" s="210" t="str">
        <f>IF(Sheet1!D$192=1,"6n.","6m.")</f>
        <v>6n.</v>
      </c>
      <c r="Q4" s="210" t="str">
        <f>IF(Sheet1!D$192=1,"6o.","6n.")</f>
        <v>6o.</v>
      </c>
      <c r="R4" s="210" t="str">
        <f>IF(Sheet1!D$192=1,"6p.","6o.")</f>
        <v>6p.</v>
      </c>
      <c r="S4" s="210" t="str">
        <f>IF(Sheet1!D$192=1,"6q.","6p.")</f>
        <v>6q.</v>
      </c>
      <c r="T4" s="210" t="str">
        <f>IF(Sheet1!D$192=1,"6r.","6q.")</f>
        <v>6r.</v>
      </c>
      <c r="U4" s="210" t="str">
        <f>IF(Sheet1!D$192=1,"6s.","6r.")</f>
        <v>6s.</v>
      </c>
      <c r="V4" s="211"/>
      <c r="W4" s="212"/>
      <c r="AB4" s="208" t="s">
        <v>285</v>
      </c>
      <c r="AC4" s="208" t="s">
        <v>286</v>
      </c>
      <c r="AD4" s="209"/>
      <c r="AE4" s="210" t="str">
        <f>IF(Sheet1!D$193=1,"A3.","n/a.")</f>
        <v>n/a.</v>
      </c>
      <c r="AF4" s="210" t="str">
        <f>IF(Sheet1!D$193=1,"A4.","n/a.")</f>
        <v>n/a.</v>
      </c>
      <c r="AG4" s="210" t="str">
        <f>IF(Sheet1!D$193=1,"A5.","n/a.")</f>
        <v>n/a.</v>
      </c>
      <c r="AH4" s="210" t="str">
        <f>IF(Sheet1!D$193=1,"A6.","n/a.")</f>
        <v>n/a.</v>
      </c>
      <c r="AI4" s="210" t="str">
        <f>IF(Sheet1!D$193=1,"A7.","n/a.")</f>
        <v>n/a.</v>
      </c>
      <c r="AJ4" s="210" t="str">
        <f>IF(Sheet1!D$193=1,"A8.","n/a.")</f>
        <v>n/a.</v>
      </c>
    </row>
    <row r="5" spans="1:36" ht="12" x14ac:dyDescent="0.25">
      <c r="A5" s="213"/>
      <c r="B5" s="213"/>
      <c r="C5" s="214"/>
      <c r="D5" s="213"/>
      <c r="E5" s="215"/>
      <c r="F5" s="216" t="str">
        <f>IF(Sheet1!D$192=1,"Monetary Benefits","Costs")</f>
        <v>Monetary Benefits</v>
      </c>
      <c r="G5" s="217" t="str">
        <f>IF(OR(Sheet1!D$8=2,Sheet1!D$8=3)," ","Discount")</f>
        <v>Discount</v>
      </c>
      <c r="H5" s="215"/>
      <c r="I5" s="218" t="s">
        <v>287</v>
      </c>
      <c r="J5" s="217" t="s">
        <v>288</v>
      </c>
      <c r="K5" s="215"/>
      <c r="L5" s="219"/>
      <c r="M5" s="213"/>
      <c r="N5" s="213"/>
      <c r="O5" s="213"/>
      <c r="P5" s="220" t="str">
        <f>IF(OR(Sheet1!D$8=2,Sheet1!D$8=3,Sheet1!D$22=3),"''  Restricted ''"," ")</f>
        <v xml:space="preserve"> </v>
      </c>
      <c r="Q5" s="220" t="str">
        <f>IF(OR(Sheet1!D$8=2,Sheet1!D$8=3,Sheet1!D$22=3),"''  Restricted ''"," ")</f>
        <v xml:space="preserve"> </v>
      </c>
      <c r="R5" s="220" t="str">
        <f>IF(OR(Sheet1!D$8=2,Sheet1!D$8=3,Sheet1!D$22=3),"''  Restricted ''"," ")</f>
        <v xml:space="preserve"> </v>
      </c>
      <c r="S5" s="220" t="str">
        <f>IF(OR(Sheet1!D$8=2,Sheet1!D$8=3,Sheet1!D$22=3),"''  Restricted ''"," ")</f>
        <v xml:space="preserve"> </v>
      </c>
      <c r="T5" s="220" t="str">
        <f>IF(OR(Sheet1!D$8=2,Sheet1!D$8=3,Sheet1!D$22=3),"''  Restricted ''"," ")</f>
        <v xml:space="preserve"> </v>
      </c>
      <c r="U5" s="220" t="str">
        <f>IF(OR(Sheet1!D$8=2,Sheet1!D$8=3,Sheet1!D$22=3),"''  Restricted ''"," ")</f>
        <v xml:space="preserve"> </v>
      </c>
      <c r="V5" s="211"/>
      <c r="W5" s="212"/>
      <c r="AA5" s="220" t="str">
        <f>IF(OR(Sheet1!J$8=2,Sheet1!J$8=3,Sheet1!J$22=3),"''  Restricted ''"," ")</f>
        <v xml:space="preserve"> </v>
      </c>
      <c r="AB5" s="213"/>
      <c r="AC5" s="213"/>
      <c r="AD5" s="214"/>
      <c r="AE5" s="213"/>
      <c r="AF5" s="217" t="str">
        <f>IF(OR(Sheet1!D$8=2,Sheet1!D$8=3)," ","Discount")</f>
        <v>Discount</v>
      </c>
      <c r="AG5" s="215"/>
      <c r="AH5" s="218" t="s">
        <v>287</v>
      </c>
      <c r="AI5" s="217" t="s">
        <v>288</v>
      </c>
      <c r="AJ5" s="221" t="s">
        <v>289</v>
      </c>
    </row>
    <row r="6" spans="1:36" ht="12" x14ac:dyDescent="0.25">
      <c r="A6" s="215"/>
      <c r="B6" s="215"/>
      <c r="C6" s="222"/>
      <c r="D6" s="221" t="s">
        <v>290</v>
      </c>
      <c r="E6" s="221" t="s">
        <v>291</v>
      </c>
      <c r="F6" s="215"/>
      <c r="G6" s="223" t="str">
        <f>IF(OR(Sheet1!$D$8=2,Sheet1!D$8=3)," ","Factors")</f>
        <v>Factors</v>
      </c>
      <c r="H6" s="215"/>
      <c r="I6" s="224" t="s">
        <v>292</v>
      </c>
      <c r="J6" s="223" t="s">
        <v>293</v>
      </c>
      <c r="K6" s="215"/>
      <c r="L6" s="219"/>
      <c r="M6" s="215"/>
      <c r="N6" s="215"/>
      <c r="O6" s="216"/>
      <c r="P6" s="225" t="s">
        <v>290</v>
      </c>
      <c r="Q6" s="225" t="s">
        <v>291</v>
      </c>
      <c r="R6" s="226" t="s">
        <v>294</v>
      </c>
      <c r="S6" s="227"/>
      <c r="T6" s="227"/>
      <c r="U6" s="224" t="s">
        <v>294</v>
      </c>
      <c r="V6" s="211"/>
      <c r="W6" s="212"/>
      <c r="AA6" s="224" t="s">
        <v>295</v>
      </c>
      <c r="AB6" s="215"/>
      <c r="AC6" s="215"/>
      <c r="AD6" s="222"/>
      <c r="AE6" s="221" t="s">
        <v>291</v>
      </c>
      <c r="AF6" s="223" t="str">
        <f>IF(OR(Sheet1!D$8=2,Sheet1!D$8=3)," ","Factors")</f>
        <v>Factors</v>
      </c>
      <c r="AG6" s="215"/>
      <c r="AH6" s="224" t="s">
        <v>292</v>
      </c>
      <c r="AI6" s="223" t="s">
        <v>293</v>
      </c>
      <c r="AJ6" s="220" t="str">
        <f>IF(OR(Sheet1!D$8=2,Sheet1!D$8=3,Sheet1!D$22=3),"'' Restricted"," ")</f>
        <v xml:space="preserve"> </v>
      </c>
    </row>
    <row r="7" spans="1:36" ht="12" x14ac:dyDescent="0.25">
      <c r="A7" s="215"/>
      <c r="B7" s="215"/>
      <c r="C7" s="228"/>
      <c r="D7" s="215"/>
      <c r="E7" s="215"/>
      <c r="F7" s="216" t="str">
        <f>IF(Sheet1!D$192=1,"Operating Cost"," ")</f>
        <v>Operating Cost</v>
      </c>
      <c r="G7" s="224" t="str">
        <f>IF(OR(Sheet1!D$8=2,Sheet1!D$8=3)," ","dated")</f>
        <v>dated</v>
      </c>
      <c r="H7" s="216" t="str">
        <f>IF(Sheet1!D$192=1,"Monetary Benefits","Costs")</f>
        <v>Monetary Benefits</v>
      </c>
      <c r="I7" s="224" t="s">
        <v>296</v>
      </c>
      <c r="J7" s="224" t="s">
        <v>297</v>
      </c>
      <c r="K7" s="216" t="str">
        <f>IF(Sheet1!D$192=1,"Monetary Benefits","Costs")</f>
        <v>Monetary Benefits</v>
      </c>
      <c r="L7" s="219"/>
      <c r="M7" s="215"/>
      <c r="N7" s="215"/>
      <c r="O7" s="229"/>
      <c r="P7" s="230" t="s">
        <v>298</v>
      </c>
      <c r="Q7" s="230" t="s">
        <v>298</v>
      </c>
      <c r="R7" s="216" t="str">
        <f>IF(Sheet1!D$192=1,"Operating Cost"," ")</f>
        <v>Operating Cost</v>
      </c>
      <c r="S7" s="226" t="s">
        <v>294</v>
      </c>
      <c r="T7" s="226" t="s">
        <v>294</v>
      </c>
      <c r="U7" s="224" t="s">
        <v>299</v>
      </c>
      <c r="V7" s="211"/>
      <c r="W7" s="212"/>
      <c r="AA7" s="224" t="s">
        <v>299</v>
      </c>
      <c r="AB7" s="215"/>
      <c r="AC7" s="215"/>
      <c r="AD7" s="228"/>
      <c r="AE7" s="215"/>
      <c r="AF7" s="224" t="str">
        <f>IF(OR(Sheet1!D$8=2,Sheet1!D$8=3)," ","dated")</f>
        <v>dated</v>
      </c>
      <c r="AG7" s="221" t="s">
        <v>289</v>
      </c>
      <c r="AH7" s="224" t="s">
        <v>296</v>
      </c>
      <c r="AI7" s="224" t="s">
        <v>297</v>
      </c>
      <c r="AJ7" s="231" t="str">
        <f>IF(OR(Sheet1!D$8=2,Sheet1!D$22=3)," For OSCR PayBack''"," ")</f>
        <v xml:space="preserve"> </v>
      </c>
    </row>
    <row r="8" spans="1:36" ht="24.75" customHeight="1" x14ac:dyDescent="0.25">
      <c r="A8" s="221"/>
      <c r="B8" s="221" t="s">
        <v>300</v>
      </c>
      <c r="C8" s="232"/>
      <c r="D8" s="229" t="s">
        <v>298</v>
      </c>
      <c r="E8" s="229" t="s">
        <v>298</v>
      </c>
      <c r="F8" s="233" t="str">
        <f>IF(Sheet1!D$192=1,"Differential (Constant $'s)", "  Costs      (Constant $'s)")</f>
        <v>Differential (Constant $'s)</v>
      </c>
      <c r="G8" s="234">
        <f>IF(OR(Sheet1!D$8=2,Sheet1!D$8=3)," ",Discount!B$6)</f>
        <v>45288</v>
      </c>
      <c r="H8" s="233" t="str">
        <f>IF(OR(Sheet1!D$8=2,Sheet1!D$8=3),"(Constant $'s)","(Discounted $'s)      ( Present Value )")</f>
        <v>(Discounted $'s)      ( Present Value )</v>
      </c>
      <c r="I8" s="235">
        <f>VLOOKUP(Sheet1!D$232,Sheet1!A$232:H$239,8)</f>
        <v>2024</v>
      </c>
      <c r="J8" s="234">
        <f>VLOOKUP(Sheet1!D$232,Sheet1!A$232:H$239,6)</f>
        <v>45348</v>
      </c>
      <c r="K8" s="221" t="s">
        <v>301</v>
      </c>
      <c r="L8" s="236"/>
      <c r="M8" s="221"/>
      <c r="N8" s="221" t="s">
        <v>300</v>
      </c>
      <c r="O8" s="237"/>
      <c r="P8" s="238" t="s">
        <v>302</v>
      </c>
      <c r="Q8" s="238" t="s">
        <v>302</v>
      </c>
      <c r="R8" s="233" t="str">
        <f>IF(Sheet1!D$192=1,"Differential (Constant $'s)", "  Costs      (Constant $'s)")</f>
        <v>Differential (Constant $'s)</v>
      </c>
      <c r="S8" s="233" t="str">
        <f>IF(OR(Sheet1!D$8=2,Sheet1!D$8=3),"(Constant $'s)","(Discounted $'s)      ( Present Value )")</f>
        <v>(Discounted $'s)      ( Present Value )</v>
      </c>
      <c r="T8" s="239" t="s">
        <v>301</v>
      </c>
      <c r="U8" s="225" t="s">
        <v>301</v>
      </c>
      <c r="V8" s="240"/>
      <c r="W8" s="241" t="s">
        <v>303</v>
      </c>
      <c r="X8" s="242" t="s">
        <v>303</v>
      </c>
      <c r="Y8" s="242" t="s">
        <v>303</v>
      </c>
      <c r="Z8" s="242" t="s">
        <v>303</v>
      </c>
      <c r="AA8" s="225" t="s">
        <v>301</v>
      </c>
      <c r="AB8" s="221"/>
      <c r="AC8" s="221" t="s">
        <v>300</v>
      </c>
      <c r="AD8" s="232"/>
      <c r="AE8" s="221" t="s">
        <v>289</v>
      </c>
      <c r="AF8" s="234">
        <f>IF(OR(Sheet1!D$8=2,Sheet1!D$8=3)," ",Discount!B$6)</f>
        <v>45288</v>
      </c>
      <c r="AG8" s="233" t="str">
        <f>IF(OR(Sheet1!D$8=2,Sheet1!D$8=3),"(Constant $'s)","(Discounted $'s)      ( Present Value )")</f>
        <v>(Discounted $'s)      ( Present Value )</v>
      </c>
      <c r="AH8" s="235">
        <f>VLOOKUP(Sheet1!D$212,Sheet1!A$212:H$219,8)</f>
        <v>2024</v>
      </c>
      <c r="AI8" s="234">
        <f>VLOOKUP(Sheet1!D$212,Sheet1!A$212:H$219,6)</f>
        <v>45348</v>
      </c>
      <c r="AJ8" s="221" t="s">
        <v>301</v>
      </c>
    </row>
    <row r="9" spans="1:36" ht="12" x14ac:dyDescent="0.25">
      <c r="A9" s="221"/>
      <c r="B9" s="221"/>
      <c r="C9" s="243"/>
      <c r="D9" s="229" t="s">
        <v>304</v>
      </c>
      <c r="E9" s="229" t="s">
        <v>304</v>
      </c>
      <c r="F9" s="244" t="str">
        <f>VLOOKUP(Sheet1!D$67,Sheet1!A$66:B$68,2)</f>
        <v xml:space="preserve"> ($)</v>
      </c>
      <c r="G9" s="221"/>
      <c r="H9" s="244" t="str">
        <f>VLOOKUP(Sheet1!D$67,Sheet1!A$66:B$68,2)</f>
        <v xml:space="preserve"> ($)</v>
      </c>
      <c r="I9" s="224" t="s">
        <v>305</v>
      </c>
      <c r="J9" s="245" t="str">
        <f>VLOOKUP(Sheet1!D$232,Sheet1!A$232:H$232,7)</f>
        <v>DASA-CE</v>
      </c>
      <c r="K9" s="244" t="str">
        <f>VLOOKUP(Sheet1!D$67,Sheet1!A$66:B$68,2)</f>
        <v xml:space="preserve"> ($)</v>
      </c>
      <c r="L9" s="219"/>
      <c r="M9" s="221"/>
      <c r="N9" s="221"/>
      <c r="O9" s="215"/>
      <c r="P9" s="230" t="s">
        <v>304</v>
      </c>
      <c r="Q9" s="230" t="s">
        <v>304</v>
      </c>
      <c r="R9" s="246" t="str">
        <f>VLOOKUP(Sheet1!D$67,Sheet1!A$66:B$68,2)</f>
        <v xml:space="preserve"> ($)</v>
      </c>
      <c r="S9" s="246" t="str">
        <f>VLOOKUP(Sheet1!D$67,Sheet1!A$66:B$68,2)</f>
        <v xml:space="preserve"> ($)</v>
      </c>
      <c r="T9" s="246" t="str">
        <f>VLOOKUP(Sheet1!D$67,Sheet1!A$66:B$68,2)</f>
        <v xml:space="preserve"> ($)</v>
      </c>
      <c r="U9" s="247" t="str">
        <f>VLOOKUP(Sheet1!D$67,Sheet1!A$66:B$68,2)</f>
        <v xml:space="preserve"> ($)</v>
      </c>
      <c r="V9" s="211"/>
      <c r="W9" s="212"/>
      <c r="AA9" s="247" t="str">
        <f>VLOOKUP(Sheet1!D$67,Sheet1!A$66:B$68,2)</f>
        <v xml:space="preserve"> ($)</v>
      </c>
      <c r="AB9" s="221"/>
      <c r="AC9" s="221"/>
      <c r="AD9" s="243"/>
      <c r="AE9" s="221" t="s">
        <v>304</v>
      </c>
      <c r="AF9" s="221"/>
      <c r="AG9" s="244" t="str">
        <f>VLOOKUP(Sheet1!D$67,Sheet1!A$66:B$68,2)</f>
        <v xml:space="preserve"> ($)</v>
      </c>
      <c r="AH9" s="224" t="s">
        <v>305</v>
      </c>
      <c r="AI9" s="245" t="str">
        <f>VLOOKUP(Sheet1!D$212,Sheet1!A$212:H$212,7)</f>
        <v>DASA-CE</v>
      </c>
      <c r="AJ9" s="244" t="str">
        <f>VLOOKUP(Sheet1!D$67,Sheet1!A$66:B$68,2)</f>
        <v xml:space="preserve"> ($)</v>
      </c>
    </row>
    <row r="10" spans="1:36" ht="36" x14ac:dyDescent="0.25">
      <c r="A10" s="248" t="s">
        <v>306</v>
      </c>
      <c r="B10" s="248" t="s">
        <v>307</v>
      </c>
      <c r="C10" s="232"/>
      <c r="D10" s="249" t="str">
        <f>" "&amp;" ' "&amp;VLOOKUP(Sheet1!D$82,Sheet1!A$82:B$135,2)&amp;" '     Constant Dollars "&amp;VLOOKUP(Sheet1!D$67,Sheet1!A$66:B$68,2)</f>
        <v xml:space="preserve">  ' 2024 '     Constant Dollars  ($)</v>
      </c>
      <c r="E10" s="250" t="str">
        <f>"  "&amp;" ' "&amp;VLOOKUP(Sheet1!D$82,Sheet1!A$82:B$135,2)&amp;" '        Constant Dollars "&amp;VLOOKUP(Sheet1!D$67,Sheet1!A$66:B$68,2)</f>
        <v xml:space="preserve">   ' 2024 '        Constant Dollars  ($)</v>
      </c>
      <c r="F10" s="251" t="str">
        <f>IF(Sheet1!D$192=1,"(6c. - 6d.)","(6c.)")</f>
        <v>(6c. - 6d.)</v>
      </c>
      <c r="G10" s="252">
        <f>IF(OR(Sheet1!D$8=2,Sheet1!D$8=3)," ",HLOOKUP(Sheet1!D$148,DiscLinearInterp,2))</f>
        <v>2.1999999999999999E-2</v>
      </c>
      <c r="H10" s="251" t="str">
        <f>IF(Sheet1!D$192=1,"(6e. x  6f.)","(6c.  x  6d.)")</f>
        <v>(6e. x  6f.)</v>
      </c>
      <c r="I10" s="251"/>
      <c r="J10" s="253" t="str">
        <f>CHOOSE(Sheet1!D$232,"OMA weighted","APA weighted","MIPA weighted","WTCV weighted","AMMO weighted","OPA weighted","RDTE weighted","MCA weighted")</f>
        <v>OMA weighted</v>
      </c>
      <c r="K10" s="251" t="str">
        <f>IF(Sheet1!D$192=1,"((6e.  /  6h.) x 6i.)","((6c. / 6f. ) x 6g.)")</f>
        <v>((6e.  /  6h.) x 6i.)</v>
      </c>
      <c r="L10" s="254" t="str">
        <f>IF(Sheet1!D$192=1,IF(AND(AA10&gt;AJ$61,AA9&lt;=AJ$61),"&lt;-Payback"," ")," ")</f>
        <v xml:space="preserve"> </v>
      </c>
      <c r="M10" s="248" t="s">
        <v>306</v>
      </c>
      <c r="N10" s="255" t="s">
        <v>307</v>
      </c>
      <c r="O10" s="256" t="s">
        <v>308</v>
      </c>
      <c r="P10" s="249" t="str">
        <f>" "&amp;" ' "&amp;VLOOKUP(Sheet1!D$82,Sheet1!A$82:B$135,2)&amp;" '     Constant Dollars "&amp;VLOOKUP(Sheet1!D$67,Sheet1!A$66:B$68,2)</f>
        <v xml:space="preserve">  ' 2024 '     Constant Dollars  ($)</v>
      </c>
      <c r="Q10" s="249" t="str">
        <f>"  "&amp;" ' "&amp;VLOOKUP(Sheet1!D$82,Sheet1!A$82:B$135,2)&amp;" '        Constant Dollars "&amp;VLOOKUP(Sheet1!D$67,Sheet1!A$66:B$68,2)</f>
        <v xml:space="preserve">   ' 2024 '        Constant Dollars  ($)</v>
      </c>
      <c r="R10" s="257" t="str">
        <f>IF(Sheet1!D$192=1,"(6n. - 6o.)","n/a")</f>
        <v>(6n. - 6o.)</v>
      </c>
      <c r="S10" s="257" t="str">
        <f>IF(Sheet1!D$192=1,"(6p. x 6f.)","n/a")</f>
        <v>(6p. x 6f.)</v>
      </c>
      <c r="T10" s="257" t="str">
        <f>IF(Sheet1!D$192=1,"((6p. /  6h.) x 6i.)","n/a")</f>
        <v>((6p. /  6h.) x 6i.)</v>
      </c>
      <c r="U10" s="258">
        <v>0</v>
      </c>
      <c r="V10" s="254" t="str">
        <f t="shared" ref="V10:V60" si="0">IF(AND(U10&gt;AJ$61,U9&lt;=AJ$61),".."," ")</f>
        <v xml:space="preserve"> </v>
      </c>
      <c r="W10" s="259">
        <f>IF(AND(AA10&gt;AJ$61,AA9&lt;=AJ$61),99,0)</f>
        <v>0</v>
      </c>
      <c r="X10" s="171">
        <v>0</v>
      </c>
      <c r="Z10" s="260"/>
      <c r="AA10" s="171">
        <v>0</v>
      </c>
      <c r="AB10" s="248" t="s">
        <v>306</v>
      </c>
      <c r="AC10" s="248" t="s">
        <v>307</v>
      </c>
      <c r="AD10" s="232"/>
      <c r="AE10" s="249" t="str">
        <f>"  "&amp;" ' "&amp;VLOOKUP(Sheet1!D$82,Sheet1!A$82:B$135,2)&amp;" '        Constant Dollars "&amp;VLOOKUP(Sheet1!D$67,Sheet1!A$66:B$68,2)</f>
        <v xml:space="preserve">   ' 2024 '        Constant Dollars  ($)</v>
      </c>
      <c r="AF10" s="252">
        <f>IF(OR(Sheet1!D$8=2,Sheet1!D$8=3)," ",HLOOKUP(Sheet1!D$148,DiscLinearInterp,2))</f>
        <v>2.1999999999999999E-2</v>
      </c>
      <c r="AG10" s="251" t="str">
        <f>IF(Sheet1!D$193=1,"(A3. x  A4.)","n/a")</f>
        <v>n/a</v>
      </c>
      <c r="AH10" s="251"/>
      <c r="AI10" s="253" t="str">
        <f>CHOOSE(Sheet1!D$212,"RDTE weighted","APA weighted","MIPA weighted","WTCV weighted","AMMO weighted","OPA weighted","OMA weighted","MCA weighted")</f>
        <v>RDTE weighted</v>
      </c>
      <c r="AJ10" s="251" t="str">
        <f>IF(Sheet1!D$193=1,"((A3.  /  A6.) x  A7.)","n/a")</f>
        <v>n/a</v>
      </c>
    </row>
    <row r="11" spans="1:36" ht="12" customHeight="1" x14ac:dyDescent="0.2">
      <c r="A11" s="261">
        <f>IF(OR(Sheet1!D$192=1,Sheet1!D$193=1),VLOOKUP(1,Sheet1!A148:B197,2),NA())</f>
        <v>1</v>
      </c>
      <c r="B11" s="261">
        <f>IF(OR(Sheet1!D$192=1,Sheet1!D$193=1),VLOOKUP(Sheet1!D$86,Sheet1!A80:B147,2),NA())</f>
        <v>2024</v>
      </c>
      <c r="C11" s="262"/>
      <c r="D11" s="263">
        <f>IF(AND(Sheet1!D$192=1,A11&lt;&gt;" "),ROUND(VLOOKUP(A11,StatusQuo!A$19:M$68,12),Sheet1!D$75),IF(Sheet1!D$192=1," ","SQ not feasible "))</f>
        <v>0</v>
      </c>
      <c r="E11" s="263" t="str">
        <f>IF(AND(Sheet1!D$193=1,A11&lt;&gt;" "),ROUND(VLOOKUP(A11,AlternativeA!A$110:M$159,12),Sheet1!D$75),IF(Sheet1!D$193=1," ","Alt  'A'  not feasible"))</f>
        <v>Alt  'A'  not feasible</v>
      </c>
      <c r="F11" s="263" t="str">
        <f>IF(AND(A11&lt;&gt;" ",Sheet1!D$192=1,Sheet1!D$193=1),D11-E11,IF(AND(Sheet1!D$193=1,A11&lt;&gt;" ")," "," "))</f>
        <v xml:space="preserve"> </v>
      </c>
      <c r="G11" s="264">
        <f>IF(A11&lt;=Sheet1!D$148, (1/((1+G10)^(A11-0.5)))," ")</f>
        <v>0.98917823531116333</v>
      </c>
      <c r="H11" s="263" t="str">
        <f>IF(AND(A11&lt;&gt;" ",Sheet1!D$192=1,Sheet1!D$193=1),ROUND(F11*G11,Sheet1!D$75),IF(AND(A11&lt;&gt;" ",Sheet1!D$193=1),ROUND(E11*G11,Sheet1!D$75)," "))</f>
        <v xml:space="preserve"> </v>
      </c>
      <c r="I11" s="264">
        <f>IF(A11&lt;&gt;" ",ROUND(VLOOKUP(Sheet1!E$82,CHOOSE(Sheet1!D$232,Inflate7,Inflate2,Inflate3,Inflate4,Inflate5,Inflate6,Inflate1,Inflate8),2),4)," ")</f>
        <v>1</v>
      </c>
      <c r="J11" s="264">
        <f>IF(A11&lt;&gt;" ",ROUND(VLOOKUP(B11,CHOOSE(Sheet1!D$232,Inflate7,Inflate2,Inflate3,Inflate4,Inflate5,Inflate6,Inflate1,Inflate8),3),4)," ")</f>
        <v>1.0186999999999999</v>
      </c>
      <c r="K11" s="265" t="str">
        <f>IF(AND(A11&lt;&gt;" ",Sheet1!D$192=1,Sheet1!D$193=1),ROUND((F11/I11)*J11,Sheet1!D$75),IF(AND(A11&lt;&gt;" ",Sheet1!D$193=1),ROUND((E11/I11)*J11,Sheet1!D$75)," "))</f>
        <v xml:space="preserve"> </v>
      </c>
      <c r="L11" s="254" t="str">
        <f>IF(Sheet1!D$192=1,IF(AND(AA11&gt;AJ$61,AA10&lt;=AJ$61),"&lt;-Payback"," ")," ")</f>
        <v xml:space="preserve"> </v>
      </c>
      <c r="M11" s="261">
        <f>IF(OR(Sheet1!D$192=1,Sheet1!D$193=1),VLOOKUP(1,Sheet1!A148:B197,2),NA())</f>
        <v>1</v>
      </c>
      <c r="N11" s="261">
        <f>IF(OR(Sheet1!D$192=1,Sheet1!D$193=1),VLOOKUP(Sheet1!D$86,Sheet1!A80:B147,2),NA())</f>
        <v>2024</v>
      </c>
      <c r="O11" s="266" t="e">
        <f>IF(OR(Sheet1!D$192=1,Sheet1!D$193=1),IF(NOT(Sheet1!D$192=1),0,IF(ROUND(VLOOKUP(A11,StatusQuo!A$19:M$68,13),Sheet1!D$75)-ROUND(VLOOKUP(A11,AlternativeA!A$110:M$159,13),Sheet1!D$75)&gt;0,1,0))," ")</f>
        <v>#VALUE!</v>
      </c>
      <c r="P11" s="263" t="str">
        <f>IF(AND(A11&lt;&gt;" ",Sheet1!D$192=1,Sheet1!D$193=1),IF(AND(OR(Sheet1!D$8=2,Sheet1!D$22=3),O11&gt;10),0,ROUND(VLOOKUP(A11,StatusQuo!A$19:M$68,13),Sheet1!D$75)),IF(NOT(Sheet1!D$192=1),"not feasible",IF(A11=" "," ", "Savings is  n/a=&gt;")))</f>
        <v>Savings is  n/a=&gt;</v>
      </c>
      <c r="Q11" s="263" t="str">
        <f>IF(AND(A11&lt;&gt;" ",Sheet1!D$192=1,Sheet1!D$193=1),IF(AND(OR(Sheet1!D$8=2,Sheet1!D$22=3),O11&gt;10),0,ROUND(VLOOKUP(A11,AlternativeA!A$110:M$159,13),Sheet1!D$75)),IF(NOT(Sheet1!D$193=1),"not feasible",IF(A11=" "," ","&lt;== Savings is n/a")))</f>
        <v>not feasible</v>
      </c>
      <c r="R11" s="263" t="str">
        <f>IF(AND(A11&lt;&gt;" ",Sheet1!D$192=1,Sheet1!D$193=1),IF(G$81&lt;&gt;" ","??????? ",P11-Q11)," ")</f>
        <v xml:space="preserve"> </v>
      </c>
      <c r="S11" s="263" t="str">
        <f>IF(AND(A11&lt;&gt;" ",Sheet1!D$192=1,Sheet1!D$193=1),ROUND(R11*G11,Sheet1!D$75)," ")</f>
        <v xml:space="preserve"> </v>
      </c>
      <c r="T11" s="263" t="str">
        <f>IF(AND(A11&lt;&gt;" ",Sheet1!D$192=1,Sheet1!D$193=1),ROUND((R11/I11)*J11,Sheet1!D$75)," ")</f>
        <v xml:space="preserve"> </v>
      </c>
      <c r="U11" s="267">
        <f>SUM(T$11:T11)</f>
        <v>0</v>
      </c>
      <c r="V11" s="254" t="str">
        <f t="shared" si="0"/>
        <v xml:space="preserve"> </v>
      </c>
      <c r="W11" s="268">
        <f t="shared" ref="W11:W60" si="1">IF(AND(AA11&gt;AJ$61,AA10&lt;=AJ$61),99,W10+1)</f>
        <v>1</v>
      </c>
      <c r="X11" s="171">
        <f>+A11</f>
        <v>1</v>
      </c>
      <c r="Y11" s="269" t="str">
        <f>IF(K61&gt;=AJ61,VLOOKUP(99,W10:X60,2)," ")</f>
        <v xml:space="preserve"> </v>
      </c>
      <c r="Z11" s="270" t="s">
        <v>309</v>
      </c>
      <c r="AA11" s="265">
        <f>SUM(K$11:K11)</f>
        <v>0</v>
      </c>
      <c r="AB11" s="261">
        <f>IF(OR(Sheet1!D$192=1,Sheet1!D$193=1),VLOOKUP(1,Sheet1!A148:B197,2),NA())</f>
        <v>1</v>
      </c>
      <c r="AC11" s="261">
        <f>IF(OR(Sheet1!D$192=1,Sheet1!D$193=1),VLOOKUP(Sheet1!D$86,Sheet1!A80:B147,2),NA())</f>
        <v>2024</v>
      </c>
      <c r="AD11" s="262"/>
      <c r="AE11" s="263" t="str">
        <f>IF(AND(Sheet1!D$193=1,AB11&lt;&gt;" "),ROUND(VLOOKUP(AB11,AlternativeA!A$17:M$66,12),Sheet1!D$75),IF(Sheet1!D$193=1," ","Alt  'A'  not feasible"))</f>
        <v>Alt  'A'  not feasible</v>
      </c>
      <c r="AF11" s="264">
        <f>IF(AB11&lt;=Sheet1!D$148, (1/((1+$AF$10)^(AB11-0.5)))," ")</f>
        <v>0.98917823531116333</v>
      </c>
      <c r="AG11" s="263" t="str">
        <f>IF(AND(Sheet1!D$193=1,AB11&lt;&gt;" "),ROUND(+AE11*AF11,Sheet1!D$75)," ")</f>
        <v xml:space="preserve"> </v>
      </c>
      <c r="AH11" s="264">
        <f>IF(AB11&lt;&gt;" ",ROUND(VLOOKUP(Sheet1!E$82,CHOOSE(Sheet1!D$212,Inflate1,Inflate2,Inflate3,Inflate4,Inflate5,Inflate6,Inflate7,Inflate8),2),4)," ")</f>
        <v>1</v>
      </c>
      <c r="AI11" s="264">
        <f>IF(AB11&lt;&gt;" ",ROUND(VLOOKUP(AC11,CHOOSE(Sheet1!D$212,Inflate1,Inflate2,Inflate3,Inflate4,Inflate5,Inflate6,Inflate7,Inflate8),3),4)," ")</f>
        <v>1.0225</v>
      </c>
      <c r="AJ11" s="263" t="b">
        <f>IF(AND(Sheet1!D$193=1,AB11&lt;&gt;" "),IF(AND(O11&lt;=10,OR(Sheet1!D$8=2,Sheet1!D$8=3,Sheet1!D$22=3)),ROUND((AE11/AH11)*AI11,Sheet1!D$75),IF(AND(Sheet1!D$8&lt;&gt;2,Sheet1!D$8&lt;&gt;3,Sheet1!D$22&lt;&gt;3),ROUND((AE11/AH11)*AI11,Sheet1!D$75)," ")))</f>
        <v>0</v>
      </c>
    </row>
    <row r="12" spans="1:36" ht="12" customHeight="1" x14ac:dyDescent="0.2">
      <c r="A12" s="271" t="str">
        <f>IF(OR(Sheet1!D$192=1,Sheet1!D$193=1),IF(OR((A11&gt;=(Sheet1!D$148+$A$11)-1),AND(Sheet1!D$8=3,A11&gt;=6))," ",A11+1),NA())</f>
        <v xml:space="preserve"> </v>
      </c>
      <c r="B12" s="271" t="str">
        <f>IF(OR(Sheet1!D$192=1,Sheet1!D$193=1),IF(OR((B11&gt;=(Sheet1!D$148+$B$11)-1),AND(Sheet1!D$8=3,A11&gt;=6))," ",B11+1),NA())</f>
        <v xml:space="preserve"> </v>
      </c>
      <c r="C12" s="262"/>
      <c r="D12" s="263" t="str">
        <f>IF(AND(Sheet1!D$192=1,A12&lt;&gt;" "),ROUND(VLOOKUP(A12,StatusQuo!A$19:M$68,12),Sheet1!D$75),IF(Sheet1!D$192=1," ","SQ not feasible "))</f>
        <v xml:space="preserve"> </v>
      </c>
      <c r="E12" s="263" t="str">
        <f>IF(AND(Sheet1!D$193=1,A12&lt;&gt;" "),ROUND(VLOOKUP(A12,AlternativeA!A$110:M$159,12),Sheet1!D$75),IF(Sheet1!D$193=1," ","Alt  'A'  not feasible"))</f>
        <v>Alt  'A'  not feasible</v>
      </c>
      <c r="F12" s="263" t="str">
        <f>IF(AND(A12&lt;&gt;" ",Sheet1!D$192=1,Sheet1!D$193=1),D12-E12,IF(AND(Sheet1!D$193=1,A12&lt;&gt;" ")," "," "))</f>
        <v xml:space="preserve"> </v>
      </c>
      <c r="G12" s="264" t="str">
        <f>IF(A12&lt;=Sheet1!D$148, (1/((1+G10)^(A12-0.5)))," ")</f>
        <v xml:space="preserve"> </v>
      </c>
      <c r="H12" s="263" t="str">
        <f>IF(AND(A12&lt;&gt;" ",Sheet1!D$192=1,Sheet1!D$193=1),ROUND(F12*G12,Sheet1!D$75),IF(AND(A12&lt;&gt;" ",Sheet1!D$193=1),ROUND(E12*G12,Sheet1!D$75)," "))</f>
        <v xml:space="preserve"> </v>
      </c>
      <c r="I12" s="264" t="str">
        <f>IF(A12&lt;&gt;" ",ROUND(VLOOKUP(Sheet1!E$82,CHOOSE(Sheet1!D$232,Inflate7,Inflate2,Inflate3,Inflate4,Inflate5,Inflate6,Inflate1,Inflate8),2),4)," ")</f>
        <v xml:space="preserve"> </v>
      </c>
      <c r="J12" s="264" t="str">
        <f>IF(A12&lt;&gt;" ",ROUND(VLOOKUP(B12,CHOOSE(Sheet1!D$232,Inflate7,Inflate2,Inflate3,Inflate4,Inflate5,Inflate6,Inflate1,Inflate8),3),4)," ")</f>
        <v xml:space="preserve"> </v>
      </c>
      <c r="K12" s="265" t="str">
        <f>IF(AND(A12&lt;&gt;" ",Sheet1!D$192=1,Sheet1!D$193=1),ROUND((F12/I12)*J12,Sheet1!D$75),IF(AND(A12&lt;&gt;" ",Sheet1!D$193=1),ROUND((E12/I12)*J12,Sheet1!D$75)," "))</f>
        <v xml:space="preserve"> </v>
      </c>
      <c r="L12" s="254" t="str">
        <f>IF(Sheet1!D$192=1,IF(AND(AA12&gt;AJ$61,AA11&lt;=AJ$61),"&lt;-Payback"," ")," ")</f>
        <v xml:space="preserve"> </v>
      </c>
      <c r="M12" s="271" t="str">
        <f>IF(OR(Sheet1!D$192=1,Sheet1!D$193=1),IF(OR((A11&gt;=(Sheet1!D$148+$A$11)-1),AND(Sheet1!D$8=3,A11&gt;=6))," ",A11+1),NA())</f>
        <v xml:space="preserve"> </v>
      </c>
      <c r="N12" s="271" t="str">
        <f>IF(OR(Sheet1!D$192=1,Sheet1!D$193=1),IF(OR((B11&gt;=(Sheet1!D$148+$B$11)-1),AND(Sheet1!D$8=3,A11&gt;=6))," ",B11+1),NA())</f>
        <v xml:space="preserve"> </v>
      </c>
      <c r="O12" s="266" t="e">
        <f>IF(OR(Sheet1!D$192=1,Sheet1!D$193=1),IF(NOT(Sheet1!D$192=1),0,IF(ROUND(VLOOKUP(A12,StatusQuo!A$19:M$68,13),Sheet1!D$75)-ROUND(VLOOKUP(A12,AlternativeA!A$110:M$159,13),Sheet1!D$75)&gt;0,1,0))," ")</f>
        <v>#VALUE!</v>
      </c>
      <c r="P12" s="263" t="str">
        <f>IF(AND(A12&lt;&gt;" ",Sheet1!D$192=1,Sheet1!D$193=1),IF(AND(OR(Sheet1!D$8=2,Sheet1!D$22=3),O12&gt;10),0,ROUND(VLOOKUP(A12,StatusQuo!A$19:M$68,13),Sheet1!D$75)),IF(NOT(Sheet1!D$192=1),"not feasible",IF(A12=" "," ", "Savings is  n/a=&gt;")))</f>
        <v xml:space="preserve"> </v>
      </c>
      <c r="Q12" s="263" t="str">
        <f>IF(AND(A12&lt;&gt;" ",Sheet1!D$192=1,Sheet1!D$193=1),IF(AND(OR(Sheet1!D$8=2,Sheet1!D$22=3),O12&gt;10),0,ROUND(VLOOKUP(A12,AlternativeA!A$110:M$159,13),Sheet1!D$75)),IF(NOT(Sheet1!D$193=1),"not feasible",IF(A12=" "," ","&lt;== Savings is n/a")))</f>
        <v>not feasible</v>
      </c>
      <c r="R12" s="263" t="str">
        <f>IF(AND(A12&lt;&gt;" ",Sheet1!D$192=1,Sheet1!D$193=1),IF(G$81&lt;&gt;" ","??????? ",P12-Q12)," ")</f>
        <v xml:space="preserve"> </v>
      </c>
      <c r="S12" s="263" t="str">
        <f>IF(AND(A12&lt;&gt;" ",Sheet1!D$192=1,Sheet1!D$193=1),ROUND(R12*G12,Sheet1!D$75)," ")</f>
        <v xml:space="preserve"> </v>
      </c>
      <c r="T12" s="263" t="str">
        <f>IF(AND(A12&lt;&gt;" ",Sheet1!D$192=1,Sheet1!D$193=1),ROUND((R12/I12)*J12,Sheet1!D$75)," ")</f>
        <v xml:space="preserve"> </v>
      </c>
      <c r="U12" s="265">
        <f>SUM(T$11:T12)</f>
        <v>0</v>
      </c>
      <c r="V12" s="254" t="str">
        <f t="shared" si="0"/>
        <v xml:space="preserve"> </v>
      </c>
      <c r="W12" s="268">
        <f t="shared" si="1"/>
        <v>2</v>
      </c>
      <c r="X12" s="171" t="str">
        <f t="shared" ref="X12:X60" si="2">+A12</f>
        <v xml:space="preserve"> </v>
      </c>
      <c r="Y12" s="269" t="e">
        <f>IF(K61&gt;=AJ61,IF(Y11-1=0,0,VLOOKUP(Y11-1,A11:AA60,27))," ")</f>
        <v>#VALUE!</v>
      </c>
      <c r="Z12" s="270" t="s">
        <v>310</v>
      </c>
      <c r="AA12" s="265">
        <f>SUM(K$11:K12)</f>
        <v>0</v>
      </c>
      <c r="AB12" s="271" t="str">
        <f>IF(OR(Sheet1!D$192=1,Sheet1!D$193=1),IF(OR((AB11&gt;=(Sheet1!D$148+$A$11)-1),AND(Sheet1!D$8=3,AB11&gt;=6))," ",AB11+1),NA())</f>
        <v xml:space="preserve"> </v>
      </c>
      <c r="AC12" s="271" t="str">
        <f>IF(OR(Sheet1!D$192=1,Sheet1!D$193=1),IF(OR((AC11&gt;=(Sheet1!D$148+$B$11)-1),AND(Sheet1!D$8=3,AB11&gt;=6))," ",AC11+1),NA())</f>
        <v xml:space="preserve"> </v>
      </c>
      <c r="AD12" s="262"/>
      <c r="AE12" s="263" t="str">
        <f>IF(AND(Sheet1!D$193=1,AB12&lt;&gt;" "),ROUND(VLOOKUP(AB12,AlternativeA!A$17:M$66,12),Sheet1!D$75),IF(Sheet1!D$193=1," ","Alt  'A'  not feasible"))</f>
        <v>Alt  'A'  not feasible</v>
      </c>
      <c r="AF12" s="264" t="str">
        <f>IF(AB12&lt;=Sheet1!D$148, (1/((1+$AF$10)^(AB12-0.5)))," ")</f>
        <v xml:space="preserve"> </v>
      </c>
      <c r="AG12" s="263" t="str">
        <f>IF(AND(Sheet1!D$193=1,AB12&lt;&gt;" "),ROUND(+AE12*AF12,Sheet1!D$75)," ")</f>
        <v xml:space="preserve"> </v>
      </c>
      <c r="AH12" s="264" t="str">
        <f>IF(AB12&lt;&gt;" ",ROUND(VLOOKUP(Sheet1!E$82,CHOOSE(Sheet1!D$212,Inflate1,Inflate2,Inflate3,Inflate4,Inflate5,Inflate6,Inflate7,Inflate8),2),4)," ")</f>
        <v xml:space="preserve"> </v>
      </c>
      <c r="AI12" s="264" t="str">
        <f>IF(AB12&lt;&gt;" ",ROUND(VLOOKUP(AC12,CHOOSE(Sheet1!D$212,Inflate1,Inflate2,Inflate3,Inflate4,Inflate5,Inflate6,Inflate7,Inflate8),3),4)," ")</f>
        <v xml:space="preserve"> </v>
      </c>
      <c r="AJ12" s="263" t="b">
        <f>IF(AND(Sheet1!D$193=1,AB12&lt;&gt;" "),IF(AND(O12&lt;=10,OR(Sheet1!D$8=2,Sheet1!D$8=3,Sheet1!D$22=3)),ROUND((AE12/AH12)*AI12,Sheet1!D$75),IF(AND(Sheet1!D$8&lt;&gt;2,Sheet1!D$8&lt;&gt;3,Sheet1!D$22&lt;&gt;3),ROUND((AE12/AH12)*AI12,Sheet1!D$75)," ")))</f>
        <v>0</v>
      </c>
    </row>
    <row r="13" spans="1:36" ht="12" customHeight="1" x14ac:dyDescent="0.2">
      <c r="A13" s="271" t="str">
        <f>IF(OR(Sheet1!D$192=1,Sheet1!D$193=1),IF(OR((A12&gt;=(Sheet1!D$148+$A$11)-1),AND(Sheet1!D$8=3,A12&gt;=6))," ",A12+1),NA())</f>
        <v xml:space="preserve"> </v>
      </c>
      <c r="B13" s="271" t="str">
        <f>IF(OR(Sheet1!D$192=1,Sheet1!D$193=1),IF(OR((B12&gt;=(Sheet1!D$148+$B$11)-1),AND(Sheet1!D$8=3,A12&gt;=6))," ",B12+1),NA())</f>
        <v xml:space="preserve"> </v>
      </c>
      <c r="C13" s="262"/>
      <c r="D13" s="263" t="str">
        <f>IF(AND(Sheet1!D$192=1,A13&lt;&gt;" "),ROUND(VLOOKUP(A13,StatusQuo!A$19:M$68,12),Sheet1!D$75),IF(Sheet1!D$192=1," ","SQ not feasible "))</f>
        <v xml:space="preserve"> </v>
      </c>
      <c r="E13" s="263" t="str">
        <f>IF(AND(Sheet1!D$193=1,A13&lt;&gt;" "),ROUND(VLOOKUP(A13,AlternativeA!A$110:M$159,12),Sheet1!D$75),IF(Sheet1!D$193=1," ","Alt  'A'  not feasible"))</f>
        <v>Alt  'A'  not feasible</v>
      </c>
      <c r="F13" s="263" t="str">
        <f>IF(AND(A13&lt;&gt;" ",Sheet1!D$192=1,Sheet1!D$193=1),D13-E13,IF(AND(Sheet1!D$193=1,A13&lt;&gt;" ")," "," "))</f>
        <v xml:space="preserve"> </v>
      </c>
      <c r="G13" s="264" t="str">
        <f>IF(A13&lt;=Sheet1!D$148, (1/((1+G10)^(A13-0.5)))," ")</f>
        <v xml:space="preserve"> </v>
      </c>
      <c r="H13" s="263" t="str">
        <f>IF(AND(A13&lt;&gt;" ",Sheet1!D$192=1,Sheet1!D$193=1),ROUND(F13*G13,Sheet1!D$75),IF(AND(A13&lt;&gt;" ",Sheet1!D$193=1),ROUND(E13*G13,Sheet1!D$75)," "))</f>
        <v xml:space="preserve"> </v>
      </c>
      <c r="I13" s="264" t="str">
        <f>IF(A13&lt;&gt;" ",ROUND(VLOOKUP(Sheet1!E$82,CHOOSE(Sheet1!D$232,Inflate7,Inflate2,Inflate3,Inflate4,Inflate5,Inflate6,Inflate1,Inflate8),2),4)," ")</f>
        <v xml:space="preserve"> </v>
      </c>
      <c r="J13" s="264" t="str">
        <f>IF(A13&lt;&gt;" ",ROUND(VLOOKUP(B13,CHOOSE(Sheet1!D$232,Inflate7,Inflate2,Inflate3,Inflate4,Inflate5,Inflate6,Inflate1,Inflate8),3),4)," ")</f>
        <v xml:space="preserve"> </v>
      </c>
      <c r="K13" s="265" t="str">
        <f>IF(AND(A13&lt;&gt;" ",Sheet1!D$192=1,Sheet1!D$193=1),ROUND((F13/I13)*J13,Sheet1!D$75),IF(AND(A13&lt;&gt;" ",Sheet1!D$193=1),ROUND((E13/I13)*J13,Sheet1!D$75)," "))</f>
        <v xml:space="preserve"> </v>
      </c>
      <c r="L13" s="254" t="str">
        <f>IF(Sheet1!D$192=1,IF(AND(AA13&gt;AJ$61,AA12&lt;=AJ$61),"&lt;-Payback"," ")," ")</f>
        <v xml:space="preserve"> </v>
      </c>
      <c r="M13" s="271" t="str">
        <f>IF(OR(Sheet1!D$192=1,Sheet1!D$193=1),IF(OR((A12&gt;=(Sheet1!D$148+$A$11)-1),AND(Sheet1!D$8=3,A12&gt;=6))," ",A12+1),NA())</f>
        <v xml:space="preserve"> </v>
      </c>
      <c r="N13" s="271" t="str">
        <f>IF(OR(Sheet1!D$192=1,Sheet1!D$193=1),IF(OR((B12&gt;=(Sheet1!D$148+$B$11)-1),AND(Sheet1!D$8=3,A12&gt;=6))," ",B12+1),NA())</f>
        <v xml:space="preserve"> </v>
      </c>
      <c r="O13" s="266" t="e">
        <f>IF(OR(Sheet1!D$192=1,Sheet1!D$193=1),IF(NOT(Sheet1!D$192=1),0,IF(ROUND(VLOOKUP(A13,StatusQuo!A$19:M$68,13),Sheet1!D$75)-ROUND(VLOOKUP(A13,AlternativeA!A$110:M$159,13),Sheet1!D$75)&gt;0,1,0))," ")</f>
        <v>#VALUE!</v>
      </c>
      <c r="P13" s="263" t="str">
        <f>IF(AND(A13&lt;&gt;" ",Sheet1!D$192=1,Sheet1!D$193=1),IF(AND(OR(Sheet1!D$8=2,Sheet1!D$22=3),O13&gt;10),0,ROUND(VLOOKUP(A13,StatusQuo!A$19:M$68,13),Sheet1!D$75)),IF(NOT(Sheet1!D$192=1),"not feasible",IF(A13=" "," ", "Savings is  n/a=&gt;")))</f>
        <v xml:space="preserve"> </v>
      </c>
      <c r="Q13" s="263" t="str">
        <f>IF(AND(A13&lt;&gt;" ",Sheet1!D$192=1,Sheet1!D$193=1),IF(AND(OR(Sheet1!D$8=2,Sheet1!D$22=3),O13&gt;10),0,ROUND(VLOOKUP(A13,AlternativeA!A$110:M$159,13),Sheet1!D$75)),IF(NOT(Sheet1!D$193=1),"not feasible",IF(A13=" "," ","&lt;== Savings is n/a")))</f>
        <v>not feasible</v>
      </c>
      <c r="R13" s="263" t="str">
        <f>IF(AND(A13&lt;&gt;" ",Sheet1!D$192=1,Sheet1!D$193=1),IF(G$81&lt;&gt;" ","??????? ",P13-Q13)," ")</f>
        <v xml:space="preserve"> </v>
      </c>
      <c r="S13" s="263" t="str">
        <f>IF(AND(A13&lt;&gt;" ",Sheet1!D$192=1,Sheet1!D$193=1),ROUND(R13*G13,Sheet1!D$75)," ")</f>
        <v xml:space="preserve"> </v>
      </c>
      <c r="T13" s="263" t="str">
        <f>IF(AND(A13&lt;&gt;" ",Sheet1!D$192=1,Sheet1!D$193=1),ROUND((R13/I13)*J13,Sheet1!D$75)," ")</f>
        <v xml:space="preserve"> </v>
      </c>
      <c r="U13" s="265">
        <f>SUM(T$11:T13)</f>
        <v>0</v>
      </c>
      <c r="V13" s="254" t="str">
        <f t="shared" si="0"/>
        <v xml:space="preserve"> </v>
      </c>
      <c r="W13" s="268">
        <f t="shared" si="1"/>
        <v>3</v>
      </c>
      <c r="X13" s="171" t="str">
        <f t="shared" si="2"/>
        <v xml:space="preserve"> </v>
      </c>
      <c r="Y13" s="269">
        <f>IF(K61&gt;=AJ61,VLOOKUP(Y11,A11:AA60,27)," ")</f>
        <v>0</v>
      </c>
      <c r="Z13" s="270" t="s">
        <v>323</v>
      </c>
      <c r="AA13" s="265">
        <f>SUM(K$11:K13)</f>
        <v>0</v>
      </c>
      <c r="AB13" s="271" t="str">
        <f>IF(OR(Sheet1!D$192=1,Sheet1!D$193=1),IF(OR((AB12&gt;=(Sheet1!D$148+$A$11)-1),AND(Sheet1!D$8=3,AB12&gt;=6))," ",AB12+1),NA())</f>
        <v xml:space="preserve"> </v>
      </c>
      <c r="AC13" s="271" t="str">
        <f>IF(OR(Sheet1!D$192=1,Sheet1!D$193=1),IF(OR((AC12&gt;=(Sheet1!D$148+$B$11)-1),AND(Sheet1!D$8=3,AB12&gt;=6))," ",AC12+1),NA())</f>
        <v xml:space="preserve"> </v>
      </c>
      <c r="AD13" s="262"/>
      <c r="AE13" s="263" t="str">
        <f>IF(AND(Sheet1!D$193=1,AB13&lt;&gt;" "),ROUND(VLOOKUP(AB13,AlternativeA!A$17:M$66,12),Sheet1!D$75),IF(Sheet1!D$193=1," ","Alt  'A'  not feasible"))</f>
        <v>Alt  'A'  not feasible</v>
      </c>
      <c r="AF13" s="264" t="str">
        <f>IF(AB13&lt;=Sheet1!D$148, (1/((1+$AF$10)^(AB13-0.5)))," ")</f>
        <v xml:space="preserve"> </v>
      </c>
      <c r="AG13" s="263" t="str">
        <f>IF(AND(Sheet1!D$193=1,AB13&lt;&gt;" "),ROUND(+AE13*AF13,Sheet1!D$75)," ")</f>
        <v xml:space="preserve"> </v>
      </c>
      <c r="AH13" s="264" t="str">
        <f>IF(AB13&lt;&gt;" ",ROUND(VLOOKUP(Sheet1!E$82,CHOOSE(Sheet1!D$212,Inflate1,Inflate2,Inflate3,Inflate4,Inflate5,Inflate6,Inflate7,Inflate8),2),4)," ")</f>
        <v xml:space="preserve"> </v>
      </c>
      <c r="AI13" s="264" t="str">
        <f>IF(AB13&lt;&gt;" ",ROUND(VLOOKUP(AC13,CHOOSE(Sheet1!D$212,Inflate1,Inflate2,Inflate3,Inflate4,Inflate5,Inflate6,Inflate7,Inflate8),3),4)," ")</f>
        <v xml:space="preserve"> </v>
      </c>
      <c r="AJ13" s="263" t="b">
        <f>IF(AND(Sheet1!D$193=1,AB13&lt;&gt;" "),IF(AND(O13&lt;=10,OR(Sheet1!D$8=2,Sheet1!D$8=3,Sheet1!D$22=3)),ROUND((AE13/AH13)*AI13,Sheet1!D$75),IF(AND(Sheet1!D$8&lt;&gt;2,Sheet1!D$8&lt;&gt;3,Sheet1!D$22&lt;&gt;3),ROUND((AE13/AH13)*AI13,Sheet1!D$75)," ")))</f>
        <v>0</v>
      </c>
    </row>
    <row r="14" spans="1:36" ht="12" customHeight="1" x14ac:dyDescent="0.2">
      <c r="A14" s="271" t="str">
        <f>IF(OR(Sheet1!D$192=1,Sheet1!D$193=1),IF(OR((A13&gt;=(Sheet1!D$148+$A$11)-1),AND(Sheet1!D$8=3,A13&gt;=6))," ",A13+1),NA())</f>
        <v xml:space="preserve"> </v>
      </c>
      <c r="B14" s="271" t="str">
        <f>IF(OR(Sheet1!D$192=1,Sheet1!D$193=1),IF(OR((B13&gt;=(Sheet1!D$148+$B$11)-1),AND(Sheet1!D$8=3,A13&gt;=6))," ",B13+1),NA())</f>
        <v xml:space="preserve"> </v>
      </c>
      <c r="C14" s="262"/>
      <c r="D14" s="263" t="str">
        <f>IF(AND(Sheet1!D$192=1,A14&lt;&gt;" "),ROUND(VLOOKUP(A14,StatusQuo!A$19:M$68,12),Sheet1!D$75),IF(Sheet1!D$192=1," ","SQ not feasible "))</f>
        <v xml:space="preserve"> </v>
      </c>
      <c r="E14" s="263" t="str">
        <f>IF(AND(Sheet1!D$193=1,A14&lt;&gt;" "),ROUND(VLOOKUP(A14,AlternativeA!A$110:M$159,12),Sheet1!D$75),IF(Sheet1!D$193=1," ","Alt  'A'  not feasible"))</f>
        <v>Alt  'A'  not feasible</v>
      </c>
      <c r="F14" s="263" t="str">
        <f>IF(AND(A14&lt;&gt;" ",Sheet1!D$192=1,Sheet1!D$193=1),D14-E14,IF(AND(Sheet1!D$193=1,A14&lt;&gt;" ")," "," "))</f>
        <v xml:space="preserve"> </v>
      </c>
      <c r="G14" s="264" t="str">
        <f>IF(A14&lt;=Sheet1!D$148, (1/((1+G10)^(A14-0.5)))," ")</f>
        <v xml:space="preserve"> </v>
      </c>
      <c r="H14" s="263" t="str">
        <f>IF(AND(A14&lt;&gt;" ",Sheet1!D$192=1,Sheet1!D$193=1),ROUND(F14*G14,Sheet1!D$75),IF(AND(A14&lt;&gt;" ",Sheet1!D$193=1),ROUND(E14*G14,Sheet1!D$75)," "))</f>
        <v xml:space="preserve"> </v>
      </c>
      <c r="I14" s="264" t="str">
        <f>IF(A14&lt;&gt;" ",ROUND(VLOOKUP(Sheet1!E$82,CHOOSE(Sheet1!D$232,Inflate7,Inflate2,Inflate3,Inflate4,Inflate5,Inflate6,Inflate1,Inflate8),2),4)," ")</f>
        <v xml:space="preserve"> </v>
      </c>
      <c r="J14" s="264" t="str">
        <f>IF(A14&lt;&gt;" ",ROUND(VLOOKUP(B14,CHOOSE(Sheet1!D$232,Inflate7,Inflate2,Inflate3,Inflate4,Inflate5,Inflate6,Inflate1,Inflate8),3),4)," ")</f>
        <v xml:space="preserve"> </v>
      </c>
      <c r="K14" s="265" t="str">
        <f>IF(AND(A14&lt;&gt;" ",Sheet1!D$192=1,Sheet1!D$193=1),ROUND((F14/I14)*J14,Sheet1!D$75),IF(AND(A14&lt;&gt;" ",Sheet1!D$193=1),ROUND((E14/I14)*J14,Sheet1!D$75)," "))</f>
        <v xml:space="preserve"> </v>
      </c>
      <c r="L14" s="254" t="str">
        <f>IF(Sheet1!D$192=1,IF(AND(AA14&gt;AJ$61,AA13&lt;=AJ$61),"&lt;-Payback"," ")," ")</f>
        <v xml:space="preserve"> </v>
      </c>
      <c r="M14" s="271" t="str">
        <f>IF(OR(Sheet1!D$192=1,Sheet1!D$193=1),IF(OR((A13&gt;=(Sheet1!D$148+$A$11)-1),AND(Sheet1!D$8=3,A13&gt;=6))," ",A13+1),NA())</f>
        <v xml:space="preserve"> </v>
      </c>
      <c r="N14" s="271" t="str">
        <f>IF(OR(Sheet1!D$192=1,Sheet1!D$193=1),IF(OR((B13&gt;=(Sheet1!D$148+$B$11)-1),AND(Sheet1!D$8=3,A13&gt;=6))," ",B13+1),NA())</f>
        <v xml:space="preserve"> </v>
      </c>
      <c r="O14" s="266" t="e">
        <f>IF(OR(Sheet1!D$192=1,Sheet1!D$193=1),IF(NOT(Sheet1!D$192=1),0,IF(ROUND(VLOOKUP(A14,StatusQuo!A$19:M$68,13),Sheet1!D$75)-ROUND(VLOOKUP(A14,AlternativeA!A$110:M$159,13),Sheet1!D$75)&gt;0,1,0))," ")</f>
        <v>#VALUE!</v>
      </c>
      <c r="P14" s="263" t="str">
        <f>IF(AND(A14&lt;&gt;" ",Sheet1!D$192=1,Sheet1!D$193=1),IF(AND(OR(Sheet1!D$8=2,Sheet1!D$22=3),O14&gt;10),0,ROUND(VLOOKUP(A14,StatusQuo!A$19:M$68,13),Sheet1!D$75)),IF(NOT(Sheet1!D$192=1),"not feasible",IF(A14=" "," ", "Savings is  n/a=&gt;")))</f>
        <v xml:space="preserve"> </v>
      </c>
      <c r="Q14" s="263" t="str">
        <f>IF(AND(A14&lt;&gt;" ",Sheet1!D$192=1,Sheet1!D$193=1),IF(AND(OR(Sheet1!D$8=2,Sheet1!D$22=3),O14&gt;10),0,ROUND(VLOOKUP(A14,AlternativeA!A$110:M$159,13),Sheet1!D$75)),IF(NOT(Sheet1!D$193=1),"not feasible",IF(A14=" "," ","&lt;== Savings is n/a")))</f>
        <v>not feasible</v>
      </c>
      <c r="R14" s="263" t="str">
        <f>IF(AND(A14&lt;&gt;" ",Sheet1!D$192=1,Sheet1!D$193=1),IF(G$81&lt;&gt;" ","??????? ",P14-Q14)," ")</f>
        <v xml:space="preserve"> </v>
      </c>
      <c r="S14" s="263" t="str">
        <f>IF(AND(A14&lt;&gt;" ",Sheet1!D$192=1,Sheet1!D$193=1),ROUND(R14*G14,Sheet1!D$75)," ")</f>
        <v xml:space="preserve"> </v>
      </c>
      <c r="T14" s="263" t="str">
        <f>IF(AND(A14&lt;&gt;" ",Sheet1!D$192=1,Sheet1!D$193=1),ROUND((R14/I14)*J14,Sheet1!D$75)," ")</f>
        <v xml:space="preserve"> </v>
      </c>
      <c r="U14" s="265">
        <f>SUM(T$11:T14)</f>
        <v>0</v>
      </c>
      <c r="V14" s="254" t="str">
        <f t="shared" si="0"/>
        <v xml:space="preserve"> </v>
      </c>
      <c r="W14" s="268">
        <f t="shared" si="1"/>
        <v>4</v>
      </c>
      <c r="X14" s="171" t="str">
        <f t="shared" si="2"/>
        <v xml:space="preserve"> </v>
      </c>
      <c r="Y14" s="269" t="e">
        <f>IF(AJ61&gt;K61," ",ROUND((AJ61-Y12)/(Y13-Y12),3))</f>
        <v>#VALUE!</v>
      </c>
      <c r="Z14" s="270" t="s">
        <v>329</v>
      </c>
      <c r="AA14" s="265">
        <f>SUM(K$11:K14)</f>
        <v>0</v>
      </c>
      <c r="AB14" s="271" t="str">
        <f>IF(OR(Sheet1!D$192=1,Sheet1!D$193=1),IF(OR((AB13&gt;=(Sheet1!D$148+$A$11)-1),AND(Sheet1!D$8=3,AB13&gt;=6))," ",AB13+1),NA())</f>
        <v xml:space="preserve"> </v>
      </c>
      <c r="AC14" s="271" t="str">
        <f>IF(OR(Sheet1!D$192=1,Sheet1!D$193=1),IF(OR((AC13&gt;=(Sheet1!D$148+$B$11)-1),AND(Sheet1!D$8=3,AB13&gt;=6))," ",AC13+1),NA())</f>
        <v xml:space="preserve"> </v>
      </c>
      <c r="AD14" s="262"/>
      <c r="AE14" s="263" t="str">
        <f>IF(AND(Sheet1!D$193=1,AB14&lt;&gt;" "),ROUND(VLOOKUP(AB14,AlternativeA!A$17:M$66,12),Sheet1!D$75),IF(Sheet1!D$193=1," ","Alt  'A'  not feasible"))</f>
        <v>Alt  'A'  not feasible</v>
      </c>
      <c r="AF14" s="264" t="str">
        <f>IF(AB14&lt;=Sheet1!D$148, (1/((1+$AF$10)^(AB14-0.5)))," ")</f>
        <v xml:space="preserve"> </v>
      </c>
      <c r="AG14" s="263" t="str">
        <f>IF(AND(Sheet1!D$193=1,AB14&lt;&gt;" "),ROUND(+AE14*AF14,Sheet1!D$75)," ")</f>
        <v xml:space="preserve"> </v>
      </c>
      <c r="AH14" s="264" t="str">
        <f>IF(AB14&lt;&gt;" ",ROUND(VLOOKUP(Sheet1!E$82,CHOOSE(Sheet1!D$212,Inflate1,Inflate2,Inflate3,Inflate4,Inflate5,Inflate6,Inflate7,Inflate8),2),4)," ")</f>
        <v xml:space="preserve"> </v>
      </c>
      <c r="AI14" s="264" t="str">
        <f>IF(AB14&lt;&gt;" ",ROUND(VLOOKUP(AC14,CHOOSE(Sheet1!D$212,Inflate1,Inflate2,Inflate3,Inflate4,Inflate5,Inflate6,Inflate7,Inflate8),3),4)," ")</f>
        <v xml:space="preserve"> </v>
      </c>
      <c r="AJ14" s="263" t="b">
        <f>IF(AND(Sheet1!D$193=1,AB14&lt;&gt;" "),IF(AND(O14&lt;=10,OR(Sheet1!D$8=2,Sheet1!D$8=3,Sheet1!D$22=3)),ROUND((AE14/AH14)*AI14,Sheet1!D$75),IF(AND(Sheet1!D$8&lt;&gt;2,Sheet1!D$8&lt;&gt;3,Sheet1!D$22&lt;&gt;3),ROUND((AE14/AH14)*AI14,Sheet1!D$75)," ")))</f>
        <v>0</v>
      </c>
    </row>
    <row r="15" spans="1:36" ht="12" customHeight="1" x14ac:dyDescent="0.2">
      <c r="A15" s="271" t="str">
        <f>IF(OR(Sheet1!D$192=1,Sheet1!D$193=1),IF(OR((A14&gt;=(Sheet1!D$148+$A$11)-1),AND(Sheet1!D$8=3,A14&gt;=6))," ",A14+1),NA())</f>
        <v xml:space="preserve"> </v>
      </c>
      <c r="B15" s="271" t="str">
        <f>IF(OR(Sheet1!D$192=1,Sheet1!D$193=1),IF(OR((B14&gt;=(Sheet1!D$148+$B$11)-1),AND(Sheet1!D$8=3,A14&gt;=6))," ",B14+1),NA())</f>
        <v xml:space="preserve"> </v>
      </c>
      <c r="C15" s="262"/>
      <c r="D15" s="263" t="str">
        <f>IF(AND(Sheet1!D$192=1,A15&lt;&gt;" "),ROUND(VLOOKUP(A15,StatusQuo!A$19:M$68,12),Sheet1!D$75),IF(Sheet1!D$192=1," ","SQ not feasible "))</f>
        <v xml:space="preserve"> </v>
      </c>
      <c r="E15" s="263" t="str">
        <f>IF(AND(Sheet1!D$193=1,A15&lt;&gt;" "),ROUND(VLOOKUP(A15,AlternativeA!A$110:M$159,12),Sheet1!D$75),IF(Sheet1!D$193=1," ","Alt  'A'  not feasible"))</f>
        <v>Alt  'A'  not feasible</v>
      </c>
      <c r="F15" s="263" t="str">
        <f>IF(AND(A15&lt;&gt;" ",Sheet1!D$192=1,Sheet1!D$193=1),D15-E15,IF(AND(Sheet1!D$193=1,A15&lt;&gt;" ")," "," "))</f>
        <v xml:space="preserve"> </v>
      </c>
      <c r="G15" s="264" t="str">
        <f>IF(A15&lt;=Sheet1!D$148, (1/((1+G10)^(A15-0.5)))," ")</f>
        <v xml:space="preserve"> </v>
      </c>
      <c r="H15" s="263" t="str">
        <f>IF(AND(A15&lt;&gt;" ",Sheet1!D$192=1,Sheet1!D$193=1),ROUND(F15*G15,Sheet1!D$75),IF(AND(A15&lt;&gt;" ",Sheet1!D$193=1),ROUND(E15*G15,Sheet1!D$75)," "))</f>
        <v xml:space="preserve"> </v>
      </c>
      <c r="I15" s="264" t="str">
        <f>IF(A15&lt;&gt;" ",ROUND(VLOOKUP(Sheet1!E$82,CHOOSE(Sheet1!D$232,Inflate7,Inflate2,Inflate3,Inflate4,Inflate5,Inflate6,Inflate1,Inflate8),2),4)," ")</f>
        <v xml:space="preserve"> </v>
      </c>
      <c r="J15" s="264" t="str">
        <f>IF(A15&lt;&gt;" ",ROUND(VLOOKUP(B15,CHOOSE(Sheet1!D$232,Inflate7,Inflate2,Inflate3,Inflate4,Inflate5,Inflate6,Inflate1,Inflate8),3),4)," ")</f>
        <v xml:space="preserve"> </v>
      </c>
      <c r="K15" s="265" t="str">
        <f>IF(AND(A15&lt;&gt;" ",Sheet1!D$192=1,Sheet1!D$193=1),ROUND((F15/I15)*J15,Sheet1!D$75),IF(AND(A15&lt;&gt;" ",Sheet1!D$193=1),ROUND((E15/I15)*J15,Sheet1!D$75)," "))</f>
        <v xml:space="preserve"> </v>
      </c>
      <c r="L15" s="254" t="str">
        <f>IF(Sheet1!D$192=1,IF(AND(AA15&gt;AJ$61,AA14&lt;=AJ$61),"&lt;-Payback"," ")," ")</f>
        <v xml:space="preserve"> </v>
      </c>
      <c r="M15" s="271" t="str">
        <f>IF(OR(Sheet1!D$192=1,Sheet1!D$193=1),IF(OR((A14&gt;=(Sheet1!D$148+$A$11)-1),AND(Sheet1!D$8=3,A14&gt;=6))," ",A14+1),NA())</f>
        <v xml:space="preserve"> </v>
      </c>
      <c r="N15" s="271" t="str">
        <f>IF(OR(Sheet1!D$192=1,Sheet1!D$193=1),IF(OR((B14&gt;=(Sheet1!D$148+$B$11)-1),AND(Sheet1!D$8=3,A14&gt;=6))," ",B14+1),NA())</f>
        <v xml:space="preserve"> </v>
      </c>
      <c r="O15" s="266" t="e">
        <f>IF(OR(Sheet1!D$192=1,Sheet1!D$193=1),IF(NOT(Sheet1!D$192=1),0,IF(ROUND(VLOOKUP(A15,StatusQuo!A$19:M$68,13),Sheet1!D$75)-ROUND(VLOOKUP(A15,AlternativeA!A$110:M$159,13),Sheet1!D$75)&gt;0,1,0))," ")</f>
        <v>#VALUE!</v>
      </c>
      <c r="P15" s="263" t="str">
        <f>IF(AND(A15&lt;&gt;" ",Sheet1!D$192=1,Sheet1!D$193=1),IF(AND(OR(Sheet1!D$8=2,Sheet1!D$22=3),O15&gt;10),0,ROUND(VLOOKUP(A15,StatusQuo!A$19:M$68,13),Sheet1!D$75)),IF(NOT(Sheet1!D$192=1),"not feasible",IF(A15=" "," ", "Savings is  n/a=&gt;")))</f>
        <v xml:space="preserve"> </v>
      </c>
      <c r="Q15" s="263" t="str">
        <f>IF(AND(A15&lt;&gt;" ",Sheet1!D$192=1,Sheet1!D$193=1),IF(AND(OR(Sheet1!D$8=2,Sheet1!D$22=3),O15&gt;10),0,ROUND(VLOOKUP(A15,AlternativeA!A$110:M$159,13),Sheet1!D$75)),IF(NOT(Sheet1!D$193=1),"not feasible",IF(A15=" "," ","&lt;== Savings is n/a")))</f>
        <v>not feasible</v>
      </c>
      <c r="R15" s="263" t="str">
        <f>IF(AND(A15&lt;&gt;" ",Sheet1!D$192=1,Sheet1!D$193=1),IF(G$81&lt;&gt;" ","??????? ",P15-Q15)," ")</f>
        <v xml:space="preserve"> </v>
      </c>
      <c r="S15" s="263" t="str">
        <f>IF(AND(A15&lt;&gt;" ",Sheet1!D$192=1,Sheet1!D$193=1),ROUND(R15*G15,Sheet1!D$75)," ")</f>
        <v xml:space="preserve"> </v>
      </c>
      <c r="T15" s="263" t="str">
        <f>IF(AND(A15&lt;&gt;" ",Sheet1!D$192=1,Sheet1!D$193=1),ROUND((R15/I15)*J15,Sheet1!D$75)," ")</f>
        <v xml:space="preserve"> </v>
      </c>
      <c r="U15" s="265">
        <f>SUM(T$11:T15)</f>
        <v>0</v>
      </c>
      <c r="V15" s="254" t="str">
        <f t="shared" si="0"/>
        <v xml:space="preserve"> </v>
      </c>
      <c r="W15" s="268">
        <f t="shared" si="1"/>
        <v>5</v>
      </c>
      <c r="X15" s="171" t="str">
        <f t="shared" si="2"/>
        <v xml:space="preserve"> </v>
      </c>
      <c r="Y15" s="296"/>
      <c r="Z15" s="270"/>
      <c r="AA15" s="265">
        <f>SUM(K$11:K15)</f>
        <v>0</v>
      </c>
      <c r="AB15" s="271" t="str">
        <f>IF(OR(Sheet1!D$192=1,Sheet1!D$193=1),IF(OR((AB14&gt;=(Sheet1!D$148+$A$11)-1),AND(Sheet1!D$8=3,AB14&gt;=6))," ",AB14+1),NA())</f>
        <v xml:space="preserve"> </v>
      </c>
      <c r="AC15" s="271" t="str">
        <f>IF(OR(Sheet1!D$192=1,Sheet1!D$193=1),IF(OR((AC14&gt;=(Sheet1!D$148+$B$11)-1),AND(Sheet1!D$8=3,AB14&gt;=6))," ",AC14+1),NA())</f>
        <v xml:space="preserve"> </v>
      </c>
      <c r="AD15" s="262"/>
      <c r="AE15" s="263" t="str">
        <f>IF(AND(Sheet1!D$193=1,AB15&lt;&gt;" "),ROUND(VLOOKUP(AB15,AlternativeA!A$17:M$66,12),Sheet1!D$75),IF(Sheet1!D$193=1," ","Alt  'A'  not feasible"))</f>
        <v>Alt  'A'  not feasible</v>
      </c>
      <c r="AF15" s="264" t="str">
        <f>IF(AB15&lt;=Sheet1!D$148, (1/((1+$AF$10)^(AB15-0.5)))," ")</f>
        <v xml:space="preserve"> </v>
      </c>
      <c r="AG15" s="263" t="str">
        <f>IF(AND(Sheet1!D$193=1,AB15&lt;&gt;" "),ROUND(+AE15*AF15,Sheet1!D$75)," ")</f>
        <v xml:space="preserve"> </v>
      </c>
      <c r="AH15" s="264" t="str">
        <f>IF(AB15&lt;&gt;" ",ROUND(VLOOKUP(Sheet1!E$82,CHOOSE(Sheet1!D$212,Inflate1,Inflate2,Inflate3,Inflate4,Inflate5,Inflate6,Inflate7,Inflate8),2),4)," ")</f>
        <v xml:space="preserve"> </v>
      </c>
      <c r="AI15" s="264" t="str">
        <f>IF(AB15&lt;&gt;" ",ROUND(VLOOKUP(AC15,CHOOSE(Sheet1!D$212,Inflate1,Inflate2,Inflate3,Inflate4,Inflate5,Inflate6,Inflate7,Inflate8),3),4)," ")</f>
        <v xml:space="preserve"> </v>
      </c>
      <c r="AJ15" s="263" t="b">
        <f>IF(AND(Sheet1!D$193=1,AB15&lt;&gt;" "),IF(AND(O15&lt;=10,OR(Sheet1!D$8=2,Sheet1!D$8=3,Sheet1!D$22=3)),ROUND((AE15/AH15)*AI15,Sheet1!D$75),IF(AND(Sheet1!D$8&lt;&gt;2,Sheet1!D$8&lt;&gt;3,Sheet1!D$22&lt;&gt;3),ROUND((AE15/AH15)*AI15,Sheet1!D$75)," ")))</f>
        <v>0</v>
      </c>
    </row>
    <row r="16" spans="1:36" ht="12" customHeight="1" x14ac:dyDescent="0.2">
      <c r="A16" s="271" t="str">
        <f>IF(OR(Sheet1!D$192=1,Sheet1!D$193=1),IF(OR((A15&gt;=(Sheet1!D$148+$A$11)-1),AND(Sheet1!D$8=3,A15&gt;=6))," ",A15+1),NA())</f>
        <v xml:space="preserve"> </v>
      </c>
      <c r="B16" s="271" t="str">
        <f>IF(OR(Sheet1!D$192=1,Sheet1!D$193=1),IF(OR((B15&gt;=(Sheet1!D$148+$B$11)-1),AND(Sheet1!D$8=3,A15&gt;=6))," ",B15+1),NA())</f>
        <v xml:space="preserve"> </v>
      </c>
      <c r="C16" s="262"/>
      <c r="D16" s="263" t="str">
        <f>IF(AND(Sheet1!D$192=1,A16&lt;&gt;" "),ROUND(VLOOKUP(A16,StatusQuo!A$19:M$68,12),Sheet1!D$75),IF(Sheet1!D$192=1," ","SQ not feasible "))</f>
        <v xml:space="preserve"> </v>
      </c>
      <c r="E16" s="263" t="str">
        <f>IF(AND(Sheet1!D$193=1,A16&lt;&gt;" "),ROUND(VLOOKUP(A16,AlternativeA!A$110:M$159,12),Sheet1!D$75),IF(Sheet1!D$193=1," ","Alt  'A'  not feasible"))</f>
        <v>Alt  'A'  not feasible</v>
      </c>
      <c r="F16" s="263" t="str">
        <f>IF(AND(A16&lt;&gt;" ",Sheet1!D$192=1,Sheet1!D$193=1),D16-E16,IF(AND(Sheet1!D$193=1,A16&lt;&gt;" ")," "," "))</f>
        <v xml:space="preserve"> </v>
      </c>
      <c r="G16" s="264" t="str">
        <f>IF(A16&lt;=Sheet1!D$148, (1/((1+G10)^(A16-0.5)))," ")</f>
        <v xml:space="preserve"> </v>
      </c>
      <c r="H16" s="263" t="str">
        <f>IF(AND(A16&lt;&gt;" ",Sheet1!D$192=1,Sheet1!D$193=1),ROUND(F16*G16,Sheet1!D$75),IF(AND(A16&lt;&gt;" ",Sheet1!D$193=1),ROUND(E16*G16,Sheet1!D$75)," "))</f>
        <v xml:space="preserve"> </v>
      </c>
      <c r="I16" s="264" t="str">
        <f>IF(A16&lt;&gt;" ",ROUND(VLOOKUP(Sheet1!E$82,CHOOSE(Sheet1!D$232,Inflate7,Inflate2,Inflate3,Inflate4,Inflate5,Inflate6,Inflate1,Inflate8),2),4)," ")</f>
        <v xml:space="preserve"> </v>
      </c>
      <c r="J16" s="264" t="str">
        <f>IF(A16&lt;&gt;" ",ROUND(VLOOKUP(B16,CHOOSE(Sheet1!D$232,Inflate7,Inflate2,Inflate3,Inflate4,Inflate5,Inflate6,Inflate1,Inflate8),3),4)," ")</f>
        <v xml:space="preserve"> </v>
      </c>
      <c r="K16" s="265" t="str">
        <f>IF(AND(A16&lt;&gt;" ",Sheet1!D$192=1,Sheet1!D$193=1),ROUND((F16/I16)*J16,Sheet1!D$75),IF(AND(A16&lt;&gt;" ",Sheet1!D$193=1),ROUND((E16/I16)*J16,Sheet1!D$75)," "))</f>
        <v xml:space="preserve"> </v>
      </c>
      <c r="L16" s="254" t="str">
        <f>IF(Sheet1!D$192=1,IF(AND(AA16&gt;AJ$61,AA15&lt;=AJ$61),"&lt;-Payback"," ")," ")</f>
        <v xml:space="preserve"> </v>
      </c>
      <c r="M16" s="271" t="str">
        <f>IF(OR(Sheet1!D$192=1,Sheet1!D$193=1),IF(OR((A15&gt;=(Sheet1!D$148+$A$11)-1),AND(Sheet1!D$8=3,A15&gt;=6))," ",A15+1),NA())</f>
        <v xml:space="preserve"> </v>
      </c>
      <c r="N16" s="271" t="str">
        <f>IF(OR(Sheet1!D$192=1,Sheet1!D$193=1),IF(OR((B15&gt;=(Sheet1!D$148+$B$11)-1),AND(Sheet1!D$8=3,A15&gt;=6))," ",B15+1),NA())</f>
        <v xml:space="preserve"> </v>
      </c>
      <c r="O16" s="266" t="e">
        <f>IF(OR(Sheet1!D$192=1,Sheet1!D$193=1),IF(NOT(Sheet1!D$192=1),0,IF(ROUND(VLOOKUP(A16,StatusQuo!A$19:M$68,13),Sheet1!D$75)-ROUND(VLOOKUP(A16,AlternativeA!A$110:M$159,13),Sheet1!D$75)&gt;0,1,0))," ")</f>
        <v>#VALUE!</v>
      </c>
      <c r="P16" s="263" t="str">
        <f>IF(AND(A16&lt;&gt;" ",Sheet1!D$192=1,Sheet1!D$193=1),IF(AND(OR(Sheet1!D$8=2,Sheet1!D$22=3),O16&gt;10),0,ROUND(VLOOKUP(A16,StatusQuo!A$19:M$68,13),Sheet1!D$75)),IF(NOT(Sheet1!D$192=1),"not feasible",IF(A16=" "," ", "Savings is  n/a=&gt;")))</f>
        <v xml:space="preserve"> </v>
      </c>
      <c r="Q16" s="263" t="str">
        <f>IF(AND(A16&lt;&gt;" ",Sheet1!D$192=1,Sheet1!D$193=1),IF(AND(OR(Sheet1!D$8=2,Sheet1!D$22=3),O16&gt;10),0,ROUND(VLOOKUP(A16,AlternativeA!A$110:M$159,13),Sheet1!D$75)),IF(NOT(Sheet1!D$193=1),"not feasible",IF(A16=" "," ","&lt;== Savings is n/a")))</f>
        <v>not feasible</v>
      </c>
      <c r="R16" s="263" t="str">
        <f>IF(AND(A16&lt;&gt;" ",Sheet1!D$192=1,Sheet1!D$193=1),IF(G$81&lt;&gt;" ","??????? ",P16-Q16)," ")</f>
        <v xml:space="preserve"> </v>
      </c>
      <c r="S16" s="263" t="str">
        <f>IF(AND(A16&lt;&gt;" ",Sheet1!D$192=1,Sheet1!D$193=1),ROUND(R16*G16,Sheet1!D$75)," ")</f>
        <v xml:space="preserve"> </v>
      </c>
      <c r="T16" s="263" t="str">
        <f>IF(AND(A16&lt;&gt;" ",Sheet1!D$192=1,Sheet1!D$193=1),ROUND((R16/I16)*J16,Sheet1!D$75)," ")</f>
        <v xml:space="preserve"> </v>
      </c>
      <c r="U16" s="265">
        <f>SUM(T$11:T16)</f>
        <v>0</v>
      </c>
      <c r="V16" s="254" t="str">
        <f t="shared" si="0"/>
        <v xml:space="preserve"> </v>
      </c>
      <c r="W16" s="268">
        <f t="shared" si="1"/>
        <v>6</v>
      </c>
      <c r="X16" s="171" t="str">
        <f t="shared" si="2"/>
        <v xml:space="preserve"> </v>
      </c>
      <c r="Y16" s="296"/>
      <c r="Z16" s="270"/>
      <c r="AA16" s="265">
        <f>SUM(K$11:K16)</f>
        <v>0</v>
      </c>
      <c r="AB16" s="271" t="str">
        <f>IF(OR(Sheet1!D$192=1,Sheet1!D$193=1),IF(OR((AB15&gt;=(Sheet1!D$148+$A$11)-1),AND(Sheet1!D$8=3,AB15&gt;=6))," ",AB15+1),NA())</f>
        <v xml:space="preserve"> </v>
      </c>
      <c r="AC16" s="271" t="str">
        <f>IF(OR(Sheet1!D$192=1,Sheet1!D$193=1),IF(OR((AC15&gt;=(Sheet1!D$148+$B$11)-1),AND(Sheet1!D$8=3,AB15&gt;=6))," ",AC15+1),NA())</f>
        <v xml:space="preserve"> </v>
      </c>
      <c r="AD16" s="262"/>
      <c r="AE16" s="263" t="str">
        <f>IF(AND(Sheet1!D$193=1,AB16&lt;&gt;" "),ROUND(VLOOKUP(AB16,AlternativeA!A$17:M$66,12),Sheet1!D$75),IF(Sheet1!D$193=1," ","Alt  'A'  not feasible"))</f>
        <v>Alt  'A'  not feasible</v>
      </c>
      <c r="AF16" s="264" t="str">
        <f>IF(AB16&lt;=Sheet1!D$148, (1/((1+$AF$10)^(AB16-0.5)))," ")</f>
        <v xml:space="preserve"> </v>
      </c>
      <c r="AG16" s="263" t="str">
        <f>IF(AND(Sheet1!D$193=1,AB16&lt;&gt;" "),ROUND(+AE16*AF16,Sheet1!D$75)," ")</f>
        <v xml:space="preserve"> </v>
      </c>
      <c r="AH16" s="264" t="str">
        <f>IF(AB16&lt;&gt;" ",ROUND(VLOOKUP(Sheet1!E$82,CHOOSE(Sheet1!D$212,Inflate1,Inflate2,Inflate3,Inflate4,Inflate5,Inflate6,Inflate7,Inflate8),2),4)," ")</f>
        <v xml:space="preserve"> </v>
      </c>
      <c r="AI16" s="264" t="str">
        <f>IF(AB16&lt;&gt;" ",ROUND(VLOOKUP(AC16,CHOOSE(Sheet1!D$212,Inflate1,Inflate2,Inflate3,Inflate4,Inflate5,Inflate6,Inflate7,Inflate8),3),4)," ")</f>
        <v xml:space="preserve"> </v>
      </c>
      <c r="AJ16" s="263" t="b">
        <f>IF(AND(Sheet1!D$193=1,AB16&lt;&gt;" "),IF(AND(O16&lt;=10,OR(Sheet1!D$8=2,Sheet1!D$8=3,Sheet1!D$22=3)),ROUND((AE16/AH16)*AI16,Sheet1!D$75),IF(AND(Sheet1!D$8&lt;&gt;2,Sheet1!D$8&lt;&gt;3,Sheet1!D$22&lt;&gt;3),ROUND((AE16/AH16)*AI16,Sheet1!D$75)," ")))</f>
        <v>0</v>
      </c>
    </row>
    <row r="17" spans="1:36" ht="12" customHeight="1" x14ac:dyDescent="0.2">
      <c r="A17" s="271" t="str">
        <f>IF(OR(Sheet1!D$192=1,Sheet1!D$193=1),IF(OR((A16&gt;=(Sheet1!D$148+$A$11)-1),AND(Sheet1!D$8=3,A16&gt;=6))," ",A16+1),NA())</f>
        <v xml:space="preserve"> </v>
      </c>
      <c r="B17" s="271" t="str">
        <f>IF(OR(Sheet1!D$192=1,Sheet1!D$193=1),IF(OR((B16&gt;=(Sheet1!D$148+$B$11)-1),AND(Sheet1!D$8=3,A16&gt;=6))," ",B16+1),NA())</f>
        <v xml:space="preserve"> </v>
      </c>
      <c r="C17" s="262"/>
      <c r="D17" s="263" t="str">
        <f>IF(AND(Sheet1!D$192=1,A17&lt;&gt;" "),ROUND(VLOOKUP(A17,StatusQuo!A$19:M$68,12),Sheet1!D$75),IF(Sheet1!D$192=1," ","SQ not feasible "))</f>
        <v xml:space="preserve"> </v>
      </c>
      <c r="E17" s="263" t="str">
        <f>IF(AND(Sheet1!D$193=1,A17&lt;&gt;" "),ROUND(VLOOKUP(A17,AlternativeA!A$110:M$159,12),Sheet1!D$75),IF(Sheet1!D$193=1," ","Alt  'A'  not feasible"))</f>
        <v>Alt  'A'  not feasible</v>
      </c>
      <c r="F17" s="263" t="str">
        <f>IF(AND(A17&lt;&gt;" ",Sheet1!D$192=1,Sheet1!D$193=1),D17-E17,IF(AND(Sheet1!D$193=1,A17&lt;&gt;" ")," "," "))</f>
        <v xml:space="preserve"> </v>
      </c>
      <c r="G17" s="264" t="str">
        <f>IF(A17&lt;=Sheet1!D$148, (1/((1+G10)^(A17-0.5)))," ")</f>
        <v xml:space="preserve"> </v>
      </c>
      <c r="H17" s="263" t="str">
        <f>IF(AND(A17&lt;&gt;" ",Sheet1!D$192=1,Sheet1!D$193=1),ROUND(F17*G17,Sheet1!D$75),IF(AND(A17&lt;&gt;" ",Sheet1!D$193=1),ROUND(E17*G17,Sheet1!D$75)," "))</f>
        <v xml:space="preserve"> </v>
      </c>
      <c r="I17" s="264" t="str">
        <f>IF(A17&lt;&gt;" ",ROUND(VLOOKUP(Sheet1!E$82,CHOOSE(Sheet1!D$232,Inflate7,Inflate2,Inflate3,Inflate4,Inflate5,Inflate6,Inflate1,Inflate8),2),4)," ")</f>
        <v xml:space="preserve"> </v>
      </c>
      <c r="J17" s="264" t="str">
        <f>IF(A17&lt;&gt;" ",ROUND(VLOOKUP(B17,CHOOSE(Sheet1!D$232,Inflate7,Inflate2,Inflate3,Inflate4,Inflate5,Inflate6,Inflate1,Inflate8),3),4)," ")</f>
        <v xml:space="preserve"> </v>
      </c>
      <c r="K17" s="265" t="str">
        <f>IF(AND(A17&lt;&gt;" ",Sheet1!D$192=1,Sheet1!D$193=1),ROUND((F17/I17)*J17,Sheet1!D$75),IF(AND(A17&lt;&gt;" ",Sheet1!D$193=1),ROUND((E17/I17)*J17,Sheet1!D$75)," "))</f>
        <v xml:space="preserve"> </v>
      </c>
      <c r="L17" s="254" t="str">
        <f>IF(Sheet1!D$192=1,IF(AND(AA17&gt;AJ$61,AA16&lt;=AJ$61),"&lt;-Payback"," ")," ")</f>
        <v xml:space="preserve"> </v>
      </c>
      <c r="M17" s="271" t="str">
        <f>IF(OR(Sheet1!D$192=1,Sheet1!D$193=1),IF(OR((A16&gt;=(Sheet1!D$148+$A$11)-1),AND(Sheet1!D$8=3,A16&gt;=6))," ",A16+1),NA())</f>
        <v xml:space="preserve"> </v>
      </c>
      <c r="N17" s="271" t="str">
        <f>IF(OR(Sheet1!D$192=1,Sheet1!D$193=1),IF(OR((B16&gt;=(Sheet1!D$148+$B$11)-1),AND(Sheet1!D$8=3,A16&gt;=6))," ",B16+1),NA())</f>
        <v xml:space="preserve"> </v>
      </c>
      <c r="O17" s="266" t="e">
        <f>IF(OR(Sheet1!D$192=1,Sheet1!D$193=1),IF(NOT(Sheet1!D$192=1),0,IF(ROUND(VLOOKUP(A17,StatusQuo!A$19:M$68,13),Sheet1!D$75)-ROUND(VLOOKUP(A17,AlternativeA!A$110:M$159,13),Sheet1!D$75)&gt;0,1,0))," ")</f>
        <v>#VALUE!</v>
      </c>
      <c r="P17" s="263" t="str">
        <f>IF(AND(A17&lt;&gt;" ",Sheet1!D$192=1,Sheet1!D$193=1),IF(AND(OR(Sheet1!D$8=2,Sheet1!D$22=3),O17&gt;10),0,ROUND(VLOOKUP(A17,StatusQuo!A$19:M$68,13),Sheet1!D$75)),IF(NOT(Sheet1!D$192=1),"not feasible",IF(A17=" "," ", "Savings is  n/a=&gt;")))</f>
        <v xml:space="preserve"> </v>
      </c>
      <c r="Q17" s="263" t="str">
        <f>IF(AND(A17&lt;&gt;" ",Sheet1!D$192=1,Sheet1!D$193=1),IF(AND(OR(Sheet1!D$8=2,Sheet1!D$22=3),O17&gt;10),0,ROUND(VLOOKUP(A17,AlternativeA!A$110:M$159,13),Sheet1!D$75)),IF(NOT(Sheet1!D$193=1),"not feasible",IF(A17=" "," ","&lt;== Savings is n/a")))</f>
        <v>not feasible</v>
      </c>
      <c r="R17" s="263" t="str">
        <f>IF(AND(A17&lt;&gt;" ",Sheet1!D$192=1,Sheet1!D$193=1),IF(G$81&lt;&gt;" ","??????? ",P17-Q17)," ")</f>
        <v xml:space="preserve"> </v>
      </c>
      <c r="S17" s="263" t="str">
        <f>IF(AND(A17&lt;&gt;" ",Sheet1!D$192=1,Sheet1!D$193=1),ROUND(R17*G17,Sheet1!D$75)," ")</f>
        <v xml:space="preserve"> </v>
      </c>
      <c r="T17" s="263" t="str">
        <f>IF(AND(A17&lt;&gt;" ",Sheet1!D$192=1,Sheet1!D$193=1),ROUND((R17/I17)*J17,Sheet1!D$75)," ")</f>
        <v xml:space="preserve"> </v>
      </c>
      <c r="U17" s="265">
        <f>SUM(T$11:T17)</f>
        <v>0</v>
      </c>
      <c r="V17" s="254" t="str">
        <f t="shared" si="0"/>
        <v xml:space="preserve"> </v>
      </c>
      <c r="W17" s="268">
        <f t="shared" si="1"/>
        <v>7</v>
      </c>
      <c r="X17" s="171" t="str">
        <f t="shared" si="2"/>
        <v xml:space="preserve"> </v>
      </c>
      <c r="Y17" s="296"/>
      <c r="Z17" s="270"/>
      <c r="AA17" s="265">
        <f>SUM(K$11:K17)</f>
        <v>0</v>
      </c>
      <c r="AB17" s="271" t="str">
        <f>IF(OR(Sheet1!D$192=1,Sheet1!D$193=1),IF(OR((AB16&gt;=(Sheet1!D$148+$A$11)-1),AND(Sheet1!D$8=3,AB16&gt;=6))," ",AB16+1),NA())</f>
        <v xml:space="preserve"> </v>
      </c>
      <c r="AC17" s="271" t="str">
        <f>IF(OR(Sheet1!D$192=1,Sheet1!D$193=1),IF(OR((AC16&gt;=(Sheet1!D$148+$B$11)-1),AND(Sheet1!D$8=3,AB16&gt;=6))," ",AC16+1),NA())</f>
        <v xml:space="preserve"> </v>
      </c>
      <c r="AD17" s="262"/>
      <c r="AE17" s="263" t="str">
        <f>IF(AND(Sheet1!D$193=1,AB17&lt;&gt;" "),ROUND(VLOOKUP(AB17,AlternativeA!A$17:M$66,12),Sheet1!D$75),IF(Sheet1!D$193=1," ","Alt  'A'  not feasible"))</f>
        <v>Alt  'A'  not feasible</v>
      </c>
      <c r="AF17" s="264" t="str">
        <f>IF(AB17&lt;=Sheet1!D$148, (1/((1+$AF$10)^(AB17-0.5)))," ")</f>
        <v xml:space="preserve"> </v>
      </c>
      <c r="AG17" s="263" t="str">
        <f>IF(AND(Sheet1!D$193=1,AB17&lt;&gt;" "),ROUND(+AE17*AF17,Sheet1!D$75)," ")</f>
        <v xml:space="preserve"> </v>
      </c>
      <c r="AH17" s="264" t="str">
        <f>IF(AB17&lt;&gt;" ",ROUND(VLOOKUP(Sheet1!E$82,CHOOSE(Sheet1!D$212,Inflate1,Inflate2,Inflate3,Inflate4,Inflate5,Inflate6,Inflate7,Inflate8),2),4)," ")</f>
        <v xml:space="preserve"> </v>
      </c>
      <c r="AI17" s="264" t="str">
        <f>IF(AB17&lt;&gt;" ",ROUND(VLOOKUP(AC17,CHOOSE(Sheet1!D$212,Inflate1,Inflate2,Inflate3,Inflate4,Inflate5,Inflate6,Inflate7,Inflate8),3),4)," ")</f>
        <v xml:space="preserve"> </v>
      </c>
      <c r="AJ17" s="263" t="b">
        <f>IF(AND(Sheet1!D$193=1,AB17&lt;&gt;" "),IF(AND(O17&lt;=10,OR(Sheet1!D$8=2,Sheet1!D$8=3,Sheet1!D$22=3)),ROUND((AE17/AH17)*AI17,Sheet1!D$75),IF(AND(Sheet1!D$8&lt;&gt;2,Sheet1!D$8&lt;&gt;3,Sheet1!D$22&lt;&gt;3),ROUND((AE17/AH17)*AI17,Sheet1!D$75)," ")))</f>
        <v>0</v>
      </c>
    </row>
    <row r="18" spans="1:36" ht="12" customHeight="1" x14ac:dyDescent="0.2">
      <c r="A18" s="271" t="str">
        <f>IF(OR(Sheet1!D$192=1,Sheet1!D$193=1),IF(OR((A17&gt;=(Sheet1!D$148+$A$11)-1),AND(Sheet1!D$8=3,A17&gt;=6))," ",A17+1),NA())</f>
        <v xml:space="preserve"> </v>
      </c>
      <c r="B18" s="271" t="str">
        <f>IF(OR(Sheet1!D$192=1,Sheet1!D$193=1),IF(OR((B17&gt;=(Sheet1!D$148+$B$11)-1),AND(Sheet1!D$8=3,A17&gt;=6))," ",B17+1),NA())</f>
        <v xml:space="preserve"> </v>
      </c>
      <c r="C18" s="262"/>
      <c r="D18" s="263" t="str">
        <f>IF(AND(Sheet1!D$192=1,A18&lt;&gt;" "),ROUND(VLOOKUP(A18,StatusQuo!A$19:M$68,12),Sheet1!D$75),IF(Sheet1!D$192=1," ","SQ not feasible "))</f>
        <v xml:space="preserve"> </v>
      </c>
      <c r="E18" s="263" t="str">
        <f>IF(AND(Sheet1!D$193=1,A18&lt;&gt;" "),ROUND(VLOOKUP(A18,AlternativeA!A$110:M$159,12),Sheet1!D$75),IF(Sheet1!D$193=1," ","Alt  'A'  not feasible"))</f>
        <v>Alt  'A'  not feasible</v>
      </c>
      <c r="F18" s="263" t="str">
        <f>IF(AND(A18&lt;&gt;" ",Sheet1!D$192=1,Sheet1!D$193=1),D18-E18,IF(AND(Sheet1!D$193=1,A18&lt;&gt;" ")," "," "))</f>
        <v xml:space="preserve"> </v>
      </c>
      <c r="G18" s="264" t="str">
        <f>IF(A18&lt;=Sheet1!D$148, (1/((1+G10)^(A18-0.5)))," ")</f>
        <v xml:space="preserve"> </v>
      </c>
      <c r="H18" s="263" t="str">
        <f>IF(AND(A18&lt;&gt;" ",Sheet1!D$192=1,Sheet1!D$193=1),ROUND(F18*G18,Sheet1!D$75),IF(AND(A18&lt;&gt;" ",Sheet1!D$193=1),ROUND(E18*G18,Sheet1!D$75)," "))</f>
        <v xml:space="preserve"> </v>
      </c>
      <c r="I18" s="264" t="str">
        <f>IF(A18&lt;&gt;" ",ROUND(VLOOKUP(Sheet1!E$82,CHOOSE(Sheet1!D$232,Inflate7,Inflate2,Inflate3,Inflate4,Inflate5,Inflate6,Inflate1,Inflate8),2),4)," ")</f>
        <v xml:space="preserve"> </v>
      </c>
      <c r="J18" s="264" t="str">
        <f>IF(A18&lt;&gt;" ",ROUND(VLOOKUP(B18,CHOOSE(Sheet1!D$232,Inflate7,Inflate2,Inflate3,Inflate4,Inflate5,Inflate6,Inflate1,Inflate8),3),4)," ")</f>
        <v xml:space="preserve"> </v>
      </c>
      <c r="K18" s="265" t="str">
        <f>IF(AND(A18&lt;&gt;" ",Sheet1!D$192=1,Sheet1!D$193=1),ROUND((F18/I18)*J18,Sheet1!D$75),IF(AND(A18&lt;&gt;" ",Sheet1!D$193=1),ROUND((E18/I18)*J18,Sheet1!D$75)," "))</f>
        <v xml:space="preserve"> </v>
      </c>
      <c r="L18" s="254" t="str">
        <f>IF(Sheet1!D$192=1,IF(AND(AA18&gt;AJ$61,AA17&lt;=AJ$61),"&lt;-Payback"," ")," ")</f>
        <v xml:space="preserve"> </v>
      </c>
      <c r="M18" s="271" t="str">
        <f>IF(OR(Sheet1!D$192=1,Sheet1!D$193=1),IF(OR((A17&gt;=(Sheet1!D$148+$A$11)-1),AND(Sheet1!D$8=3,A17&gt;=6))," ",A17+1),NA())</f>
        <v xml:space="preserve"> </v>
      </c>
      <c r="N18" s="271" t="str">
        <f>IF(OR(Sheet1!D$192=1,Sheet1!D$193=1),IF(OR((B17&gt;=(Sheet1!D$148+$B$11)-1),AND(Sheet1!D$8=3,A17&gt;=6))," ",B17+1),NA())</f>
        <v xml:space="preserve"> </v>
      </c>
      <c r="O18" s="266" t="e">
        <f>IF(OR(Sheet1!D$192=1,Sheet1!D$193=1),IF(NOT(Sheet1!D$192=1),0,IF(ROUND(VLOOKUP(A18,StatusQuo!A$19:M$68,13),Sheet1!D$75)-ROUND(VLOOKUP(A18,AlternativeA!A$110:M$159,13),Sheet1!D$75)&gt;0,1,0))," ")</f>
        <v>#VALUE!</v>
      </c>
      <c r="P18" s="263" t="str">
        <f>IF(AND(A18&lt;&gt;" ",Sheet1!D$192=1,Sheet1!D$193=1),IF(AND(OR(Sheet1!D$8=2,Sheet1!D$22=3),O18&gt;10),0,ROUND(VLOOKUP(A18,StatusQuo!A$19:M$68,13),Sheet1!D$75)),IF(NOT(Sheet1!D$192=1),"not feasible",IF(A18=" "," ", "Savings is  n/a=&gt;")))</f>
        <v xml:space="preserve"> </v>
      </c>
      <c r="Q18" s="263" t="str">
        <f>IF(AND(A18&lt;&gt;" ",Sheet1!D$192=1,Sheet1!D$193=1),IF(AND(OR(Sheet1!D$8=2,Sheet1!D$22=3),O18&gt;10),0,ROUND(VLOOKUP(A18,AlternativeA!A$110:M$159,13),Sheet1!D$75)),IF(NOT(Sheet1!D$193=1),"not feasible",IF(A18=" "," ","&lt;== Savings is n/a")))</f>
        <v>not feasible</v>
      </c>
      <c r="R18" s="263" t="str">
        <f>IF(AND(A18&lt;&gt;" ",Sheet1!D$192=1,Sheet1!D$193=1),IF(G$81&lt;&gt;" ","??????? ",P18-Q18)," ")</f>
        <v xml:space="preserve"> </v>
      </c>
      <c r="S18" s="263" t="str">
        <f>IF(AND(A18&lt;&gt;" ",Sheet1!D$192=1,Sheet1!D$193=1),ROUND(R18*G18,Sheet1!D$75)," ")</f>
        <v xml:space="preserve"> </v>
      </c>
      <c r="T18" s="263" t="str">
        <f>IF(AND(A18&lt;&gt;" ",Sheet1!D$192=1,Sheet1!D$193=1),ROUND((R18/I18)*J18,Sheet1!D$75)," ")</f>
        <v xml:space="preserve"> </v>
      </c>
      <c r="U18" s="265">
        <f>SUM(T$11:T18)</f>
        <v>0</v>
      </c>
      <c r="V18" s="254" t="str">
        <f t="shared" si="0"/>
        <v xml:space="preserve"> </v>
      </c>
      <c r="W18" s="268">
        <f t="shared" si="1"/>
        <v>8</v>
      </c>
      <c r="X18" s="171" t="str">
        <f t="shared" si="2"/>
        <v xml:space="preserve"> </v>
      </c>
      <c r="Y18" s="296"/>
      <c r="Z18" s="270"/>
      <c r="AA18" s="265">
        <f>SUM(K$11:K18)</f>
        <v>0</v>
      </c>
      <c r="AB18" s="271" t="str">
        <f>IF(OR(Sheet1!D$192=1,Sheet1!D$193=1),IF(OR((AB17&gt;=(Sheet1!D$148+$A$11)-1),AND(Sheet1!D$8=3,AB17&gt;=6))," ",AB17+1),NA())</f>
        <v xml:space="preserve"> </v>
      </c>
      <c r="AC18" s="271" t="str">
        <f>IF(OR(Sheet1!D$192=1,Sheet1!D$193=1),IF(OR((AC17&gt;=(Sheet1!D$148+$B$11)-1),AND(Sheet1!D$8=3,AB17&gt;=6))," ",AC17+1),NA())</f>
        <v xml:space="preserve"> </v>
      </c>
      <c r="AD18" s="262"/>
      <c r="AE18" s="263" t="str">
        <f>IF(AND(Sheet1!D$193=1,AB18&lt;&gt;" "),ROUND(VLOOKUP(AB18,AlternativeA!A$17:M$66,12),Sheet1!D$75),IF(Sheet1!D$193=1," ","Alt  'A'  not feasible"))</f>
        <v>Alt  'A'  not feasible</v>
      </c>
      <c r="AF18" s="264" t="str">
        <f>IF(AB18&lt;=Sheet1!D$148, (1/((1+$AF$10)^(AB18-0.5)))," ")</f>
        <v xml:space="preserve"> </v>
      </c>
      <c r="AG18" s="263" t="str">
        <f>IF(AND(Sheet1!D$193=1,AB18&lt;&gt;" "),ROUND(+AE18*AF18,Sheet1!D$75)," ")</f>
        <v xml:space="preserve"> </v>
      </c>
      <c r="AH18" s="264" t="str">
        <f>IF(AB18&lt;&gt;" ",ROUND(VLOOKUP(Sheet1!E$82,CHOOSE(Sheet1!D$212,Inflate1,Inflate2,Inflate3,Inflate4,Inflate5,Inflate6,Inflate7,Inflate8),2),4)," ")</f>
        <v xml:space="preserve"> </v>
      </c>
      <c r="AI18" s="264" t="str">
        <f>IF(AB18&lt;&gt;" ",ROUND(VLOOKUP(AC18,CHOOSE(Sheet1!D$212,Inflate1,Inflate2,Inflate3,Inflate4,Inflate5,Inflate6,Inflate7,Inflate8),3),4)," ")</f>
        <v xml:space="preserve"> </v>
      </c>
      <c r="AJ18" s="263" t="b">
        <f>IF(AND(Sheet1!D$193=1,AB18&lt;&gt;" "),IF(AND(O18&lt;=10,OR(Sheet1!D$8=2,Sheet1!D$8=3,Sheet1!D$22=3)),ROUND((AE18/AH18)*AI18,Sheet1!D$75),IF(AND(Sheet1!D$8&lt;&gt;2,Sheet1!D$8&lt;&gt;3,Sheet1!D$22&lt;&gt;3),ROUND((AE18/AH18)*AI18,Sheet1!D$75)," ")))</f>
        <v>0</v>
      </c>
    </row>
    <row r="19" spans="1:36" ht="12" customHeight="1" x14ac:dyDescent="0.2">
      <c r="A19" s="271" t="str">
        <f>IF(OR(Sheet1!D$192=1,Sheet1!D$193=1),IF(OR((A18&gt;=(Sheet1!D$148+$A$11)-1),AND(Sheet1!D$8=3,A18&gt;=6))," ",A18+1),NA())</f>
        <v xml:space="preserve"> </v>
      </c>
      <c r="B19" s="271" t="str">
        <f>IF(OR(Sheet1!D$192=1,Sheet1!D$193=1),IF(OR((B18&gt;=(Sheet1!D$148+$B$11)-1),AND(Sheet1!D$8=3,A18&gt;=6))," ",B18+1),NA())</f>
        <v xml:space="preserve"> </v>
      </c>
      <c r="C19" s="262"/>
      <c r="D19" s="263" t="str">
        <f>IF(AND(Sheet1!D$192=1,A19&lt;&gt;" "),ROUND(VLOOKUP(A19,StatusQuo!A$19:M$68,12),Sheet1!D$75),IF(Sheet1!D$192=1," ","SQ not feasible "))</f>
        <v xml:space="preserve"> </v>
      </c>
      <c r="E19" s="263" t="str">
        <f>IF(AND(Sheet1!D$193=1,A19&lt;&gt;" "),ROUND(VLOOKUP(A19,AlternativeA!A$110:M$159,12),Sheet1!D$75),IF(Sheet1!D$193=1," ","Alt  'A'  not feasible"))</f>
        <v>Alt  'A'  not feasible</v>
      </c>
      <c r="F19" s="263" t="str">
        <f>IF(AND(A19&lt;&gt;" ",Sheet1!D$192=1,Sheet1!D$193=1),D19-E19,IF(AND(Sheet1!D$193=1,A19&lt;&gt;" ")," "," "))</f>
        <v xml:space="preserve"> </v>
      </c>
      <c r="G19" s="264" t="str">
        <f>IF(A19&lt;=Sheet1!D$148, (1/((1+G10)^(A19-0.5)))," ")</f>
        <v xml:space="preserve"> </v>
      </c>
      <c r="H19" s="263" t="str">
        <f>IF(AND(A19&lt;&gt;" ",Sheet1!D$192=1,Sheet1!D$193=1),ROUND(F19*G19,Sheet1!D$75),IF(AND(A19&lt;&gt;" ",Sheet1!D$193=1),ROUND(E19*G19,Sheet1!D$75)," "))</f>
        <v xml:space="preserve"> </v>
      </c>
      <c r="I19" s="264" t="str">
        <f>IF(A19&lt;&gt;" ",ROUND(VLOOKUP(Sheet1!E$82,CHOOSE(Sheet1!D$232,Inflate7,Inflate2,Inflate3,Inflate4,Inflate5,Inflate6,Inflate1,Inflate8),2),4)," ")</f>
        <v xml:space="preserve"> </v>
      </c>
      <c r="J19" s="264" t="str">
        <f>IF(A19&lt;&gt;" ",ROUND(VLOOKUP(B19,CHOOSE(Sheet1!D$232,Inflate7,Inflate2,Inflate3,Inflate4,Inflate5,Inflate6,Inflate1,Inflate8),3),4)," ")</f>
        <v xml:space="preserve"> </v>
      </c>
      <c r="K19" s="265" t="str">
        <f>IF(AND(A19&lt;&gt;" ",Sheet1!D$192=1,Sheet1!D$193=1),ROUND((F19/I19)*J19,Sheet1!D$75),IF(AND(A19&lt;&gt;" ",Sheet1!D$193=1),ROUND((E19/I19)*J19,Sheet1!D$75)," "))</f>
        <v xml:space="preserve"> </v>
      </c>
      <c r="L19" s="254" t="str">
        <f>IF(Sheet1!D$192=1,IF(AND(AA19&gt;AJ$61,AA18&lt;=AJ$61),"&lt;-Payback"," ")," ")</f>
        <v xml:space="preserve"> </v>
      </c>
      <c r="M19" s="271" t="str">
        <f>IF(OR(Sheet1!D$192=1,Sheet1!D$193=1),IF(OR((A18&gt;=(Sheet1!D$148+$A$11)-1),AND(Sheet1!D$8=3,A18&gt;=6))," ",A18+1),NA())</f>
        <v xml:space="preserve"> </v>
      </c>
      <c r="N19" s="271" t="str">
        <f>IF(OR(Sheet1!D$192=1,Sheet1!D$193=1),IF(OR((B18&gt;=(Sheet1!D$148+$B$11)-1),AND(Sheet1!D$8=3,A18&gt;=6))," ",B18+1),NA())</f>
        <v xml:space="preserve"> </v>
      </c>
      <c r="O19" s="266" t="e">
        <f>IF(OR(Sheet1!D$192=1,Sheet1!D$193=1),IF(NOT(Sheet1!D$192=1),0,IF(ROUND(VLOOKUP(A19,StatusQuo!A$19:M$68,13),Sheet1!D$75)-ROUND(VLOOKUP(A19,AlternativeA!A$110:M$159,13),Sheet1!D$75)&gt;0,1,0))," ")</f>
        <v>#VALUE!</v>
      </c>
      <c r="P19" s="263" t="str">
        <f>IF(AND(A19&lt;&gt;" ",Sheet1!D$192=1,Sheet1!D$193=1),IF(AND(OR(Sheet1!D$8=2,Sheet1!D$22=3),O19&gt;10),0,ROUND(VLOOKUP(A19,StatusQuo!A$19:M$68,13),Sheet1!D$75)),IF(NOT(Sheet1!D$192=1),"not feasible",IF(A19=" "," ", "Savings is  n/a=&gt;")))</f>
        <v xml:space="preserve"> </v>
      </c>
      <c r="Q19" s="263" t="str">
        <f>IF(AND(A19&lt;&gt;" ",Sheet1!D$192=1,Sheet1!D$193=1),IF(AND(OR(Sheet1!D$8=2,Sheet1!D$22=3),O19&gt;10),0,ROUND(VLOOKUP(A19,AlternativeA!A$110:M$159,13),Sheet1!D$75)),IF(NOT(Sheet1!D$193=1),"not feasible",IF(A19=" "," ","&lt;== Savings is n/a")))</f>
        <v>not feasible</v>
      </c>
      <c r="R19" s="263" t="str">
        <f>IF(AND(A19&lt;&gt;" ",Sheet1!D$192=1,Sheet1!D$193=1),IF(G$81&lt;&gt;" ","??????? ",P19-Q19)," ")</f>
        <v xml:space="preserve"> </v>
      </c>
      <c r="S19" s="263" t="str">
        <f>IF(AND(A19&lt;&gt;" ",Sheet1!D$192=1,Sheet1!D$193=1),ROUND(R19*G19,Sheet1!D$75)," ")</f>
        <v xml:space="preserve"> </v>
      </c>
      <c r="T19" s="263" t="str">
        <f>IF(AND(A19&lt;&gt;" ",Sheet1!D$192=1,Sheet1!D$193=1),ROUND((R19/I19)*J19,Sheet1!D$75)," ")</f>
        <v xml:space="preserve"> </v>
      </c>
      <c r="U19" s="265">
        <f>SUM(T$11:T19)</f>
        <v>0</v>
      </c>
      <c r="V19" s="254" t="str">
        <f t="shared" si="0"/>
        <v xml:space="preserve"> </v>
      </c>
      <c r="W19" s="268">
        <f t="shared" si="1"/>
        <v>9</v>
      </c>
      <c r="X19" s="171" t="str">
        <f t="shared" si="2"/>
        <v xml:space="preserve"> </v>
      </c>
      <c r="Y19" s="296"/>
      <c r="Z19" s="270"/>
      <c r="AA19" s="265">
        <f>SUM(K$11:K19)</f>
        <v>0</v>
      </c>
      <c r="AB19" s="271" t="str">
        <f>IF(OR(Sheet1!D$192=1,Sheet1!D$193=1),IF(OR((AB18&gt;=(Sheet1!D$148+$A$11)-1),AND(Sheet1!D$8=3,AB18&gt;=6))," ",AB18+1),NA())</f>
        <v xml:space="preserve"> </v>
      </c>
      <c r="AC19" s="271" t="str">
        <f>IF(OR(Sheet1!D$192=1,Sheet1!D$193=1),IF(OR((AC18&gt;=(Sheet1!D$148+$B$11)-1),AND(Sheet1!D$8=3,AB18&gt;=6))," ",AC18+1),NA())</f>
        <v xml:space="preserve"> </v>
      </c>
      <c r="AD19" s="262"/>
      <c r="AE19" s="263" t="str">
        <f>IF(AND(Sheet1!D$193=1,AB19&lt;&gt;" "),ROUND(VLOOKUP(AB19,AlternativeA!A$17:M$66,12),Sheet1!D$75),IF(Sheet1!D$193=1," ","Alt  'A'  not feasible"))</f>
        <v>Alt  'A'  not feasible</v>
      </c>
      <c r="AF19" s="264" t="str">
        <f>IF(AB19&lt;=Sheet1!D$148, (1/((1+$AF$10)^(AB19-0.5)))," ")</f>
        <v xml:space="preserve"> </v>
      </c>
      <c r="AG19" s="263" t="str">
        <f>IF(AND(Sheet1!D$193=1,AB19&lt;&gt;" "),ROUND(+AE19*AF19,Sheet1!D$75)," ")</f>
        <v xml:space="preserve"> </v>
      </c>
      <c r="AH19" s="264" t="str">
        <f>IF(AB19&lt;&gt;" ",ROUND(VLOOKUP(Sheet1!E$82,CHOOSE(Sheet1!D$212,Inflate1,Inflate2,Inflate3,Inflate4,Inflate5,Inflate6,Inflate7,Inflate8),2),4)," ")</f>
        <v xml:space="preserve"> </v>
      </c>
      <c r="AI19" s="264" t="str">
        <f>IF(AB19&lt;&gt;" ",ROUND(VLOOKUP(AC19,CHOOSE(Sheet1!D$212,Inflate1,Inflate2,Inflate3,Inflate4,Inflate5,Inflate6,Inflate7,Inflate8),3),4)," ")</f>
        <v xml:space="preserve"> </v>
      </c>
      <c r="AJ19" s="263" t="b">
        <f>IF(AND(Sheet1!D$193=1,AB19&lt;&gt;" "),IF(AND(O19&lt;=10,OR(Sheet1!D$8=2,Sheet1!D$8=3,Sheet1!D$22=3)),ROUND((AE19/AH19)*AI19,Sheet1!D$75),IF(AND(Sheet1!D$8&lt;&gt;2,Sheet1!D$8&lt;&gt;3,Sheet1!D$22&lt;&gt;3),ROUND((AE19/AH19)*AI19,Sheet1!D$75)," ")))</f>
        <v>0</v>
      </c>
    </row>
    <row r="20" spans="1:36" ht="12" customHeight="1" x14ac:dyDescent="0.2">
      <c r="A20" s="271" t="str">
        <f>IF(OR(Sheet1!D$192=1,Sheet1!D$193=1),IF(OR((A19&gt;=(Sheet1!D$148+$A$11)-1),AND(Sheet1!D$8=3,A19&gt;=6))," ",A19+1),NA())</f>
        <v xml:space="preserve"> </v>
      </c>
      <c r="B20" s="271" t="str">
        <f>IF(OR(Sheet1!D$192=1,Sheet1!D$193=1),IF(OR((B19&gt;=(Sheet1!D$148+$B$11)-1),AND(Sheet1!D$8=3,A19&gt;=6))," ",B19+1),NA())</f>
        <v xml:space="preserve"> </v>
      </c>
      <c r="C20" s="262"/>
      <c r="D20" s="263" t="str">
        <f>IF(AND(Sheet1!D$192=1,A20&lt;&gt;" "),ROUND(VLOOKUP(A20,StatusQuo!A$19:M$68,12),Sheet1!D$75),IF(Sheet1!D$192=1," ","SQ not feasible "))</f>
        <v xml:space="preserve"> </v>
      </c>
      <c r="E20" s="263" t="str">
        <f>IF(AND(Sheet1!D$193=1,A20&lt;&gt;" "),ROUND(VLOOKUP(A20,AlternativeA!A$110:M$159,12),Sheet1!D$75),IF(Sheet1!D$193=1," ","Alt  'A'  not feasible"))</f>
        <v>Alt  'A'  not feasible</v>
      </c>
      <c r="F20" s="263" t="str">
        <f>IF(AND(A20&lt;&gt;" ",Sheet1!D$192=1,Sheet1!D$193=1),D20-E20,IF(AND(Sheet1!D$193=1,A20&lt;&gt;" ")," "," "))</f>
        <v xml:space="preserve"> </v>
      </c>
      <c r="G20" s="264" t="str">
        <f>IF(A20&lt;=Sheet1!D$148, (1/((1+G10)^(A20-0.5)))," ")</f>
        <v xml:space="preserve"> </v>
      </c>
      <c r="H20" s="263" t="str">
        <f>IF(AND(A20&lt;&gt;" ",Sheet1!D$192=1,Sheet1!D$193=1),ROUND(F20*G20,Sheet1!D$75),IF(AND(A20&lt;&gt;" ",Sheet1!D$193=1),ROUND(E20*G20,Sheet1!D$75)," "))</f>
        <v xml:space="preserve"> </v>
      </c>
      <c r="I20" s="264" t="str">
        <f>IF(A20&lt;&gt;" ",ROUND(VLOOKUP(Sheet1!E$82,CHOOSE(Sheet1!D$232,Inflate7,Inflate2,Inflate3,Inflate4,Inflate5,Inflate6,Inflate1,Inflate8),2),4)," ")</f>
        <v xml:space="preserve"> </v>
      </c>
      <c r="J20" s="264" t="str">
        <f>IF(A20&lt;&gt;" ",ROUND(VLOOKUP(B20,CHOOSE(Sheet1!D$232,Inflate7,Inflate2,Inflate3,Inflate4,Inflate5,Inflate6,Inflate1,Inflate8),3),4)," ")</f>
        <v xml:space="preserve"> </v>
      </c>
      <c r="K20" s="265" t="str">
        <f>IF(AND(A20&lt;&gt;" ",Sheet1!D$192=1,Sheet1!D$193=1),ROUND((F20/I20)*J20,Sheet1!D$75),IF(AND(A20&lt;&gt;" ",Sheet1!D$193=1),ROUND((E20/I20)*J20,Sheet1!D$75)," "))</f>
        <v xml:space="preserve"> </v>
      </c>
      <c r="L20" s="254" t="str">
        <f>IF(Sheet1!D$192=1,IF(AND(AA20&gt;AJ$61,AA19&lt;=AJ$61),"&lt;-Payback"," ")," ")</f>
        <v xml:space="preserve"> </v>
      </c>
      <c r="M20" s="271" t="str">
        <f>IF(OR(Sheet1!D$192=1,Sheet1!D$193=1),IF(OR((A19&gt;=(Sheet1!D$148+$A$11)-1),AND(Sheet1!D$8=3,A19&gt;=6))," ",A19+1),NA())</f>
        <v xml:space="preserve"> </v>
      </c>
      <c r="N20" s="271" t="str">
        <f>IF(OR(Sheet1!D$192=1,Sheet1!D$193=1),IF(OR((B19&gt;=(Sheet1!D$148+$B$11)-1),AND(Sheet1!D$8=3,A19&gt;=6))," ",B19+1),NA())</f>
        <v xml:space="preserve"> </v>
      </c>
      <c r="O20" s="266" t="e">
        <f>IF(OR(Sheet1!D$192=1,Sheet1!D$193=1),IF(NOT(Sheet1!D$192=1),0,IF(ROUND(VLOOKUP(A20,StatusQuo!A$19:M$68,13),Sheet1!D$75)-ROUND(VLOOKUP(A20,AlternativeA!A$110:M$159,13),Sheet1!D$75)&gt;0,1,0))," ")</f>
        <v>#VALUE!</v>
      </c>
      <c r="P20" s="263" t="str">
        <f>IF(AND(A20&lt;&gt;" ",Sheet1!D$192=1,Sheet1!D$193=1),IF(AND(OR(Sheet1!D$8=2,Sheet1!D$22=3),O20&gt;10),0,ROUND(VLOOKUP(A20,StatusQuo!A$19:M$68,13),Sheet1!D$75)),IF(NOT(Sheet1!D$192=1),"not feasible",IF(A20=" "," ", "Savings is  n/a=&gt;")))</f>
        <v xml:space="preserve"> </v>
      </c>
      <c r="Q20" s="263" t="str">
        <f>IF(AND(A20&lt;&gt;" ",Sheet1!D$192=1,Sheet1!D$193=1),IF(AND(OR(Sheet1!D$8=2,Sheet1!D$22=3),O20&gt;10),0,ROUND(VLOOKUP(A20,AlternativeA!A$110:M$159,13),Sheet1!D$75)),IF(NOT(Sheet1!D$193=1),"not feasible",IF(A20=" "," ","&lt;== Savings is n/a")))</f>
        <v>not feasible</v>
      </c>
      <c r="R20" s="263" t="str">
        <f>IF(AND(A20&lt;&gt;" ",Sheet1!D$192=1,Sheet1!D$193=1),IF(G$81&lt;&gt;" ","??????? ",P20-Q20)," ")</f>
        <v xml:space="preserve"> </v>
      </c>
      <c r="S20" s="263" t="str">
        <f>IF(AND(A20&lt;&gt;" ",Sheet1!D$192=1,Sheet1!D$193=1),ROUND(R20*G20,Sheet1!D$75)," ")</f>
        <v xml:space="preserve"> </v>
      </c>
      <c r="T20" s="263" t="str">
        <f>IF(AND(A20&lt;&gt;" ",Sheet1!D$192=1,Sheet1!D$193=1),ROUND((R20/I20)*J20,Sheet1!D$75)," ")</f>
        <v xml:space="preserve"> </v>
      </c>
      <c r="U20" s="265">
        <f>SUM(T$11:T20)</f>
        <v>0</v>
      </c>
      <c r="V20" s="254" t="str">
        <f t="shared" si="0"/>
        <v xml:space="preserve"> </v>
      </c>
      <c r="W20" s="268">
        <f t="shared" si="1"/>
        <v>10</v>
      </c>
      <c r="X20" s="171" t="str">
        <f t="shared" si="2"/>
        <v xml:space="preserve"> </v>
      </c>
      <c r="Y20" s="296"/>
      <c r="Z20" s="270"/>
      <c r="AA20" s="265">
        <f>SUM(K$11:K20)</f>
        <v>0</v>
      </c>
      <c r="AB20" s="271" t="str">
        <f>IF(OR(Sheet1!D$192=1,Sheet1!D$193=1),IF(OR((AB19&gt;=(Sheet1!D$148+$A$11)-1),AND(Sheet1!D$8=3,AB19&gt;=6))," ",AB19+1),NA())</f>
        <v xml:space="preserve"> </v>
      </c>
      <c r="AC20" s="271" t="str">
        <f>IF(OR(Sheet1!D$192=1,Sheet1!D$193=1),IF(OR((AC19&gt;=(Sheet1!D$148+$B$11)-1),AND(Sheet1!D$8=3,AB19&gt;=6))," ",AC19+1),NA())</f>
        <v xml:space="preserve"> </v>
      </c>
      <c r="AD20" s="262"/>
      <c r="AE20" s="263" t="str">
        <f>IF(AND(Sheet1!D$193=1,AB20&lt;&gt;" "),ROUND(VLOOKUP(AB20,AlternativeA!A$17:M$66,12),Sheet1!D$75),IF(Sheet1!D$193=1," ","Alt  'A'  not feasible"))</f>
        <v>Alt  'A'  not feasible</v>
      </c>
      <c r="AF20" s="264" t="str">
        <f>IF(AB20&lt;=Sheet1!D$148, (1/((1+$AF$10)^(AB20-0.5)))," ")</f>
        <v xml:space="preserve"> </v>
      </c>
      <c r="AG20" s="263" t="str">
        <f>IF(AND(Sheet1!D$193=1,AB20&lt;&gt;" "),ROUND(+AE20*AF20,Sheet1!D$75)," ")</f>
        <v xml:space="preserve"> </v>
      </c>
      <c r="AH20" s="264" t="str">
        <f>IF(AB20&lt;&gt;" ",ROUND(VLOOKUP(Sheet1!E$82,CHOOSE(Sheet1!D$212,Inflate1,Inflate2,Inflate3,Inflate4,Inflate5,Inflate6,Inflate7,Inflate8),2),4)," ")</f>
        <v xml:space="preserve"> </v>
      </c>
      <c r="AI20" s="264" t="str">
        <f>IF(AB20&lt;&gt;" ",ROUND(VLOOKUP(AC20,CHOOSE(Sheet1!D$212,Inflate1,Inflate2,Inflate3,Inflate4,Inflate5,Inflate6,Inflate7,Inflate8),3),4)," ")</f>
        <v xml:space="preserve"> </v>
      </c>
      <c r="AJ20" s="263" t="b">
        <f>IF(AND(Sheet1!D$193=1,AB20&lt;&gt;" "),IF(AND(O20&lt;=10,OR(Sheet1!D$8=2,Sheet1!D$8=3,Sheet1!D$22=3)),ROUND((AE20/AH20)*AI20,Sheet1!D$75),IF(AND(Sheet1!D$8&lt;&gt;2,Sheet1!D$8&lt;&gt;3,Sheet1!D$22&lt;&gt;3),ROUND((AE20/AH20)*AI20,Sheet1!D$75)," ")))</f>
        <v>0</v>
      </c>
    </row>
    <row r="21" spans="1:36" ht="12" customHeight="1" x14ac:dyDescent="0.2">
      <c r="A21" s="271" t="str">
        <f>IF(OR(Sheet1!D$192=1,Sheet1!D$193=1),IF(OR((A20&gt;=(Sheet1!D$148+$A$11)-1),AND(Sheet1!D$8=3,A20&gt;=6))," ",A20+1),NA())</f>
        <v xml:space="preserve"> </v>
      </c>
      <c r="B21" s="271" t="str">
        <f>IF(OR(Sheet1!D$192=1,Sheet1!D$193=1),IF(OR((B20&gt;=(Sheet1!D$148+$B$11)-1),AND(Sheet1!D$8=3,A20&gt;=6))," ",B20+1),NA())</f>
        <v xml:space="preserve"> </v>
      </c>
      <c r="C21" s="262"/>
      <c r="D21" s="263" t="str">
        <f>IF(AND(Sheet1!D$192=1,A21&lt;&gt;" "),ROUND(VLOOKUP(A21,StatusQuo!A$19:M$68,12),Sheet1!D$75),IF(Sheet1!D$192=1," ","SQ not feasible "))</f>
        <v xml:space="preserve"> </v>
      </c>
      <c r="E21" s="263" t="str">
        <f>IF(AND(Sheet1!D$193=1,A21&lt;&gt;" "),ROUND(VLOOKUP(A21,AlternativeA!A$110:M$159,12),Sheet1!D$75),IF(Sheet1!D$193=1," ","Alt  'A'  not feasible"))</f>
        <v>Alt  'A'  not feasible</v>
      </c>
      <c r="F21" s="263" t="str">
        <f>IF(AND(A21&lt;&gt;" ",Sheet1!D$192=1,Sheet1!D$193=1),D21-E21,IF(AND(Sheet1!D$193=1,A21&lt;&gt;" ")," "," "))</f>
        <v xml:space="preserve"> </v>
      </c>
      <c r="G21" s="264" t="str">
        <f>IF(A21&lt;=Sheet1!D$148, (1/((1+G10)^(A21-0.5)))," ")</f>
        <v xml:space="preserve"> </v>
      </c>
      <c r="H21" s="263" t="str">
        <f>IF(AND(A21&lt;&gt;" ",Sheet1!D$192=1,Sheet1!D$193=1),ROUND(F21*G21,Sheet1!D$75),IF(AND(A21&lt;&gt;" ",Sheet1!D$193=1),ROUND(E21*G21,Sheet1!D$75)," "))</f>
        <v xml:space="preserve"> </v>
      </c>
      <c r="I21" s="264" t="str">
        <f>IF(A21&lt;&gt;" ",ROUND(VLOOKUP(Sheet1!E$82,CHOOSE(Sheet1!D$232,Inflate7,Inflate2,Inflate3,Inflate4,Inflate5,Inflate6,Inflate1,Inflate8),2),4)," ")</f>
        <v xml:space="preserve"> </v>
      </c>
      <c r="J21" s="264" t="str">
        <f>IF(A21&lt;&gt;" ",ROUND(VLOOKUP(B21,CHOOSE(Sheet1!D$232,Inflate7,Inflate2,Inflate3,Inflate4,Inflate5,Inflate6,Inflate1,Inflate8),3),4)," ")</f>
        <v xml:space="preserve"> </v>
      </c>
      <c r="K21" s="265" t="str">
        <f>IF(AND(A21&lt;&gt;" ",Sheet1!D$192=1,Sheet1!D$193=1),ROUND((F21/I21)*J21,Sheet1!D$75),IF(AND(A21&lt;&gt;" ",Sheet1!D$193=1),ROUND((E21/I21)*J21,Sheet1!D$75)," "))</f>
        <v xml:space="preserve"> </v>
      </c>
      <c r="L21" s="254" t="str">
        <f>IF(Sheet1!D$192=1,IF(AND(AA21&gt;AJ$61,AA20&lt;=AJ$61),"&lt;-Payback"," ")," ")</f>
        <v xml:space="preserve"> </v>
      </c>
      <c r="M21" s="271" t="str">
        <f>IF(OR(Sheet1!D$192=1,Sheet1!D$193=1),IF(OR((A20&gt;=(Sheet1!D$148+$A$11)-1),AND(Sheet1!D$8=3,A20&gt;=6))," ",A20+1),NA())</f>
        <v xml:space="preserve"> </v>
      </c>
      <c r="N21" s="271" t="str">
        <f>IF(OR(Sheet1!D$192=1,Sheet1!D$193=1),IF(OR((B20&gt;=(Sheet1!D$148+$B$11)-1),AND(Sheet1!D$8=3,A20&gt;=6))," ",B20+1),NA())</f>
        <v xml:space="preserve"> </v>
      </c>
      <c r="O21" s="266" t="e">
        <f>IF(OR(Sheet1!D$192=1,Sheet1!D$193=1),IF(NOT(Sheet1!D$192=1),0,IF(ROUND(VLOOKUP(A21,StatusQuo!A$19:M$68,13),Sheet1!D$75)-ROUND(VLOOKUP(A21,AlternativeA!A$110:M$159,13),Sheet1!D$75)&gt;0,1,0))," ")</f>
        <v>#VALUE!</v>
      </c>
      <c r="P21" s="263" t="str">
        <f>IF(AND(A21&lt;&gt;" ",Sheet1!D$192=1,Sheet1!D$193=1),IF(AND(OR(Sheet1!D$8=2,Sheet1!D$22=3),O21&gt;10),0,ROUND(VLOOKUP(A21,StatusQuo!A$19:M$68,13),Sheet1!D$75)),IF(NOT(Sheet1!D$192=1),"not feasible",IF(A21=" "," ", "Savings is  n/a=&gt;")))</f>
        <v xml:space="preserve"> </v>
      </c>
      <c r="Q21" s="263" t="str">
        <f>IF(AND(A21&lt;&gt;" ",Sheet1!D$192=1,Sheet1!D$193=1),IF(AND(OR(Sheet1!D$8=2,Sheet1!D$22=3),O21&gt;10),0,ROUND(VLOOKUP(A21,AlternativeA!A$110:M$159,13),Sheet1!D$75)),IF(NOT(Sheet1!D$193=1),"not feasible",IF(A21=" "," ","&lt;== Savings is n/a")))</f>
        <v>not feasible</v>
      </c>
      <c r="R21" s="263" t="str">
        <f>IF(AND(A21&lt;&gt;" ",Sheet1!D$192=1,Sheet1!D$193=1),IF(G$81&lt;&gt;" ","??????? ",P21-Q21)," ")</f>
        <v xml:space="preserve"> </v>
      </c>
      <c r="S21" s="263" t="str">
        <f>IF(AND(A21&lt;&gt;" ",Sheet1!D$192=1,Sheet1!D$193=1),ROUND(R21*G21,Sheet1!D$75)," ")</f>
        <v xml:space="preserve"> </v>
      </c>
      <c r="T21" s="263" t="str">
        <f>IF(AND(A21&lt;&gt;" ",Sheet1!D$192=1,Sheet1!D$193=1),ROUND((R21/I21)*J21,Sheet1!D$75)," ")</f>
        <v xml:space="preserve"> </v>
      </c>
      <c r="U21" s="265">
        <f>SUM(T$11:T21)</f>
        <v>0</v>
      </c>
      <c r="V21" s="254" t="str">
        <f t="shared" si="0"/>
        <v xml:space="preserve"> </v>
      </c>
      <c r="W21" s="268">
        <f t="shared" si="1"/>
        <v>11</v>
      </c>
      <c r="X21" s="171" t="str">
        <f t="shared" si="2"/>
        <v xml:space="preserve"> </v>
      </c>
      <c r="Y21" s="296"/>
      <c r="Z21" s="270"/>
      <c r="AA21" s="265">
        <f>SUM(K$11:K21)</f>
        <v>0</v>
      </c>
      <c r="AB21" s="271" t="str">
        <f>IF(OR(Sheet1!D$192=1,Sheet1!D$193=1),IF(OR((AB20&gt;=(Sheet1!D$148+$A$11)-1),AND(Sheet1!D$8=3,AB20&gt;=6))," ",AB20+1),NA())</f>
        <v xml:space="preserve"> </v>
      </c>
      <c r="AC21" s="271" t="str">
        <f>IF(OR(Sheet1!D$192=1,Sheet1!D$193=1),IF(OR((AC20&gt;=(Sheet1!D$148+$B$11)-1),AND(Sheet1!D$8=3,AB20&gt;=6))," ",AC20+1),NA())</f>
        <v xml:space="preserve"> </v>
      </c>
      <c r="AD21" s="262"/>
      <c r="AE21" s="263" t="str">
        <f>IF(AND(Sheet1!D$193=1,AB21&lt;&gt;" "),ROUND(VLOOKUP(AB21,AlternativeA!A$17:M$66,12),Sheet1!D$75),IF(Sheet1!D$193=1," ","Alt  'A'  not feasible"))</f>
        <v>Alt  'A'  not feasible</v>
      </c>
      <c r="AF21" s="264" t="str">
        <f>IF(AB21&lt;=Sheet1!D$148, (1/((1+$AF$10)^(AB21-0.5)))," ")</f>
        <v xml:space="preserve"> </v>
      </c>
      <c r="AG21" s="263" t="str">
        <f>IF(AND(Sheet1!D$193=1,AB21&lt;&gt;" "),ROUND(+AE21*AF21,Sheet1!D$75)," ")</f>
        <v xml:space="preserve"> </v>
      </c>
      <c r="AH21" s="264" t="str">
        <f>IF(AB21&lt;&gt;" ",ROUND(VLOOKUP(Sheet1!E$82,CHOOSE(Sheet1!D$212,Inflate1,Inflate2,Inflate3,Inflate4,Inflate5,Inflate6,Inflate7,Inflate8),2),4)," ")</f>
        <v xml:space="preserve"> </v>
      </c>
      <c r="AI21" s="264" t="str">
        <f>IF(AB21&lt;&gt;" ",ROUND(VLOOKUP(AC21,CHOOSE(Sheet1!D$212,Inflate1,Inflate2,Inflate3,Inflate4,Inflate5,Inflate6,Inflate7,Inflate8),3),4)," ")</f>
        <v xml:space="preserve"> </v>
      </c>
      <c r="AJ21" s="263" t="b">
        <f>IF(AND(Sheet1!D$193=1,AB21&lt;&gt;" "),IF(AND(O21&lt;=10,OR(Sheet1!D$8=2,Sheet1!D$8=3,Sheet1!D$22=3)),ROUND((AE21/AH21)*AI21,Sheet1!D$75),IF(AND(Sheet1!D$8&lt;&gt;2,Sheet1!D$8&lt;&gt;3,Sheet1!D$22&lt;&gt;3),ROUND((AE21/AH21)*AI21,Sheet1!D$75)," ")))</f>
        <v>0</v>
      </c>
    </row>
    <row r="22" spans="1:36" ht="12" customHeight="1" x14ac:dyDescent="0.2">
      <c r="A22" s="271" t="str">
        <f>IF(OR(Sheet1!D$192=1,Sheet1!D$193=1),IF(OR((A21&gt;=(Sheet1!D$148+$A$11)-1),AND(Sheet1!D$8=3,A21&gt;=6))," ",A21+1),NA())</f>
        <v xml:space="preserve"> </v>
      </c>
      <c r="B22" s="271" t="str">
        <f>IF(OR(Sheet1!D$192=1,Sheet1!D$193=1),IF(OR((B21&gt;=(Sheet1!D$148+$B$11)-1),AND(Sheet1!D$8=3,A21&gt;=6))," ",B21+1),NA())</f>
        <v xml:space="preserve"> </v>
      </c>
      <c r="C22" s="262"/>
      <c r="D22" s="263" t="str">
        <f>IF(AND(Sheet1!D$192=1,A22&lt;&gt;" "),ROUND(VLOOKUP(A22,StatusQuo!A$19:M$68,12),Sheet1!D$75),IF(Sheet1!D$192=1," ","SQ not feasible "))</f>
        <v xml:space="preserve"> </v>
      </c>
      <c r="E22" s="263" t="str">
        <f>IF(AND(Sheet1!D$193=1,A22&lt;&gt;" "),ROUND(VLOOKUP(A22,AlternativeA!A$110:M$159,12),Sheet1!D$75),IF(Sheet1!D$193=1," ","Alt  'A'  not feasible"))</f>
        <v>Alt  'A'  not feasible</v>
      </c>
      <c r="F22" s="263" t="str">
        <f>IF(AND(A22&lt;&gt;" ",Sheet1!D$192=1,Sheet1!D$193=1),D22-E22,IF(AND(Sheet1!D$193=1,A22&lt;&gt;" ")," "," "))</f>
        <v xml:space="preserve"> </v>
      </c>
      <c r="G22" s="264" t="str">
        <f>IF(A22&lt;=Sheet1!D$148, (1/((1+G10)^(A22-0.5)))," ")</f>
        <v xml:space="preserve"> </v>
      </c>
      <c r="H22" s="263" t="str">
        <f>IF(AND(A22&lt;&gt;" ",Sheet1!D$192=1,Sheet1!D$193=1),ROUND(F22*G22,Sheet1!D$75),IF(AND(A22&lt;&gt;" ",Sheet1!D$193=1),ROUND(E22*G22,Sheet1!D$75)," "))</f>
        <v xml:space="preserve"> </v>
      </c>
      <c r="I22" s="264" t="str">
        <f>IF(A22&lt;&gt;" ",ROUND(VLOOKUP(Sheet1!E$82,CHOOSE(Sheet1!D$232,Inflate7,Inflate2,Inflate3,Inflate4,Inflate5,Inflate6,Inflate1,Inflate8),2),4)," ")</f>
        <v xml:space="preserve"> </v>
      </c>
      <c r="J22" s="264" t="str">
        <f>IF(A22&lt;&gt;" ",ROUND(VLOOKUP(B22,CHOOSE(Sheet1!D$232,Inflate7,Inflate2,Inflate3,Inflate4,Inflate5,Inflate6,Inflate1,Inflate8),3),4)," ")</f>
        <v xml:space="preserve"> </v>
      </c>
      <c r="K22" s="265" t="str">
        <f>IF(AND(A22&lt;&gt;" ",Sheet1!D$192=1,Sheet1!D$193=1),ROUND((F22/I22)*J22,Sheet1!D$75),IF(AND(A22&lt;&gt;" ",Sheet1!D$193=1),ROUND((E22/I22)*J22,Sheet1!D$75)," "))</f>
        <v xml:space="preserve"> </v>
      </c>
      <c r="L22" s="254" t="str">
        <f>IF(Sheet1!D$192=1,IF(AND(AA22&gt;AJ$61,AA21&lt;=AJ$61),"&lt;-Payback"," ")," ")</f>
        <v xml:space="preserve"> </v>
      </c>
      <c r="M22" s="271" t="str">
        <f>IF(OR(Sheet1!D$192=1,Sheet1!D$193=1),IF(OR((A21&gt;=(Sheet1!D$148+$A$11)-1),AND(Sheet1!D$8=3,A21&gt;=6))," ",A21+1),NA())</f>
        <v xml:space="preserve"> </v>
      </c>
      <c r="N22" s="271" t="str">
        <f>IF(OR(Sheet1!D$192=1,Sheet1!D$193=1),IF(OR((B21&gt;=(Sheet1!D$148+$B$11)-1),AND(Sheet1!D$8=3,A21&gt;=6))," ",B21+1),NA())</f>
        <v xml:space="preserve"> </v>
      </c>
      <c r="O22" s="266" t="e">
        <f>IF(OR(Sheet1!D$192=1,Sheet1!D$193=1),IF(NOT(Sheet1!D$192=1),0,IF(ROUND(VLOOKUP(A22,StatusQuo!A$19:M$68,13),Sheet1!D$75)-ROUND(VLOOKUP(A22,AlternativeA!A$110:M$159,13),Sheet1!D$75)&gt;0,1,0))," ")</f>
        <v>#VALUE!</v>
      </c>
      <c r="P22" s="263" t="str">
        <f>IF(AND(A22&lt;&gt;" ",Sheet1!D$192=1,Sheet1!D$193=1),IF(AND(OR(Sheet1!D$8=2,Sheet1!D$22=3),O22&gt;10),0,ROUND(VLOOKUP(A22,StatusQuo!A$19:M$68,13),Sheet1!D$75)),IF(NOT(Sheet1!D$192=1),"not feasible",IF(A22=" "," ", "Savings is  n/a=&gt;")))</f>
        <v xml:space="preserve"> </v>
      </c>
      <c r="Q22" s="263" t="str">
        <f>IF(AND(A22&lt;&gt;" ",Sheet1!D$192=1,Sheet1!D$193=1),IF(AND(OR(Sheet1!D$8=2,Sheet1!D$22=3),O22&gt;10),0,ROUND(VLOOKUP(A22,AlternativeA!A$110:M$159,13),Sheet1!D$75)),IF(NOT(Sheet1!D$193=1),"not feasible",IF(A22=" "," ","&lt;== Savings is n/a")))</f>
        <v>not feasible</v>
      </c>
      <c r="R22" s="263" t="str">
        <f>IF(AND(A22&lt;&gt;" ",Sheet1!D$192=1,Sheet1!D$193=1),IF(G$81&lt;&gt;" ","??????? ",P22-Q22)," ")</f>
        <v xml:space="preserve"> </v>
      </c>
      <c r="S22" s="263" t="str">
        <f>IF(AND(A22&lt;&gt;" ",Sheet1!D$192=1,Sheet1!D$193=1),ROUND(R22*G22,Sheet1!D$75)," ")</f>
        <v xml:space="preserve"> </v>
      </c>
      <c r="T22" s="263" t="str">
        <f>IF(AND(A22&lt;&gt;" ",Sheet1!D$192=1,Sheet1!D$193=1),ROUND((R22/I22)*J22,Sheet1!D$75)," ")</f>
        <v xml:space="preserve"> </v>
      </c>
      <c r="U22" s="265">
        <f>SUM(T$11:T22)</f>
        <v>0</v>
      </c>
      <c r="V22" s="254" t="str">
        <f t="shared" si="0"/>
        <v xml:space="preserve"> </v>
      </c>
      <c r="W22" s="268">
        <f t="shared" si="1"/>
        <v>12</v>
      </c>
      <c r="X22" s="171" t="str">
        <f t="shared" si="2"/>
        <v xml:space="preserve"> </v>
      </c>
      <c r="Y22" s="296"/>
      <c r="Z22" s="270"/>
      <c r="AA22" s="265">
        <f>SUM(K$11:K22)</f>
        <v>0</v>
      </c>
      <c r="AB22" s="271" t="str">
        <f>IF(OR(Sheet1!D$192=1,Sheet1!D$193=1),IF(OR((AB21&gt;=(Sheet1!D$148+$A$11)-1),AND(Sheet1!D$8=3,AB21&gt;=6))," ",AB21+1),NA())</f>
        <v xml:space="preserve"> </v>
      </c>
      <c r="AC22" s="271" t="str">
        <f>IF(OR(Sheet1!D$192=1,Sheet1!D$193=1),IF(OR((AC21&gt;=(Sheet1!D$148+$B$11)-1),AND(Sheet1!D$8=3,AB21&gt;=6))," ",AC21+1),NA())</f>
        <v xml:space="preserve"> </v>
      </c>
      <c r="AD22" s="262"/>
      <c r="AE22" s="263" t="str">
        <f>IF(AND(Sheet1!D$193=1,AB22&lt;&gt;" "),ROUND(VLOOKUP(AB22,AlternativeA!A$17:M$66,12),Sheet1!D$75),IF(Sheet1!D$193=1," ","Alt  'A'  not feasible"))</f>
        <v>Alt  'A'  not feasible</v>
      </c>
      <c r="AF22" s="264" t="str">
        <f>IF(AB22&lt;=Sheet1!D$148, (1/((1+$AF$10)^(AB22-0.5)))," ")</f>
        <v xml:space="preserve"> </v>
      </c>
      <c r="AG22" s="263" t="str">
        <f>IF(AND(Sheet1!D$193=1,AB22&lt;&gt;" "),ROUND(+AE22*AF22,Sheet1!D$75)," ")</f>
        <v xml:space="preserve"> </v>
      </c>
      <c r="AH22" s="264" t="str">
        <f>IF(AB22&lt;&gt;" ",ROUND(VLOOKUP(Sheet1!E$82,CHOOSE(Sheet1!D$212,Inflate1,Inflate2,Inflate3,Inflate4,Inflate5,Inflate6,Inflate7,Inflate8),2),4)," ")</f>
        <v xml:space="preserve"> </v>
      </c>
      <c r="AI22" s="264" t="str">
        <f>IF(AB22&lt;&gt;" ",ROUND(VLOOKUP(AC22,CHOOSE(Sheet1!D$212,Inflate1,Inflate2,Inflate3,Inflate4,Inflate5,Inflate6,Inflate7,Inflate8),3),4)," ")</f>
        <v xml:space="preserve"> </v>
      </c>
      <c r="AJ22" s="263" t="b">
        <f>IF(AND(Sheet1!D$193=1,AB22&lt;&gt;" "),IF(AND(O22&lt;=10,OR(Sheet1!D$8=2,Sheet1!D$8=3,Sheet1!D$22=3)),ROUND((AE22/AH22)*AI22,Sheet1!D$75),IF(AND(Sheet1!D$8&lt;&gt;2,Sheet1!D$8&lt;&gt;3,Sheet1!D$22&lt;&gt;3),ROUND((AE22/AH22)*AI22,Sheet1!D$75)," ")))</f>
        <v>0</v>
      </c>
    </row>
    <row r="23" spans="1:36" ht="12" customHeight="1" x14ac:dyDescent="0.2">
      <c r="A23" s="271" t="str">
        <f>IF(OR(Sheet1!D$192=1,Sheet1!D$193=1),IF(OR((A22&gt;=(Sheet1!D$148+$A$11)-1),AND(Sheet1!D$8=3,A22&gt;=6))," ",A22+1),NA())</f>
        <v xml:space="preserve"> </v>
      </c>
      <c r="B23" s="271" t="str">
        <f>IF(OR(Sheet1!D$192=1,Sheet1!D$193=1),IF(OR((B22&gt;=(Sheet1!D$148+$B$11)-1),AND(Sheet1!D$8=3,A22&gt;=6))," ",B22+1),NA())</f>
        <v xml:space="preserve"> </v>
      </c>
      <c r="C23" s="262"/>
      <c r="D23" s="263" t="str">
        <f>IF(AND(Sheet1!D$192=1,A23&lt;&gt;" "),ROUND(VLOOKUP(A23,StatusQuo!A$19:M$68,12),Sheet1!D$75),IF(Sheet1!D$192=1," ","SQ not feasible "))</f>
        <v xml:space="preserve"> </v>
      </c>
      <c r="E23" s="263" t="str">
        <f>IF(AND(Sheet1!D$193=1,A23&lt;&gt;" "),ROUND(VLOOKUP(A23,AlternativeA!A$110:M$159,12),Sheet1!D$75),IF(Sheet1!D$193=1," ","Alt  'A'  not feasible"))</f>
        <v>Alt  'A'  not feasible</v>
      </c>
      <c r="F23" s="263" t="str">
        <f>IF(AND(A23&lt;&gt;" ",Sheet1!D$192=1,Sheet1!D$193=1),D23-E23,IF(AND(Sheet1!D$193=1,A23&lt;&gt;" ")," "," "))</f>
        <v xml:space="preserve"> </v>
      </c>
      <c r="G23" s="264" t="str">
        <f>IF(A23&lt;=Sheet1!D$148, (1/((1+G10)^(A23-0.5)))," ")</f>
        <v xml:space="preserve"> </v>
      </c>
      <c r="H23" s="263" t="str">
        <f>IF(AND(A23&lt;&gt;" ",Sheet1!D$192=1,Sheet1!D$193=1),ROUND(F23*G23,Sheet1!D$75),IF(AND(A23&lt;&gt;" ",Sheet1!D$193=1),ROUND(E23*G23,Sheet1!D$75)," "))</f>
        <v xml:space="preserve"> </v>
      </c>
      <c r="I23" s="264" t="str">
        <f>IF(A23&lt;&gt;" ",ROUND(VLOOKUP(Sheet1!E$82,CHOOSE(Sheet1!D$232,Inflate7,Inflate2,Inflate3,Inflate4,Inflate5,Inflate6,Inflate1,Inflate8),2),4)," ")</f>
        <v xml:space="preserve"> </v>
      </c>
      <c r="J23" s="264" t="str">
        <f>IF(A23&lt;&gt;" ",ROUND(VLOOKUP(B23,CHOOSE(Sheet1!D$232,Inflate7,Inflate2,Inflate3,Inflate4,Inflate5,Inflate6,Inflate1,Inflate8),3),4)," ")</f>
        <v xml:space="preserve"> </v>
      </c>
      <c r="K23" s="265" t="str">
        <f>IF(AND(A23&lt;&gt;" ",Sheet1!D$192=1,Sheet1!D$193=1),ROUND((F23/I23)*J23,Sheet1!D$75),IF(AND(A23&lt;&gt;" ",Sheet1!D$193=1),ROUND((E23/I23)*J23,Sheet1!D$75)," "))</f>
        <v xml:space="preserve"> </v>
      </c>
      <c r="L23" s="254" t="str">
        <f>IF(Sheet1!D$192=1,IF(AND(AA23&gt;AJ$61,AA22&lt;=AJ$61),"&lt;-Payback"," ")," ")</f>
        <v xml:space="preserve"> </v>
      </c>
      <c r="M23" s="271" t="str">
        <f>IF(OR(Sheet1!D$192=1,Sheet1!D$193=1),IF(OR((A22&gt;=(Sheet1!D$148+$A$11)-1),AND(Sheet1!D$8=3,A22&gt;=6))," ",A22+1),NA())</f>
        <v xml:space="preserve"> </v>
      </c>
      <c r="N23" s="271" t="str">
        <f>IF(OR(Sheet1!D$192=1,Sheet1!D$193=1),IF(OR((B22&gt;=(Sheet1!D$148+$B$11)-1),AND(Sheet1!D$8=3,A22&gt;=6))," ",B22+1),NA())</f>
        <v xml:space="preserve"> </v>
      </c>
      <c r="O23" s="266" t="e">
        <f>IF(OR(Sheet1!D$192=1,Sheet1!D$193=1),IF(NOT(Sheet1!D$192=1),0,IF(ROUND(VLOOKUP(A23,StatusQuo!A$19:M$68,13),Sheet1!D$75)-ROUND(VLOOKUP(A23,AlternativeA!A$110:M$159,13),Sheet1!D$75)&gt;0,1,0))," ")</f>
        <v>#VALUE!</v>
      </c>
      <c r="P23" s="263" t="str">
        <f>IF(AND(A23&lt;&gt;" ",Sheet1!D$192=1,Sheet1!D$193=1),IF(AND(OR(Sheet1!D$8=2,Sheet1!D$22=3),O23&gt;10),0,ROUND(VLOOKUP(A23,StatusQuo!A$19:M$68,13),Sheet1!D$75)),IF(NOT(Sheet1!D$192=1),"not feasible",IF(A23=" "," ", "Savings is  n/a=&gt;")))</f>
        <v xml:space="preserve"> </v>
      </c>
      <c r="Q23" s="263" t="str">
        <f>IF(AND(A23&lt;&gt;" ",Sheet1!D$192=1,Sheet1!D$193=1),IF(AND(OR(Sheet1!D$8=2,Sheet1!D$22=3),O23&gt;10),0,ROUND(VLOOKUP(A23,AlternativeA!A$110:M$159,13),Sheet1!D$75)),IF(NOT(Sheet1!D$193=1),"not feasible",IF(A23=" "," ","&lt;== Savings is n/a")))</f>
        <v>not feasible</v>
      </c>
      <c r="R23" s="263" t="str">
        <f>IF(AND(A23&lt;&gt;" ",Sheet1!D$192=1,Sheet1!D$193=1),IF(G$81&lt;&gt;" ","??????? ",P23-Q23)," ")</f>
        <v xml:space="preserve"> </v>
      </c>
      <c r="S23" s="263" t="str">
        <f>IF(AND(A23&lt;&gt;" ",Sheet1!D$192=1,Sheet1!D$193=1),ROUND(R23*G23,Sheet1!D$75)," ")</f>
        <v xml:space="preserve"> </v>
      </c>
      <c r="T23" s="263" t="str">
        <f>IF(AND(A23&lt;&gt;" ",Sheet1!D$192=1,Sheet1!D$193=1),ROUND((R23/I23)*J23,Sheet1!D$75)," ")</f>
        <v xml:space="preserve"> </v>
      </c>
      <c r="U23" s="265">
        <f>SUM(T$11:T23)</f>
        <v>0</v>
      </c>
      <c r="V23" s="254" t="str">
        <f t="shared" si="0"/>
        <v xml:space="preserve"> </v>
      </c>
      <c r="W23" s="268">
        <f t="shared" si="1"/>
        <v>13</v>
      </c>
      <c r="X23" s="171" t="str">
        <f t="shared" si="2"/>
        <v xml:space="preserve"> </v>
      </c>
      <c r="Y23" s="296"/>
      <c r="Z23" s="270"/>
      <c r="AA23" s="265">
        <f>SUM(K$11:K23)</f>
        <v>0</v>
      </c>
      <c r="AB23" s="271" t="str">
        <f>IF(OR(Sheet1!D$192=1,Sheet1!D$193=1),IF(OR((AB22&gt;=(Sheet1!D$148+$A$11)-1),AND(Sheet1!D$8=3,AB22&gt;=6))," ",AB22+1),NA())</f>
        <v xml:space="preserve"> </v>
      </c>
      <c r="AC23" s="271" t="str">
        <f>IF(OR(Sheet1!D$192=1,Sheet1!D$193=1),IF(OR((AC22&gt;=(Sheet1!D$148+$B$11)-1),AND(Sheet1!D$8=3,AB22&gt;=6))," ",AC22+1),NA())</f>
        <v xml:space="preserve"> </v>
      </c>
      <c r="AD23" s="262"/>
      <c r="AE23" s="263" t="str">
        <f>IF(AND(Sheet1!D$193=1,AB23&lt;&gt;" "),ROUND(VLOOKUP(AB23,AlternativeA!A$17:M$66,12),Sheet1!D$75),IF(Sheet1!D$193=1," ","Alt  'A'  not feasible"))</f>
        <v>Alt  'A'  not feasible</v>
      </c>
      <c r="AF23" s="264" t="str">
        <f>IF(AB23&lt;=Sheet1!D$148, (1/((1+$AF$10)^(AB23-0.5)))," ")</f>
        <v xml:space="preserve"> </v>
      </c>
      <c r="AG23" s="263" t="str">
        <f>IF(AND(Sheet1!D$193=1,AB23&lt;&gt;" "),ROUND(+AE23*AF23,Sheet1!D$75)," ")</f>
        <v xml:space="preserve"> </v>
      </c>
      <c r="AH23" s="264" t="str">
        <f>IF(AB23&lt;&gt;" ",ROUND(VLOOKUP(Sheet1!E$82,CHOOSE(Sheet1!D$212,Inflate1,Inflate2,Inflate3,Inflate4,Inflate5,Inflate6,Inflate7,Inflate8),2),4)," ")</f>
        <v xml:space="preserve"> </v>
      </c>
      <c r="AI23" s="264" t="str">
        <f>IF(AB23&lt;&gt;" ",ROUND(VLOOKUP(AC23,CHOOSE(Sheet1!D$212,Inflate1,Inflate2,Inflate3,Inflate4,Inflate5,Inflate6,Inflate7,Inflate8),3),4)," ")</f>
        <v xml:space="preserve"> </v>
      </c>
      <c r="AJ23" s="263" t="b">
        <f>IF(AND(Sheet1!D$193=1,AB23&lt;&gt;" "),IF(AND(O23&lt;=10,OR(Sheet1!D$8=2,Sheet1!D$8=3,Sheet1!D$22=3)),ROUND((AE23/AH23)*AI23,Sheet1!D$75),IF(AND(Sheet1!D$8&lt;&gt;2,Sheet1!D$8&lt;&gt;3,Sheet1!D$22&lt;&gt;3),ROUND((AE23/AH23)*AI23,Sheet1!D$75)," ")))</f>
        <v>0</v>
      </c>
    </row>
    <row r="24" spans="1:36" ht="12" customHeight="1" x14ac:dyDescent="0.2">
      <c r="A24" s="271" t="str">
        <f>IF(OR(Sheet1!D$192=1,Sheet1!D$193=1),IF(OR((A23&gt;=(Sheet1!D$148+$A$11)-1),AND(Sheet1!D$8=3,A23&gt;=6))," ",A23+1),NA())</f>
        <v xml:space="preserve"> </v>
      </c>
      <c r="B24" s="271" t="str">
        <f>IF(OR(Sheet1!D$192=1,Sheet1!D$193=1),IF(OR((B23&gt;=(Sheet1!D$148+$B$11)-1),AND(Sheet1!D$8=3,A23&gt;=6))," ",B23+1),NA())</f>
        <v xml:space="preserve"> </v>
      </c>
      <c r="C24" s="262"/>
      <c r="D24" s="263" t="str">
        <f>IF(AND(Sheet1!D$192=1,A24&lt;&gt;" "),ROUND(VLOOKUP(A24,StatusQuo!A$19:M$68,12),Sheet1!D$75),IF(Sheet1!D$192=1," ","SQ not feasible "))</f>
        <v xml:space="preserve"> </v>
      </c>
      <c r="E24" s="263" t="str">
        <f>IF(AND(Sheet1!D$193=1,A24&lt;&gt;" "),ROUND(VLOOKUP(A24,AlternativeA!A$110:M$159,12),Sheet1!D$75),IF(Sheet1!D$193=1," ","Alt  'A'  not feasible"))</f>
        <v>Alt  'A'  not feasible</v>
      </c>
      <c r="F24" s="263" t="str">
        <f>IF(AND(A24&lt;&gt;" ",Sheet1!D$192=1,Sheet1!D$193=1),D24-E24,IF(AND(Sheet1!D$193=1,A24&lt;&gt;" ")," "," "))</f>
        <v xml:space="preserve"> </v>
      </c>
      <c r="G24" s="264" t="str">
        <f>IF(A24&lt;=Sheet1!D$148, (1/((1+G10)^(A24-0.5)))," ")</f>
        <v xml:space="preserve"> </v>
      </c>
      <c r="H24" s="263" t="str">
        <f>IF(AND(A24&lt;&gt;" ",Sheet1!D$192=1,Sheet1!D$193=1),ROUND(F24*G24,Sheet1!D$75),IF(AND(A24&lt;&gt;" ",Sheet1!D$193=1),ROUND(E24*G24,Sheet1!D$75)," "))</f>
        <v xml:space="preserve"> </v>
      </c>
      <c r="I24" s="264" t="str">
        <f>IF(A24&lt;&gt;" ",ROUND(VLOOKUP(Sheet1!E$82,CHOOSE(Sheet1!D$232,Inflate7,Inflate2,Inflate3,Inflate4,Inflate5,Inflate6,Inflate1,Inflate8),2),4)," ")</f>
        <v xml:space="preserve"> </v>
      </c>
      <c r="J24" s="264" t="str">
        <f>IF(A24&lt;&gt;" ",ROUND(VLOOKUP(B24,CHOOSE(Sheet1!D$232,Inflate7,Inflate2,Inflate3,Inflate4,Inflate5,Inflate6,Inflate1,Inflate8),3),4)," ")</f>
        <v xml:space="preserve"> </v>
      </c>
      <c r="K24" s="265" t="str">
        <f>IF(AND(A24&lt;&gt;" ",Sheet1!D$192=1,Sheet1!D$193=1),ROUND((F24/I24)*J24,Sheet1!D$75),IF(AND(A24&lt;&gt;" ",Sheet1!D$193=1),ROUND((E24/I24)*J24,Sheet1!D$75)," "))</f>
        <v xml:space="preserve"> </v>
      </c>
      <c r="L24" s="254" t="str">
        <f>IF(Sheet1!D$192=1,IF(AND(AA24&gt;AJ$61,AA23&lt;=AJ$61),"&lt;-Payback"," ")," ")</f>
        <v xml:space="preserve"> </v>
      </c>
      <c r="M24" s="271" t="str">
        <f>IF(OR(Sheet1!D$192=1,Sheet1!D$193=1),IF(OR((A23&gt;=(Sheet1!D$148+$A$11)-1),AND(Sheet1!D$8=3,A23&gt;=6))," ",A23+1),NA())</f>
        <v xml:space="preserve"> </v>
      </c>
      <c r="N24" s="271" t="str">
        <f>IF(OR(Sheet1!D$192=1,Sheet1!D$193=1),IF(OR((B23&gt;=(Sheet1!D$148+$B$11)-1),AND(Sheet1!D$8=3,A23&gt;=6))," ",B23+1),NA())</f>
        <v xml:space="preserve"> </v>
      </c>
      <c r="O24" s="266" t="e">
        <f>IF(OR(Sheet1!D$192=1,Sheet1!D$193=1),IF(NOT(Sheet1!D$192=1),0,IF(ROUND(VLOOKUP(A24,StatusQuo!A$19:M$68,13),Sheet1!D$75)-ROUND(VLOOKUP(A24,AlternativeA!A$110:M$159,13),Sheet1!D$75)&gt;0,1,0))," ")</f>
        <v>#VALUE!</v>
      </c>
      <c r="P24" s="263" t="str">
        <f>IF(AND(A24&lt;&gt;" ",Sheet1!D$192=1,Sheet1!D$193=1),IF(AND(OR(Sheet1!D$8=2,Sheet1!D$22=3),O24&gt;10),0,ROUND(VLOOKUP(A24,StatusQuo!A$19:M$68,13),Sheet1!D$75)),IF(NOT(Sheet1!D$192=1),"not feasible",IF(A24=" "," ", "Savings is  n/a=&gt;")))</f>
        <v xml:space="preserve"> </v>
      </c>
      <c r="Q24" s="263" t="str">
        <f>IF(AND(A24&lt;&gt;" ",Sheet1!D$192=1,Sheet1!D$193=1),IF(AND(OR(Sheet1!D$8=2,Sheet1!D$22=3),O24&gt;10),0,ROUND(VLOOKUP(A24,AlternativeA!A$110:M$159,13),Sheet1!D$75)),IF(NOT(Sheet1!D$193=1),"not feasible",IF(A24=" "," ","&lt;== Savings is n/a")))</f>
        <v>not feasible</v>
      </c>
      <c r="R24" s="263" t="str">
        <f>IF(AND(A24&lt;&gt;" ",Sheet1!D$192=1,Sheet1!D$193=1),IF(G$81&lt;&gt;" ","??????? ",P24-Q24)," ")</f>
        <v xml:space="preserve"> </v>
      </c>
      <c r="S24" s="263" t="str">
        <f>IF(AND(A24&lt;&gt;" ",Sheet1!D$192=1,Sheet1!D$193=1),ROUND(R24*G24,Sheet1!D$75)," ")</f>
        <v xml:space="preserve"> </v>
      </c>
      <c r="T24" s="263" t="str">
        <f>IF(AND(A24&lt;&gt;" ",Sheet1!D$192=1,Sheet1!D$193=1),ROUND((R24/I24)*J24,Sheet1!D$75)," ")</f>
        <v xml:space="preserve"> </v>
      </c>
      <c r="U24" s="265">
        <f>SUM(T$11:T24)</f>
        <v>0</v>
      </c>
      <c r="V24" s="254" t="str">
        <f t="shared" si="0"/>
        <v xml:space="preserve"> </v>
      </c>
      <c r="W24" s="268">
        <f t="shared" si="1"/>
        <v>14</v>
      </c>
      <c r="X24" s="171" t="str">
        <f t="shared" si="2"/>
        <v xml:space="preserve"> </v>
      </c>
      <c r="Y24" s="296"/>
      <c r="Z24" s="270"/>
      <c r="AA24" s="265">
        <f>SUM(K$11:K24)</f>
        <v>0</v>
      </c>
      <c r="AB24" s="271" t="str">
        <f>IF(OR(Sheet1!D$192=1,Sheet1!D$193=1),IF(OR((AB23&gt;=(Sheet1!D$148+$A$11)-1),AND(Sheet1!D$8=3,AB23&gt;=6))," ",AB23+1),NA())</f>
        <v xml:space="preserve"> </v>
      </c>
      <c r="AC24" s="271" t="str">
        <f>IF(OR(Sheet1!D$192=1,Sheet1!D$193=1),IF(OR((AC23&gt;=(Sheet1!D$148+$B$11)-1),AND(Sheet1!D$8=3,AB23&gt;=6))," ",AC23+1),NA())</f>
        <v xml:space="preserve"> </v>
      </c>
      <c r="AD24" s="262"/>
      <c r="AE24" s="263" t="str">
        <f>IF(AND(Sheet1!D$193=1,AB24&lt;&gt;" "),ROUND(VLOOKUP(AB24,AlternativeA!A$17:M$66,12),Sheet1!D$75),IF(Sheet1!D$193=1," ","Alt  'A'  not feasible"))</f>
        <v>Alt  'A'  not feasible</v>
      </c>
      <c r="AF24" s="264" t="str">
        <f>IF(AB24&lt;=Sheet1!D$148, (1/((1+$AF$10)^(AB24-0.5)))," ")</f>
        <v xml:space="preserve"> </v>
      </c>
      <c r="AG24" s="263" t="str">
        <f>IF(AND(Sheet1!D$193=1,AB24&lt;&gt;" "),ROUND(+AE24*AF24,Sheet1!D$75)," ")</f>
        <v xml:space="preserve"> </v>
      </c>
      <c r="AH24" s="264" t="str">
        <f>IF(AB24&lt;&gt;" ",ROUND(VLOOKUP(Sheet1!E$82,CHOOSE(Sheet1!D$212,Inflate1,Inflate2,Inflate3,Inflate4,Inflate5,Inflate6,Inflate7,Inflate8),2),4)," ")</f>
        <v xml:space="preserve"> </v>
      </c>
      <c r="AI24" s="264" t="str">
        <f>IF(AB24&lt;&gt;" ",ROUND(VLOOKUP(AC24,CHOOSE(Sheet1!D$212,Inflate1,Inflate2,Inflate3,Inflate4,Inflate5,Inflate6,Inflate7,Inflate8),3),4)," ")</f>
        <v xml:space="preserve"> </v>
      </c>
      <c r="AJ24" s="263" t="b">
        <f>IF(AND(Sheet1!D$193=1,AB24&lt;&gt;" "),IF(AND(O24&lt;=10,OR(Sheet1!D$8=2,Sheet1!D$8=3,Sheet1!D$22=3)),ROUND((AE24/AH24)*AI24,Sheet1!D$75),IF(AND(Sheet1!D$8&lt;&gt;2,Sheet1!D$8&lt;&gt;3,Sheet1!D$22&lt;&gt;3),ROUND((AE24/AH24)*AI24,Sheet1!D$75)," ")))</f>
        <v>0</v>
      </c>
    </row>
    <row r="25" spans="1:36" ht="12" customHeight="1" x14ac:dyDescent="0.2">
      <c r="A25" s="271" t="str">
        <f>IF(OR(Sheet1!D$192=1,Sheet1!D$193=1),IF(OR((A24&gt;=(Sheet1!D$148+$A$11)-1),AND(Sheet1!D$8=3,A24&gt;=6))," ",A24+1),NA())</f>
        <v xml:space="preserve"> </v>
      </c>
      <c r="B25" s="271" t="str">
        <f>IF(OR(Sheet1!D$192=1,Sheet1!D$193=1),IF(OR((B24&gt;=(Sheet1!D$148+$B$11)-1),AND(Sheet1!D$8=3,A24&gt;=6))," ",B24+1),NA())</f>
        <v xml:space="preserve"> </v>
      </c>
      <c r="C25" s="262"/>
      <c r="D25" s="263" t="str">
        <f>IF(AND(Sheet1!D$192=1,A25&lt;&gt;" "),ROUND(VLOOKUP(A25,StatusQuo!A$19:M$68,12),Sheet1!D$75),IF(Sheet1!D$192=1," ","SQ not feasible "))</f>
        <v xml:space="preserve"> </v>
      </c>
      <c r="E25" s="263" t="str">
        <f>IF(AND(Sheet1!D$193=1,A25&lt;&gt;" "),ROUND(VLOOKUP(A25,AlternativeA!A$110:M$159,12),Sheet1!D$75),IF(Sheet1!D$193=1," ","Alt  'A'  not feasible"))</f>
        <v>Alt  'A'  not feasible</v>
      </c>
      <c r="F25" s="263" t="str">
        <f>IF(AND(A25&lt;&gt;" ",Sheet1!D$192=1,Sheet1!D$193=1),D25-E25,IF(AND(Sheet1!D$193=1,A25&lt;&gt;" ")," "," "))</f>
        <v xml:space="preserve"> </v>
      </c>
      <c r="G25" s="264" t="str">
        <f>IF(A25&lt;=Sheet1!D$148, (1/((1+G10)^(A25-0.5)))," ")</f>
        <v xml:space="preserve"> </v>
      </c>
      <c r="H25" s="263" t="str">
        <f>IF(AND(A25&lt;&gt;" ",Sheet1!D$192=1,Sheet1!D$193=1),ROUND(F25*G25,Sheet1!D$75),IF(AND(A25&lt;&gt;" ",Sheet1!D$193=1),ROUND(E25*G25,Sheet1!D$75)," "))</f>
        <v xml:space="preserve"> </v>
      </c>
      <c r="I25" s="264" t="str">
        <f>IF(A25&lt;&gt;" ",ROUND(VLOOKUP(Sheet1!E$82,CHOOSE(Sheet1!D$232,Inflate7,Inflate2,Inflate3,Inflate4,Inflate5,Inflate6,Inflate1,Inflate8),2),4)," ")</f>
        <v xml:space="preserve"> </v>
      </c>
      <c r="J25" s="264" t="str">
        <f>IF(A25&lt;&gt;" ",ROUND(VLOOKUP(B25,CHOOSE(Sheet1!D$232,Inflate7,Inflate2,Inflate3,Inflate4,Inflate5,Inflate6,Inflate1,Inflate8),3),4)," ")</f>
        <v xml:space="preserve"> </v>
      </c>
      <c r="K25" s="265" t="str">
        <f>IF(AND(A25&lt;&gt;" ",Sheet1!D$192=1,Sheet1!D$193=1),ROUND((F25/I25)*J25,Sheet1!D$75),IF(AND(A25&lt;&gt;" ",Sheet1!D$193=1),ROUND((E25/I25)*J25,Sheet1!D$75)," "))</f>
        <v xml:space="preserve"> </v>
      </c>
      <c r="L25" s="254" t="str">
        <f>IF(Sheet1!D$192=1,IF(AND(AA25&gt;AJ$61,AA24&lt;=AJ$61),"&lt;-Payback"," ")," ")</f>
        <v xml:space="preserve"> </v>
      </c>
      <c r="M25" s="271" t="str">
        <f>IF(OR(Sheet1!D$192=1,Sheet1!D$193=1),IF(OR((A24&gt;=(Sheet1!D$148+$A$11)-1),AND(Sheet1!D$8=3,A24&gt;=6))," ",A24+1),NA())</f>
        <v xml:space="preserve"> </v>
      </c>
      <c r="N25" s="271" t="str">
        <f>IF(OR(Sheet1!D$192=1,Sheet1!D$193=1),IF(OR((B24&gt;=(Sheet1!D$148+$B$11)-1),AND(Sheet1!D$8=3,A24&gt;=6))," ",B24+1),NA())</f>
        <v xml:space="preserve"> </v>
      </c>
      <c r="O25" s="266" t="e">
        <f>IF(OR(Sheet1!D$192=1,Sheet1!D$193=1),IF(NOT(Sheet1!D$192=1),0,IF(ROUND(VLOOKUP(A25,StatusQuo!A$19:M$68,13),Sheet1!D$75)-ROUND(VLOOKUP(A25,AlternativeA!A$110:M$159,13),Sheet1!D$75)&gt;0,1,0))," ")</f>
        <v>#VALUE!</v>
      </c>
      <c r="P25" s="263" t="str">
        <f>IF(AND(A25&lt;&gt;" ",Sheet1!D$192=1,Sheet1!D$193=1),IF(AND(OR(Sheet1!D$8=2,Sheet1!D$22=3),O25&gt;10),0,ROUND(VLOOKUP(A25,StatusQuo!A$19:M$68,13),Sheet1!D$75)),IF(NOT(Sheet1!D$192=1),"not feasible",IF(A25=" "," ", "Savings is  n/a=&gt;")))</f>
        <v xml:space="preserve"> </v>
      </c>
      <c r="Q25" s="263" t="str">
        <f>IF(AND(A25&lt;&gt;" ",Sheet1!D$192=1,Sheet1!D$193=1),IF(AND(OR(Sheet1!D$8=2,Sheet1!D$22=3),O25&gt;10),0,ROUND(VLOOKUP(A25,AlternativeA!A$110:M$159,13),Sheet1!D$75)),IF(NOT(Sheet1!D$193=1),"not feasible",IF(A25=" "," ","&lt;== Savings is n/a")))</f>
        <v>not feasible</v>
      </c>
      <c r="R25" s="263" t="str">
        <f>IF(AND(A25&lt;&gt;" ",Sheet1!D$192=1,Sheet1!D$193=1),IF(G$81&lt;&gt;" ","??????? ",P25-Q25)," ")</f>
        <v xml:space="preserve"> </v>
      </c>
      <c r="S25" s="263" t="str">
        <f>IF(AND(A25&lt;&gt;" ",Sheet1!D$192=1,Sheet1!D$193=1),ROUND(R25*G25,Sheet1!D$75)," ")</f>
        <v xml:space="preserve"> </v>
      </c>
      <c r="T25" s="263" t="str">
        <f>IF(AND(A25&lt;&gt;" ",Sheet1!D$192=1,Sheet1!D$193=1),ROUND((R25/I25)*J25,Sheet1!D$75)," ")</f>
        <v xml:space="preserve"> </v>
      </c>
      <c r="U25" s="265">
        <f>SUM(T$11:T25)</f>
        <v>0</v>
      </c>
      <c r="V25" s="254" t="str">
        <f t="shared" si="0"/>
        <v xml:space="preserve"> </v>
      </c>
      <c r="W25" s="268">
        <f t="shared" si="1"/>
        <v>15</v>
      </c>
      <c r="X25" s="171" t="str">
        <f t="shared" si="2"/>
        <v xml:space="preserve"> </v>
      </c>
      <c r="Y25" s="296"/>
      <c r="Z25" s="270"/>
      <c r="AA25" s="265">
        <f>SUM(K$11:K25)</f>
        <v>0</v>
      </c>
      <c r="AB25" s="271" t="str">
        <f>IF(OR(Sheet1!D$192=1,Sheet1!D$193=1),IF(OR((AB24&gt;=(Sheet1!D$148+$A$11)-1),AND(Sheet1!D$8=3,AB24&gt;=6))," ",AB24+1),NA())</f>
        <v xml:space="preserve"> </v>
      </c>
      <c r="AC25" s="271" t="str">
        <f>IF(OR(Sheet1!D$192=1,Sheet1!D$193=1),IF(OR((AC24&gt;=(Sheet1!D$148+$B$11)-1),AND(Sheet1!D$8=3,AB24&gt;=6))," ",AC24+1),NA())</f>
        <v xml:space="preserve"> </v>
      </c>
      <c r="AD25" s="262"/>
      <c r="AE25" s="263" t="str">
        <f>IF(AND(Sheet1!D$193=1,AB25&lt;&gt;" "),ROUND(VLOOKUP(AB25,AlternativeA!A$17:M$66,12),Sheet1!D$75),IF(Sheet1!D$193=1," ","Alt  'A'  not feasible"))</f>
        <v>Alt  'A'  not feasible</v>
      </c>
      <c r="AF25" s="264" t="str">
        <f>IF(AB25&lt;=Sheet1!D$148, (1/((1+$AF$10)^(AB25-0.5)))," ")</f>
        <v xml:space="preserve"> </v>
      </c>
      <c r="AG25" s="263" t="str">
        <f>IF(AND(Sheet1!D$193=1,AB25&lt;&gt;" "),ROUND(+AE25*AF25,Sheet1!D$75)," ")</f>
        <v xml:space="preserve"> </v>
      </c>
      <c r="AH25" s="264" t="str">
        <f>IF(AB25&lt;&gt;" ",ROUND(VLOOKUP(Sheet1!E$82,CHOOSE(Sheet1!D$212,Inflate1,Inflate2,Inflate3,Inflate4,Inflate5,Inflate6,Inflate7,Inflate8),2),4)," ")</f>
        <v xml:space="preserve"> </v>
      </c>
      <c r="AI25" s="264" t="str">
        <f>IF(AB25&lt;&gt;" ",ROUND(VLOOKUP(AC25,CHOOSE(Sheet1!D$212,Inflate1,Inflate2,Inflate3,Inflate4,Inflate5,Inflate6,Inflate7,Inflate8),3),4)," ")</f>
        <v xml:space="preserve"> </v>
      </c>
      <c r="AJ25" s="263" t="b">
        <f>IF(AND(Sheet1!D$193=1,AB25&lt;&gt;" "),IF(AND(O25&lt;=10,OR(Sheet1!D$8=2,Sheet1!D$8=3,Sheet1!D$22=3)),ROUND((AE25/AH25)*AI25,Sheet1!D$75),IF(AND(Sheet1!D$8&lt;&gt;2,Sheet1!D$8&lt;&gt;3,Sheet1!D$22&lt;&gt;3),ROUND((AE25/AH25)*AI25,Sheet1!D$75)," ")))</f>
        <v>0</v>
      </c>
    </row>
    <row r="26" spans="1:36" ht="12" customHeight="1" x14ac:dyDescent="0.2">
      <c r="A26" s="271" t="str">
        <f>IF(OR(Sheet1!D$192=1,Sheet1!D$193=1),IF(OR((A25&gt;=(Sheet1!D$148+$A$11)-1),AND(Sheet1!D$8=3,A25&gt;=6))," ",A25+1),NA())</f>
        <v xml:space="preserve"> </v>
      </c>
      <c r="B26" s="271" t="str">
        <f>IF(OR(Sheet1!D$192=1,Sheet1!D$193=1),IF(OR((B25&gt;=(Sheet1!D$148+$B$11)-1),AND(Sheet1!D$8=3,A25&gt;=6))," ",B25+1),NA())</f>
        <v xml:space="preserve"> </v>
      </c>
      <c r="C26" s="262"/>
      <c r="D26" s="263" t="str">
        <f>IF(AND(Sheet1!D$192=1,A26&lt;&gt;" "),ROUND(VLOOKUP(A26,StatusQuo!A$19:M$68,12),Sheet1!D$75),IF(Sheet1!D$192=1," ","SQ not feasible "))</f>
        <v xml:space="preserve"> </v>
      </c>
      <c r="E26" s="263" t="str">
        <f>IF(AND(Sheet1!D$193=1,A26&lt;&gt;" "),ROUND(VLOOKUP(A26,AlternativeA!A$110:M$159,12),Sheet1!D$75),IF(Sheet1!D$193=1," ","Alt  'A'  not feasible"))</f>
        <v>Alt  'A'  not feasible</v>
      </c>
      <c r="F26" s="263" t="str">
        <f>IF(AND(A26&lt;&gt;" ",Sheet1!D$192=1,Sheet1!D$193=1),D26-E26,IF(AND(Sheet1!D$193=1,A26&lt;&gt;" ")," "," "))</f>
        <v xml:space="preserve"> </v>
      </c>
      <c r="G26" s="264" t="str">
        <f>IF(A26&lt;=Sheet1!D$148, (1/((1+G10)^(A26-0.5)))," ")</f>
        <v xml:space="preserve"> </v>
      </c>
      <c r="H26" s="263" t="str">
        <f>IF(AND(A26&lt;&gt;" ",Sheet1!D$192=1,Sheet1!D$193=1),ROUND(F26*G26,Sheet1!D$75),IF(AND(A26&lt;&gt;" ",Sheet1!D$193=1),ROUND(E26*G26,Sheet1!D$75)," "))</f>
        <v xml:space="preserve"> </v>
      </c>
      <c r="I26" s="264" t="str">
        <f>IF(A26&lt;&gt;" ",ROUND(VLOOKUP(Sheet1!E$82,CHOOSE(Sheet1!D$232,Inflate7,Inflate2,Inflate3,Inflate4,Inflate5,Inflate6,Inflate1,Inflate8),2),4)," ")</f>
        <v xml:space="preserve"> </v>
      </c>
      <c r="J26" s="264" t="str">
        <f>IF(A26&lt;&gt;" ",ROUND(VLOOKUP(B26,CHOOSE(Sheet1!D$232,Inflate7,Inflate2,Inflate3,Inflate4,Inflate5,Inflate6,Inflate1,Inflate8),3),4)," ")</f>
        <v xml:space="preserve"> </v>
      </c>
      <c r="K26" s="265" t="str">
        <f>IF(AND(A26&lt;&gt;" ",Sheet1!D$192=1,Sheet1!D$193=1),ROUND((F26/I26)*J26,Sheet1!D$75),IF(AND(A26&lt;&gt;" ",Sheet1!D$193=1),ROUND((E26/I26)*J26,Sheet1!D$75)," "))</f>
        <v xml:space="preserve"> </v>
      </c>
      <c r="L26" s="254" t="str">
        <f>IF(Sheet1!D$192=1,IF(AND(AA26&gt;AJ$61,AA25&lt;=AJ$61),"&lt;-Payback"," ")," ")</f>
        <v xml:space="preserve"> </v>
      </c>
      <c r="M26" s="271" t="str">
        <f>IF(OR(Sheet1!D$192=1,Sheet1!D$193=1),IF(OR((A25&gt;=(Sheet1!D$148+$A$11)-1),AND(Sheet1!D$8=3,A25&gt;=6))," ",A25+1),NA())</f>
        <v xml:space="preserve"> </v>
      </c>
      <c r="N26" s="271" t="str">
        <f>IF(OR(Sheet1!D$192=1,Sheet1!D$193=1),IF(OR((B25&gt;=(Sheet1!D$148+$B$11)-1),AND(Sheet1!D$8=3,A25&gt;=6))," ",B25+1),NA())</f>
        <v xml:space="preserve"> </v>
      </c>
      <c r="O26" s="266" t="e">
        <f>IF(OR(Sheet1!D$192=1,Sheet1!D$193=1),IF(NOT(Sheet1!D$192=1),0,IF(ROUND(VLOOKUP(A26,StatusQuo!A$19:M$68,13),Sheet1!D$75)-ROUND(VLOOKUP(A26,AlternativeA!A$110:M$159,13),Sheet1!D$75)&gt;0,1,0))," ")</f>
        <v>#VALUE!</v>
      </c>
      <c r="P26" s="263" t="str">
        <f>IF(AND(A26&lt;&gt;" ",Sheet1!D$192=1,Sheet1!D$193=1),IF(AND(OR(Sheet1!D$8=2,Sheet1!D$22=3),O26&gt;10),0,ROUND(VLOOKUP(A26,StatusQuo!A$19:M$68,13),Sheet1!D$75)),IF(NOT(Sheet1!D$192=1),"not feasible",IF(A26=" "," ", "Savings is  n/a=&gt;")))</f>
        <v xml:space="preserve"> </v>
      </c>
      <c r="Q26" s="263" t="str">
        <f>IF(AND(A26&lt;&gt;" ",Sheet1!D$192=1,Sheet1!D$193=1),IF(AND(OR(Sheet1!D$8=2,Sheet1!D$22=3),O26&gt;10),0,ROUND(VLOOKUP(A26,AlternativeA!A$110:M$159,13),Sheet1!D$75)),IF(NOT(Sheet1!D$193=1),"not feasible",IF(A26=" "," ","&lt;== Savings is n/a")))</f>
        <v>not feasible</v>
      </c>
      <c r="R26" s="263" t="str">
        <f>IF(AND(A26&lt;&gt;" ",Sheet1!D$192=1,Sheet1!D$193=1),IF(G$81&lt;&gt;" ","??????? ",P26-Q26)," ")</f>
        <v xml:space="preserve"> </v>
      </c>
      <c r="S26" s="263" t="str">
        <f>IF(AND(A26&lt;&gt;" ",Sheet1!D$192=1,Sheet1!D$193=1),ROUND(R26*G26,Sheet1!D$75)," ")</f>
        <v xml:space="preserve"> </v>
      </c>
      <c r="T26" s="263" t="str">
        <f>IF(AND(A26&lt;&gt;" ",Sheet1!D$192=1,Sheet1!D$193=1),ROUND((R26/I26)*J26,Sheet1!D$75)," ")</f>
        <v xml:space="preserve"> </v>
      </c>
      <c r="U26" s="265">
        <f>SUM(T$11:T26)</f>
        <v>0</v>
      </c>
      <c r="V26" s="254" t="str">
        <f t="shared" si="0"/>
        <v xml:space="preserve"> </v>
      </c>
      <c r="W26" s="268">
        <f t="shared" si="1"/>
        <v>16</v>
      </c>
      <c r="X26" s="171" t="str">
        <f t="shared" si="2"/>
        <v xml:space="preserve"> </v>
      </c>
      <c r="Y26" s="296"/>
      <c r="Z26" s="270"/>
      <c r="AA26" s="265">
        <f>SUM(K$11:K26)</f>
        <v>0</v>
      </c>
      <c r="AB26" s="271" t="str">
        <f>IF(OR(Sheet1!D$192=1,Sheet1!D$193=1),IF(OR((AB25&gt;=(Sheet1!D$148+$A$11)-1),AND(Sheet1!D$8=3,AB25&gt;=6))," ",AB25+1),NA())</f>
        <v xml:space="preserve"> </v>
      </c>
      <c r="AC26" s="271" t="str">
        <f>IF(OR(Sheet1!D$192=1,Sheet1!D$193=1),IF(OR((AC25&gt;=(Sheet1!D$148+$B$11)-1),AND(Sheet1!D$8=3,AB25&gt;=6))," ",AC25+1),NA())</f>
        <v xml:space="preserve"> </v>
      </c>
      <c r="AD26" s="262"/>
      <c r="AE26" s="263" t="str">
        <f>IF(AND(Sheet1!D$193=1,AB26&lt;&gt;" "),ROUND(VLOOKUP(AB26,AlternativeA!A$17:M$66,12),Sheet1!D$75),IF(Sheet1!D$193=1," ","Alt  'A'  not feasible"))</f>
        <v>Alt  'A'  not feasible</v>
      </c>
      <c r="AF26" s="264" t="str">
        <f>IF(AB26&lt;=Sheet1!D$148, (1/((1+$AF$10)^(AB26-0.5)))," ")</f>
        <v xml:space="preserve"> </v>
      </c>
      <c r="AG26" s="263" t="str">
        <f>IF(AND(Sheet1!D$193=1,AB26&lt;&gt;" "),ROUND(+AE26*AF26,Sheet1!D$75)," ")</f>
        <v xml:space="preserve"> </v>
      </c>
      <c r="AH26" s="264" t="str">
        <f>IF(AB26&lt;&gt;" ",ROUND(VLOOKUP(Sheet1!E$82,CHOOSE(Sheet1!D$212,Inflate1,Inflate2,Inflate3,Inflate4,Inflate5,Inflate6,Inflate7,Inflate8),2),4)," ")</f>
        <v xml:space="preserve"> </v>
      </c>
      <c r="AI26" s="264" t="str">
        <f>IF(AB26&lt;&gt;" ",ROUND(VLOOKUP(AC26,CHOOSE(Sheet1!D$212,Inflate1,Inflate2,Inflate3,Inflate4,Inflate5,Inflate6,Inflate7,Inflate8),3),4)," ")</f>
        <v xml:space="preserve"> </v>
      </c>
      <c r="AJ26" s="263" t="b">
        <f>IF(AND(Sheet1!D$193=1,AB26&lt;&gt;" "),IF(AND(O26&lt;=10,OR(Sheet1!D$8=2,Sheet1!D$8=3,Sheet1!D$22=3)),ROUND((AE26/AH26)*AI26,Sheet1!D$75),IF(AND(Sheet1!D$8&lt;&gt;2,Sheet1!D$8&lt;&gt;3,Sheet1!D$22&lt;&gt;3),ROUND((AE26/AH26)*AI26,Sheet1!D$75)," ")))</f>
        <v>0</v>
      </c>
    </row>
    <row r="27" spans="1:36" ht="12" customHeight="1" x14ac:dyDescent="0.2">
      <c r="A27" s="271" t="str">
        <f>IF(OR(Sheet1!D$192=1,Sheet1!D$193=1),IF(OR((A26&gt;=(Sheet1!D$148+$A$11)-1),AND(Sheet1!D$8=3,A26&gt;=6))," ",A26+1),NA())</f>
        <v xml:space="preserve"> </v>
      </c>
      <c r="B27" s="271" t="str">
        <f>IF(OR(Sheet1!D$192=1,Sheet1!D$193=1),IF(OR((B26&gt;=(Sheet1!D$148+$B$11)-1),AND(Sheet1!D$8=3,A26&gt;=6))," ",B26+1),NA())</f>
        <v xml:space="preserve"> </v>
      </c>
      <c r="C27" s="262"/>
      <c r="D27" s="263" t="str">
        <f>IF(AND(Sheet1!D$192=1,A27&lt;&gt;" "),ROUND(VLOOKUP(A27,StatusQuo!A$19:M$68,12),Sheet1!D$75),IF(Sheet1!D$192=1," ","SQ not feasible "))</f>
        <v xml:space="preserve"> </v>
      </c>
      <c r="E27" s="263" t="str">
        <f>IF(AND(Sheet1!D$193=1,A27&lt;&gt;" "),ROUND(VLOOKUP(A27,AlternativeA!A$110:M$159,12),Sheet1!D$75),IF(Sheet1!D$193=1," ","Alt  'A'  not feasible"))</f>
        <v>Alt  'A'  not feasible</v>
      </c>
      <c r="F27" s="263" t="str">
        <f>IF(AND(A27&lt;&gt;" ",Sheet1!D$192=1,Sheet1!D$193=1),D27-E27,IF(AND(Sheet1!D$193=1,A27&lt;&gt;" ")," "," "))</f>
        <v xml:space="preserve"> </v>
      </c>
      <c r="G27" s="264" t="str">
        <f>IF(A27&lt;=Sheet1!D$148, (1/((1+G10)^(A27-0.5)))," ")</f>
        <v xml:space="preserve"> </v>
      </c>
      <c r="H27" s="263" t="str">
        <f>IF(AND(A27&lt;&gt;" ",Sheet1!D$192=1,Sheet1!D$193=1),ROUND(F27*G27,Sheet1!D$75),IF(AND(A27&lt;&gt;" ",Sheet1!D$193=1),ROUND(E27*G27,Sheet1!D$75)," "))</f>
        <v xml:space="preserve"> </v>
      </c>
      <c r="I27" s="264" t="str">
        <f>IF(A27&lt;&gt;" ",ROUND(VLOOKUP(Sheet1!E$82,CHOOSE(Sheet1!D$232,Inflate7,Inflate2,Inflate3,Inflate4,Inflate5,Inflate6,Inflate1,Inflate8),2),4)," ")</f>
        <v xml:space="preserve"> </v>
      </c>
      <c r="J27" s="264" t="str">
        <f>IF(A27&lt;&gt;" ",ROUND(VLOOKUP(B27,CHOOSE(Sheet1!D$232,Inflate7,Inflate2,Inflate3,Inflate4,Inflate5,Inflate6,Inflate1,Inflate8),3),4)," ")</f>
        <v xml:space="preserve"> </v>
      </c>
      <c r="K27" s="265" t="str">
        <f>IF(AND(A27&lt;&gt;" ",Sheet1!D$192=1,Sheet1!D$193=1),ROUND((F27/I27)*J27,Sheet1!D$75),IF(AND(A27&lt;&gt;" ",Sheet1!D$193=1),ROUND((E27/I27)*J27,Sheet1!D$75)," "))</f>
        <v xml:space="preserve"> </v>
      </c>
      <c r="L27" s="254" t="str">
        <f>IF(Sheet1!D$192=1,IF(AND(AA27&gt;AJ$61,AA26&lt;=AJ$61),"&lt;-Payback"," ")," ")</f>
        <v xml:space="preserve"> </v>
      </c>
      <c r="M27" s="271" t="str">
        <f>IF(OR(Sheet1!D$192=1,Sheet1!D$193=1),IF(OR((A26&gt;=(Sheet1!D$148+$A$11)-1),AND(Sheet1!D$8=3,A26&gt;=6))," ",A26+1),NA())</f>
        <v xml:space="preserve"> </v>
      </c>
      <c r="N27" s="271" t="str">
        <f>IF(OR(Sheet1!D$192=1,Sheet1!D$193=1),IF(OR((B26&gt;=(Sheet1!D$148+$B$11)-1),AND(Sheet1!D$8=3,A26&gt;=6))," ",B26+1),NA())</f>
        <v xml:space="preserve"> </v>
      </c>
      <c r="O27" s="266" t="e">
        <f>IF(OR(Sheet1!D$192=1,Sheet1!D$193=1),IF(NOT(Sheet1!D$192=1),0,IF(ROUND(VLOOKUP(A27,StatusQuo!A$19:M$68,13),Sheet1!D$75)-ROUND(VLOOKUP(A27,AlternativeA!A$110:M$159,13),Sheet1!D$75)&gt;0,1,0))," ")</f>
        <v>#VALUE!</v>
      </c>
      <c r="P27" s="263" t="str">
        <f>IF(AND(A27&lt;&gt;" ",Sheet1!D$192=1,Sheet1!D$193=1),IF(AND(OR(Sheet1!D$8=2,Sheet1!D$22=3),O27&gt;10),0,ROUND(VLOOKUP(A27,StatusQuo!A$19:M$68,13),Sheet1!D$75)),IF(NOT(Sheet1!D$192=1),"not feasible",IF(A27=" "," ", "Savings is  n/a=&gt;")))</f>
        <v xml:space="preserve"> </v>
      </c>
      <c r="Q27" s="263" t="str">
        <f>IF(AND(A27&lt;&gt;" ",Sheet1!D$192=1,Sheet1!D$193=1),IF(AND(OR(Sheet1!D$8=2,Sheet1!D$22=3),O27&gt;10),0,ROUND(VLOOKUP(A27,AlternativeA!A$110:M$159,13),Sheet1!D$75)),IF(NOT(Sheet1!D$193=1),"not feasible",IF(A27=" "," ","&lt;== Savings is n/a")))</f>
        <v>not feasible</v>
      </c>
      <c r="R27" s="263" t="str">
        <f>IF(AND(A27&lt;&gt;" ",Sheet1!D$192=1,Sheet1!D$193=1),IF(G$81&lt;&gt;" ","??????? ",P27-Q27)," ")</f>
        <v xml:space="preserve"> </v>
      </c>
      <c r="S27" s="263" t="str">
        <f>IF(AND(A27&lt;&gt;" ",Sheet1!D$192=1,Sheet1!D$193=1),ROUND(R27*G27,Sheet1!D$75)," ")</f>
        <v xml:space="preserve"> </v>
      </c>
      <c r="T27" s="263" t="str">
        <f>IF(AND(A27&lt;&gt;" ",Sheet1!D$192=1,Sheet1!D$193=1),ROUND((R27/I27)*J27,Sheet1!D$75)," ")</f>
        <v xml:space="preserve"> </v>
      </c>
      <c r="U27" s="265">
        <f>SUM(T$11:T27)</f>
        <v>0</v>
      </c>
      <c r="V27" s="254" t="str">
        <f t="shared" si="0"/>
        <v xml:space="preserve"> </v>
      </c>
      <c r="W27" s="268">
        <f t="shared" si="1"/>
        <v>17</v>
      </c>
      <c r="X27" s="171" t="str">
        <f t="shared" si="2"/>
        <v xml:space="preserve"> </v>
      </c>
      <c r="Y27" s="296"/>
      <c r="Z27" s="270"/>
      <c r="AA27" s="265">
        <f>SUM(K$11:K27)</f>
        <v>0</v>
      </c>
      <c r="AB27" s="271" t="str">
        <f>IF(OR(Sheet1!D$192=1,Sheet1!D$193=1),IF(OR((AB26&gt;=(Sheet1!D$148+$A$11)-1),AND(Sheet1!D$8=3,AB26&gt;=6))," ",AB26+1),NA())</f>
        <v xml:space="preserve"> </v>
      </c>
      <c r="AC27" s="271" t="str">
        <f>IF(OR(Sheet1!D$192=1,Sheet1!D$193=1),IF(OR((AC26&gt;=(Sheet1!D$148+$B$11)-1),AND(Sheet1!D$8=3,AB26&gt;=6))," ",AC26+1),NA())</f>
        <v xml:space="preserve"> </v>
      </c>
      <c r="AD27" s="262"/>
      <c r="AE27" s="263" t="str">
        <f>IF(AND(Sheet1!D$193=1,AB27&lt;&gt;" "),ROUND(VLOOKUP(AB27,AlternativeA!A$17:M$66,12),Sheet1!D$75),IF(Sheet1!D$193=1," ","Alt  'A'  not feasible"))</f>
        <v>Alt  'A'  not feasible</v>
      </c>
      <c r="AF27" s="264" t="str">
        <f>IF(AB27&lt;=Sheet1!D$148, (1/((1+$AF$10)^(AB27-0.5)))," ")</f>
        <v xml:space="preserve"> </v>
      </c>
      <c r="AG27" s="263" t="str">
        <f>IF(AND(Sheet1!D$193=1,AB27&lt;&gt;" "),ROUND(+AE27*AF27,Sheet1!D$75)," ")</f>
        <v xml:space="preserve"> </v>
      </c>
      <c r="AH27" s="264" t="str">
        <f>IF(AB27&lt;&gt;" ",ROUND(VLOOKUP(Sheet1!E$82,CHOOSE(Sheet1!D$212,Inflate1,Inflate2,Inflate3,Inflate4,Inflate5,Inflate6,Inflate7,Inflate8),2),4)," ")</f>
        <v xml:space="preserve"> </v>
      </c>
      <c r="AI27" s="264" t="str">
        <f>IF(AB27&lt;&gt;" ",ROUND(VLOOKUP(AC27,CHOOSE(Sheet1!D$212,Inflate1,Inflate2,Inflate3,Inflate4,Inflate5,Inflate6,Inflate7,Inflate8),3),4)," ")</f>
        <v xml:space="preserve"> </v>
      </c>
      <c r="AJ27" s="263" t="b">
        <f>IF(AND(Sheet1!D$193=1,AB27&lt;&gt;" "),IF(AND(O27&lt;=10,OR(Sheet1!D$8=2,Sheet1!D$8=3,Sheet1!D$22=3)),ROUND((AE27/AH27)*AI27,Sheet1!D$75),IF(AND(Sheet1!D$8&lt;&gt;2,Sheet1!D$8&lt;&gt;3,Sheet1!D$22&lt;&gt;3),ROUND((AE27/AH27)*AI27,Sheet1!D$75)," ")))</f>
        <v>0</v>
      </c>
    </row>
    <row r="28" spans="1:36" ht="12" customHeight="1" x14ac:dyDescent="0.2">
      <c r="A28" s="271" t="str">
        <f>IF(OR(Sheet1!D$192=1,Sheet1!D$193=1),IF(OR((A27&gt;=(Sheet1!D$148+$A$11)-1),AND(Sheet1!D$8=3,A27&gt;=6))," ",A27+1),NA())</f>
        <v xml:space="preserve"> </v>
      </c>
      <c r="B28" s="271" t="str">
        <f>IF(OR(Sheet1!D$192=1,Sheet1!D$193=1),IF(OR((B27&gt;=(Sheet1!D$148+$B$11)-1),AND(Sheet1!D$8=3,A27&gt;=6))," ",B27+1),NA())</f>
        <v xml:space="preserve"> </v>
      </c>
      <c r="C28" s="262"/>
      <c r="D28" s="263" t="str">
        <f>IF(AND(Sheet1!D$192=1,A28&lt;&gt;" "),ROUND(VLOOKUP(A28,StatusQuo!A$19:M$68,12),Sheet1!D$75),IF(Sheet1!D$192=1," ","SQ not feasible "))</f>
        <v xml:space="preserve"> </v>
      </c>
      <c r="E28" s="263" t="str">
        <f>IF(AND(Sheet1!D$193=1,A28&lt;&gt;" "),ROUND(VLOOKUP(A28,AlternativeA!A$110:M$159,12),Sheet1!D$75),IF(Sheet1!D$193=1," ","Alt  'A'  not feasible"))</f>
        <v>Alt  'A'  not feasible</v>
      </c>
      <c r="F28" s="263" t="str">
        <f>IF(AND(A28&lt;&gt;" ",Sheet1!D$192=1,Sheet1!D$193=1),D28-E28,IF(AND(Sheet1!D$193=1,A28&lt;&gt;" ")," "," "))</f>
        <v xml:space="preserve"> </v>
      </c>
      <c r="G28" s="264" t="str">
        <f>IF(A28&lt;=Sheet1!D$148, (1/((1+G10)^(A28-0.5)))," ")</f>
        <v xml:space="preserve"> </v>
      </c>
      <c r="H28" s="263" t="str">
        <f>IF(AND(A28&lt;&gt;" ",Sheet1!D$192=1,Sheet1!D$193=1),ROUND(F28*G28,Sheet1!D$75),IF(AND(A28&lt;&gt;" ",Sheet1!D$193=1),ROUND(E28*G28,Sheet1!D$75)," "))</f>
        <v xml:space="preserve"> </v>
      </c>
      <c r="I28" s="264" t="str">
        <f>IF(A28&lt;&gt;" ",ROUND(VLOOKUP(Sheet1!E$82,CHOOSE(Sheet1!D$232,Inflate7,Inflate2,Inflate3,Inflate4,Inflate5,Inflate6,Inflate1,Inflate8),2),4)," ")</f>
        <v xml:space="preserve"> </v>
      </c>
      <c r="J28" s="264" t="str">
        <f>IF(A28&lt;&gt;" ",ROUND(VLOOKUP(B28,CHOOSE(Sheet1!D$232,Inflate7,Inflate2,Inflate3,Inflate4,Inflate5,Inflate6,Inflate1,Inflate8),3),4)," ")</f>
        <v xml:space="preserve"> </v>
      </c>
      <c r="K28" s="265" t="str">
        <f>IF(AND(A28&lt;&gt;" ",Sheet1!D$192=1,Sheet1!D$193=1),ROUND((F28/I28)*J28,Sheet1!D$75),IF(AND(A28&lt;&gt;" ",Sheet1!D$193=1),ROUND((E28/I28)*J28,Sheet1!D$75)," "))</f>
        <v xml:space="preserve"> </v>
      </c>
      <c r="L28" s="254" t="str">
        <f>IF(Sheet1!D$192=1,IF(AND(AA28&gt;AJ$61,AA27&lt;=AJ$61),"&lt;-Payback"," ")," ")</f>
        <v xml:space="preserve"> </v>
      </c>
      <c r="M28" s="271" t="str">
        <f>IF(OR(Sheet1!D$192=1,Sheet1!D$193=1),IF(OR((A27&gt;=(Sheet1!D$148+$A$11)-1),AND(Sheet1!D$8=3,A27&gt;=6))," ",A27+1),NA())</f>
        <v xml:space="preserve"> </v>
      </c>
      <c r="N28" s="271" t="str">
        <f>IF(OR(Sheet1!D$192=1,Sheet1!D$193=1),IF(OR((B27&gt;=(Sheet1!D$148+$B$11)-1),AND(Sheet1!D$8=3,A27&gt;=6))," ",B27+1),NA())</f>
        <v xml:space="preserve"> </v>
      </c>
      <c r="O28" s="266" t="e">
        <f>IF(OR(Sheet1!D$192=1,Sheet1!D$193=1),IF(NOT(Sheet1!D$192=1),0,IF(ROUND(VLOOKUP(A28,StatusQuo!A$19:M$68,13),Sheet1!D$75)-ROUND(VLOOKUP(A28,AlternativeA!A$110:M$159,13),Sheet1!D$75)&gt;0,1,0))," ")</f>
        <v>#VALUE!</v>
      </c>
      <c r="P28" s="263" t="str">
        <f>IF(AND(A28&lt;&gt;" ",Sheet1!D$192=1,Sheet1!D$193=1),IF(AND(OR(Sheet1!D$8=2,Sheet1!D$22=3),O28&gt;10),0,ROUND(VLOOKUP(A28,StatusQuo!A$19:M$68,13),Sheet1!D$75)),IF(NOT(Sheet1!D$192=1),"not feasible",IF(A28=" "," ", "Savings is  n/a=&gt;")))</f>
        <v xml:space="preserve"> </v>
      </c>
      <c r="Q28" s="263" t="str">
        <f>IF(AND(A28&lt;&gt;" ",Sheet1!D$192=1,Sheet1!D$193=1),IF(AND(OR(Sheet1!D$8=2,Sheet1!D$22=3),O28&gt;10),0,ROUND(VLOOKUP(A28,AlternativeA!A$110:M$159,13),Sheet1!D$75)),IF(NOT(Sheet1!D$193=1),"not feasible",IF(A28=" "," ","&lt;== Savings is n/a")))</f>
        <v>not feasible</v>
      </c>
      <c r="R28" s="263" t="str">
        <f>IF(AND(A28&lt;&gt;" ",Sheet1!D$192=1,Sheet1!D$193=1),IF(G$81&lt;&gt;" ","??????? ",P28-Q28)," ")</f>
        <v xml:space="preserve"> </v>
      </c>
      <c r="S28" s="263" t="str">
        <f>IF(AND(A28&lt;&gt;" ",Sheet1!D$192=1,Sheet1!D$193=1),ROUND(R28*G28,Sheet1!D$75)," ")</f>
        <v xml:space="preserve"> </v>
      </c>
      <c r="T28" s="263" t="str">
        <f>IF(AND(A28&lt;&gt;" ",Sheet1!D$192=1,Sheet1!D$193=1),ROUND((R28/I28)*J28,Sheet1!D$75)," ")</f>
        <v xml:space="preserve"> </v>
      </c>
      <c r="U28" s="265">
        <f>SUM(T$11:T28)</f>
        <v>0</v>
      </c>
      <c r="V28" s="254" t="str">
        <f t="shared" si="0"/>
        <v xml:space="preserve"> </v>
      </c>
      <c r="W28" s="268">
        <f t="shared" si="1"/>
        <v>18</v>
      </c>
      <c r="X28" s="171" t="str">
        <f t="shared" si="2"/>
        <v xml:space="preserve"> </v>
      </c>
      <c r="Y28" s="296"/>
      <c r="Z28" s="270"/>
      <c r="AA28" s="265">
        <f>SUM(K$11:K28)</f>
        <v>0</v>
      </c>
      <c r="AB28" s="271" t="str">
        <f>IF(OR(Sheet1!D$192=1,Sheet1!D$193=1),IF(OR((AB27&gt;=(Sheet1!D$148+$A$11)-1),AND(Sheet1!D$8=3,AB27&gt;=6))," ",AB27+1),NA())</f>
        <v xml:space="preserve"> </v>
      </c>
      <c r="AC28" s="271" t="str">
        <f>IF(OR(Sheet1!D$192=1,Sheet1!D$193=1),IF(OR((AC27&gt;=(Sheet1!D$148+$B$11)-1),AND(Sheet1!D$8=3,AB27&gt;=6))," ",AC27+1),NA())</f>
        <v xml:space="preserve"> </v>
      </c>
      <c r="AD28" s="262"/>
      <c r="AE28" s="263" t="str">
        <f>IF(AND(Sheet1!D$193=1,AB28&lt;&gt;" "),ROUND(VLOOKUP(AB28,AlternativeA!A$17:M$66,12),Sheet1!D$75),IF(Sheet1!D$193=1," ","Alt  'A'  not feasible"))</f>
        <v>Alt  'A'  not feasible</v>
      </c>
      <c r="AF28" s="264" t="str">
        <f>IF(AB28&lt;=Sheet1!D$148, (1/((1+$AF$10)^(AB28-0.5)))," ")</f>
        <v xml:space="preserve"> </v>
      </c>
      <c r="AG28" s="263" t="str">
        <f>IF(AND(Sheet1!D$193=1,AB28&lt;&gt;" "),ROUND(+AE28*AF28,Sheet1!D$75)," ")</f>
        <v xml:space="preserve"> </v>
      </c>
      <c r="AH28" s="264" t="str">
        <f>IF(AB28&lt;&gt;" ",ROUND(VLOOKUP(Sheet1!E$82,CHOOSE(Sheet1!D$212,Inflate1,Inflate2,Inflate3,Inflate4,Inflate5,Inflate6,Inflate7,Inflate8),2),4)," ")</f>
        <v xml:space="preserve"> </v>
      </c>
      <c r="AI28" s="264" t="str">
        <f>IF(AB28&lt;&gt;" ",ROUND(VLOOKUP(AC28,CHOOSE(Sheet1!D$212,Inflate1,Inflate2,Inflate3,Inflate4,Inflate5,Inflate6,Inflate7,Inflate8),3),4)," ")</f>
        <v xml:space="preserve"> </v>
      </c>
      <c r="AJ28" s="263" t="b">
        <f>IF(AND(Sheet1!D$193=1,AB28&lt;&gt;" "),IF(AND(O28&lt;=10,OR(Sheet1!D$8=2,Sheet1!D$8=3,Sheet1!D$22=3)),ROUND((AE28/AH28)*AI28,Sheet1!D$75),IF(AND(Sheet1!D$8&lt;&gt;2,Sheet1!D$8&lt;&gt;3,Sheet1!D$22&lt;&gt;3),ROUND((AE28/AH28)*AI28,Sheet1!D$75)," ")))</f>
        <v>0</v>
      </c>
    </row>
    <row r="29" spans="1:36" ht="12" customHeight="1" x14ac:dyDescent="0.2">
      <c r="A29" s="271" t="str">
        <f>IF(OR(Sheet1!D$192=1,Sheet1!D$193=1),IF(OR((A28&gt;=(Sheet1!D$148+$A$11)-1),AND(Sheet1!D$8=3,A28&gt;=6))," ",A28+1),NA())</f>
        <v xml:space="preserve"> </v>
      </c>
      <c r="B29" s="271" t="str">
        <f>IF(OR(Sheet1!D$192=1,Sheet1!D$193=1),IF(OR((B28&gt;=(Sheet1!D$148+$B$11)-1),AND(Sheet1!D$8=3,A28&gt;=6))," ",B28+1),NA())</f>
        <v xml:space="preserve"> </v>
      </c>
      <c r="C29" s="262"/>
      <c r="D29" s="263" t="str">
        <f>IF(AND(Sheet1!D$192=1,A29&lt;&gt;" "),ROUND(VLOOKUP(A29,StatusQuo!A$19:M$68,12),Sheet1!D$75),IF(Sheet1!D$192=1," ","SQ not feasible "))</f>
        <v xml:space="preserve"> </v>
      </c>
      <c r="E29" s="263" t="str">
        <f>IF(AND(Sheet1!D$193=1,A29&lt;&gt;" "),ROUND(VLOOKUP(A29,AlternativeA!A$110:M$159,12),Sheet1!D$75),IF(Sheet1!D$193=1," ","Alt  'A'  not feasible"))</f>
        <v>Alt  'A'  not feasible</v>
      </c>
      <c r="F29" s="263" t="str">
        <f>IF(AND(A29&lt;&gt;" ",Sheet1!D$192=1,Sheet1!D$193=1),D29-E29,IF(AND(Sheet1!D$193=1,A29&lt;&gt;" ")," "," "))</f>
        <v xml:space="preserve"> </v>
      </c>
      <c r="G29" s="264" t="str">
        <f>IF(A29&lt;=Sheet1!D$148, (1/((1+G10)^(A29-0.5)))," ")</f>
        <v xml:space="preserve"> </v>
      </c>
      <c r="H29" s="263" t="str">
        <f>IF(AND(A29&lt;&gt;" ",Sheet1!D$192=1,Sheet1!D$193=1),ROUND(F29*G29,Sheet1!D$75),IF(AND(A29&lt;&gt;" ",Sheet1!D$193=1),ROUND(E29*G29,Sheet1!D$75)," "))</f>
        <v xml:space="preserve"> </v>
      </c>
      <c r="I29" s="264" t="str">
        <f>IF(A29&lt;&gt;" ",ROUND(VLOOKUP(Sheet1!E$82,CHOOSE(Sheet1!D$232,Inflate7,Inflate2,Inflate3,Inflate4,Inflate5,Inflate6,Inflate1,Inflate8),2),4)," ")</f>
        <v xml:space="preserve"> </v>
      </c>
      <c r="J29" s="264" t="str">
        <f>IF(A29&lt;&gt;" ",ROUND(VLOOKUP(B29,CHOOSE(Sheet1!D$232,Inflate7,Inflate2,Inflate3,Inflate4,Inflate5,Inflate6,Inflate1,Inflate8),3),4)," ")</f>
        <v xml:space="preserve"> </v>
      </c>
      <c r="K29" s="265" t="str">
        <f>IF(AND(A29&lt;&gt;" ",Sheet1!D$192=1,Sheet1!D$193=1),ROUND((F29/I29)*J29,Sheet1!D$75),IF(AND(A29&lt;&gt;" ",Sheet1!D$193=1),ROUND((E29/I29)*J29,Sheet1!D$75)," "))</f>
        <v xml:space="preserve"> </v>
      </c>
      <c r="L29" s="254" t="str">
        <f>IF(Sheet1!D$192=1,IF(AND(AA29&gt;AJ$61,AA28&lt;=AJ$61),"&lt;-Payback"," ")," ")</f>
        <v xml:space="preserve"> </v>
      </c>
      <c r="M29" s="271" t="str">
        <f>IF(OR(Sheet1!D$192=1,Sheet1!D$193=1),IF(OR((A28&gt;=(Sheet1!D$148+$A$11)-1),AND(Sheet1!D$8=3,A28&gt;=6))," ",A28+1),NA())</f>
        <v xml:space="preserve"> </v>
      </c>
      <c r="N29" s="271" t="str">
        <f>IF(OR(Sheet1!D$192=1,Sheet1!D$193=1),IF(OR((B28&gt;=(Sheet1!D$148+$B$11)-1),AND(Sheet1!D$8=3,A28&gt;=6))," ",B28+1),NA())</f>
        <v xml:space="preserve"> </v>
      </c>
      <c r="O29" s="266" t="e">
        <f>IF(OR(Sheet1!D$192=1,Sheet1!D$193=1),IF(NOT(Sheet1!D$192=1),0,IF(ROUND(VLOOKUP(A29,StatusQuo!A$19:M$68,13),Sheet1!D$75)-ROUND(VLOOKUP(A29,AlternativeA!A$110:M$159,13),Sheet1!D$75)&gt;0,1,0))," ")</f>
        <v>#VALUE!</v>
      </c>
      <c r="P29" s="263" t="str">
        <f>IF(AND(A29&lt;&gt;" ",Sheet1!D$192=1,Sheet1!D$193=1),IF(AND(OR(Sheet1!D$8=2,Sheet1!D$22=3),O29&gt;10),0,ROUND(VLOOKUP(A29,StatusQuo!A$19:M$68,13),Sheet1!D$75)),IF(NOT(Sheet1!D$192=1),"not feasible",IF(A29=" "," ", "Savings is  n/a=&gt;")))</f>
        <v xml:space="preserve"> </v>
      </c>
      <c r="Q29" s="263" t="str">
        <f>IF(AND(A29&lt;&gt;" ",Sheet1!D$192=1,Sheet1!D$193=1),IF(AND(OR(Sheet1!D$8=2,Sheet1!D$22=3),O29&gt;10),0,ROUND(VLOOKUP(A29,AlternativeA!A$110:M$159,13),Sheet1!D$75)),IF(NOT(Sheet1!D$193=1),"not feasible",IF(A29=" "," ","&lt;== Savings is n/a")))</f>
        <v>not feasible</v>
      </c>
      <c r="R29" s="263" t="str">
        <f>IF(AND(A29&lt;&gt;" ",Sheet1!D$192=1,Sheet1!D$193=1),IF(G$81&lt;&gt;" ","??????? ",P29-Q29)," ")</f>
        <v xml:space="preserve"> </v>
      </c>
      <c r="S29" s="263" t="str">
        <f>IF(AND(A29&lt;&gt;" ",Sheet1!D$192=1,Sheet1!D$193=1),ROUND(R29*G29,Sheet1!D$75)," ")</f>
        <v xml:space="preserve"> </v>
      </c>
      <c r="T29" s="263" t="str">
        <f>IF(AND(A29&lt;&gt;" ",Sheet1!D$192=1,Sheet1!D$193=1),ROUND((R29/I29)*J29,Sheet1!D$75)," ")</f>
        <v xml:space="preserve"> </v>
      </c>
      <c r="U29" s="265">
        <f>SUM(T$11:T29)</f>
        <v>0</v>
      </c>
      <c r="V29" s="254" t="str">
        <f t="shared" si="0"/>
        <v xml:space="preserve"> </v>
      </c>
      <c r="W29" s="268">
        <f t="shared" si="1"/>
        <v>19</v>
      </c>
      <c r="X29" s="171" t="str">
        <f t="shared" si="2"/>
        <v xml:space="preserve"> </v>
      </c>
      <c r="Y29" s="296"/>
      <c r="Z29" s="270"/>
      <c r="AA29" s="265">
        <f>SUM(K$11:K29)</f>
        <v>0</v>
      </c>
      <c r="AB29" s="271" t="str">
        <f>IF(OR(Sheet1!D$192=1,Sheet1!D$193=1),IF(OR((AB28&gt;=(Sheet1!D$148+$A$11)-1),AND(Sheet1!D$8=3,AB28&gt;=6))," ",AB28+1),NA())</f>
        <v xml:space="preserve"> </v>
      </c>
      <c r="AC29" s="271" t="str">
        <f>IF(OR(Sheet1!D$192=1,Sheet1!D$193=1),IF(OR((AC28&gt;=(Sheet1!D$148+$B$11)-1),AND(Sheet1!D$8=3,AB28&gt;=6))," ",AC28+1),NA())</f>
        <v xml:space="preserve"> </v>
      </c>
      <c r="AD29" s="262"/>
      <c r="AE29" s="263" t="str">
        <f>IF(AND(Sheet1!D$193=1,AB29&lt;&gt;" "),ROUND(VLOOKUP(AB29,AlternativeA!A$17:M$66,12),Sheet1!D$75),IF(Sheet1!D$193=1," ","Alt  'A'  not feasible"))</f>
        <v>Alt  'A'  not feasible</v>
      </c>
      <c r="AF29" s="264" t="str">
        <f>IF(AB29&lt;=Sheet1!D$148, (1/((1+$AF$10)^(AB29-0.5)))," ")</f>
        <v xml:space="preserve"> </v>
      </c>
      <c r="AG29" s="263" t="str">
        <f>IF(AND(Sheet1!D$193=1,AB29&lt;&gt;" "),ROUND(+AE29*AF29,Sheet1!D$75)," ")</f>
        <v xml:space="preserve"> </v>
      </c>
      <c r="AH29" s="264" t="str">
        <f>IF(AB29&lt;&gt;" ",ROUND(VLOOKUP(Sheet1!E$82,CHOOSE(Sheet1!D$212,Inflate1,Inflate2,Inflate3,Inflate4,Inflate5,Inflate6,Inflate7,Inflate8),2),4)," ")</f>
        <v xml:space="preserve"> </v>
      </c>
      <c r="AI29" s="264" t="str">
        <f>IF(AB29&lt;&gt;" ",ROUND(VLOOKUP(AC29,CHOOSE(Sheet1!D$212,Inflate1,Inflate2,Inflate3,Inflate4,Inflate5,Inflate6,Inflate7,Inflate8),3),4)," ")</f>
        <v xml:space="preserve"> </v>
      </c>
      <c r="AJ29" s="263" t="b">
        <f>IF(AND(Sheet1!D$193=1,AB29&lt;&gt;" "),IF(AND(O29&lt;=10,OR(Sheet1!D$8=2,Sheet1!D$8=3,Sheet1!D$22=3)),ROUND((AE29/AH29)*AI29,Sheet1!D$75),IF(AND(Sheet1!D$8&lt;&gt;2,Sheet1!D$8&lt;&gt;3,Sheet1!D$22&lt;&gt;3),ROUND((AE29/AH29)*AI29,Sheet1!D$75)," ")))</f>
        <v>0</v>
      </c>
    </row>
    <row r="30" spans="1:36" ht="12" customHeight="1" x14ac:dyDescent="0.2">
      <c r="A30" s="271" t="str">
        <f>IF(OR(Sheet1!D$192=1,Sheet1!D$193=1),IF(OR((A29&gt;=(Sheet1!D$148+$A$11)-1),AND(Sheet1!D$8=3,A29&gt;=6))," ",A29+1),NA())</f>
        <v xml:space="preserve"> </v>
      </c>
      <c r="B30" s="271" t="str">
        <f>IF(OR(Sheet1!D$192=1,Sheet1!D$193=1),IF(OR((B29&gt;=(Sheet1!D$148+$B$11)-1),AND(Sheet1!D$8=3,A29&gt;=6))," ",B29+1),NA())</f>
        <v xml:space="preserve"> </v>
      </c>
      <c r="C30" s="262"/>
      <c r="D30" s="263" t="str">
        <f>IF(AND(Sheet1!D$192=1,A30&lt;&gt;" "),ROUND(VLOOKUP(A30,StatusQuo!A$19:M$68,12),Sheet1!D$75),IF(Sheet1!D$192=1," ","SQ not feasible "))</f>
        <v xml:space="preserve"> </v>
      </c>
      <c r="E30" s="263" t="str">
        <f>IF(AND(Sheet1!D$193=1,A30&lt;&gt;" "),ROUND(VLOOKUP(A30,AlternativeA!A$110:M$159,12),Sheet1!D$75),IF(Sheet1!D$193=1," ","Alt  'A'  not feasible"))</f>
        <v>Alt  'A'  not feasible</v>
      </c>
      <c r="F30" s="263" t="str">
        <f>IF(AND(A30&lt;&gt;" ",Sheet1!D$192=1,Sheet1!D$193=1),D30-E30,IF(AND(Sheet1!D$193=1,A30&lt;&gt;" ")," "," "))</f>
        <v xml:space="preserve"> </v>
      </c>
      <c r="G30" s="264" t="str">
        <f>IF(A30&lt;=Sheet1!D$148, (1/((1+G10)^(A30-0.5)))," ")</f>
        <v xml:space="preserve"> </v>
      </c>
      <c r="H30" s="263" t="str">
        <f>IF(AND(A30&lt;&gt;" ",Sheet1!D$192=1,Sheet1!D$193=1),ROUND(F30*G30,Sheet1!D$75),IF(AND(A30&lt;&gt;" ",Sheet1!D$193=1),ROUND(E30*G30,Sheet1!D$75)," "))</f>
        <v xml:space="preserve"> </v>
      </c>
      <c r="I30" s="264" t="str">
        <f>IF(A30&lt;&gt;" ",ROUND(VLOOKUP(Sheet1!E$82,CHOOSE(Sheet1!D$232,Inflate7,Inflate2,Inflate3,Inflate4,Inflate5,Inflate6,Inflate1,Inflate8),2),4)," ")</f>
        <v xml:space="preserve"> </v>
      </c>
      <c r="J30" s="264" t="str">
        <f>IF(A30&lt;&gt;" ",ROUND(VLOOKUP(B30,CHOOSE(Sheet1!D$232,Inflate7,Inflate2,Inflate3,Inflate4,Inflate5,Inflate6,Inflate1,Inflate8),3),4)," ")</f>
        <v xml:space="preserve"> </v>
      </c>
      <c r="K30" s="265" t="str">
        <f>IF(AND(A30&lt;&gt;" ",Sheet1!D$192=1,Sheet1!D$193=1),ROUND((F30/I30)*J30,Sheet1!D$75),IF(AND(A30&lt;&gt;" ",Sheet1!D$193=1),ROUND((E30/I30)*J30,Sheet1!D$75)," "))</f>
        <v xml:space="preserve"> </v>
      </c>
      <c r="L30" s="254" t="str">
        <f>IF(Sheet1!D$192=1,IF(AND(AA30&gt;AJ$61,AA29&lt;=AJ$61),"&lt;-Payback"," ")," ")</f>
        <v xml:space="preserve"> </v>
      </c>
      <c r="M30" s="271" t="str">
        <f>IF(OR(Sheet1!D$192=1,Sheet1!D$193=1),IF(OR((A29&gt;=(Sheet1!D$148+$A$11)-1),AND(Sheet1!D$8=3,A29&gt;=6))," ",A29+1),NA())</f>
        <v xml:space="preserve"> </v>
      </c>
      <c r="N30" s="271" t="str">
        <f>IF(OR(Sheet1!D$192=1,Sheet1!D$193=1),IF(OR((B29&gt;=(Sheet1!D$148+$B$11)-1),AND(Sheet1!D$8=3,A29&gt;=6))," ",B29+1),NA())</f>
        <v xml:space="preserve"> </v>
      </c>
      <c r="O30" s="266" t="e">
        <f>IF(OR(Sheet1!D$192=1,Sheet1!D$193=1),IF(NOT(Sheet1!D$192=1),0,IF(ROUND(VLOOKUP(A30,StatusQuo!A$19:M$68,13),Sheet1!D$75)-ROUND(VLOOKUP(A30,AlternativeA!A$110:M$159,13),Sheet1!D$75)&gt;0,1,0))," ")</f>
        <v>#VALUE!</v>
      </c>
      <c r="P30" s="263" t="str">
        <f>IF(AND(A30&lt;&gt;" ",Sheet1!D$192=1,Sheet1!D$193=1),IF(AND(OR(Sheet1!D$8=2,Sheet1!D$22=3),O30&gt;10),0,ROUND(VLOOKUP(A30,StatusQuo!A$19:M$68,13),Sheet1!D$75)),IF(NOT(Sheet1!D$192=1),"not feasible",IF(A30=" "," ", "Savings is  n/a=&gt;")))</f>
        <v xml:space="preserve"> </v>
      </c>
      <c r="Q30" s="263" t="str">
        <f>IF(AND(A30&lt;&gt;" ",Sheet1!D$192=1,Sheet1!D$193=1),IF(AND(OR(Sheet1!D$8=2,Sheet1!D$22=3),O30&gt;10),0,ROUND(VLOOKUP(A30,AlternativeA!A$110:M$159,13),Sheet1!D$75)),IF(NOT(Sheet1!D$193=1),"not feasible",IF(A30=" "," ","&lt;== Savings is n/a")))</f>
        <v>not feasible</v>
      </c>
      <c r="R30" s="263" t="str">
        <f>IF(AND(A30&lt;&gt;" ",Sheet1!D$192=1,Sheet1!D$193=1),IF(G$81&lt;&gt;" ","??????? ",P30-Q30)," ")</f>
        <v xml:space="preserve"> </v>
      </c>
      <c r="S30" s="263" t="str">
        <f>IF(AND(A30&lt;&gt;" ",Sheet1!D$192=1,Sheet1!D$193=1),ROUND(R30*G30,Sheet1!D$75)," ")</f>
        <v xml:space="preserve"> </v>
      </c>
      <c r="T30" s="263" t="str">
        <f>IF(AND(A30&lt;&gt;" ",Sheet1!D$192=1,Sheet1!D$193=1),ROUND((R30/I30)*J30,Sheet1!D$75)," ")</f>
        <v xml:space="preserve"> </v>
      </c>
      <c r="U30" s="265">
        <f>SUM(T$11:T30)</f>
        <v>0</v>
      </c>
      <c r="V30" s="254" t="str">
        <f t="shared" si="0"/>
        <v xml:space="preserve"> </v>
      </c>
      <c r="W30" s="268">
        <f t="shared" si="1"/>
        <v>20</v>
      </c>
      <c r="X30" s="171" t="str">
        <f t="shared" si="2"/>
        <v xml:space="preserve"> </v>
      </c>
      <c r="Y30" s="296"/>
      <c r="Z30" s="270"/>
      <c r="AA30" s="265">
        <f>SUM(K$11:K30)</f>
        <v>0</v>
      </c>
      <c r="AB30" s="271" t="str">
        <f>IF(OR(Sheet1!D$192=1,Sheet1!D$193=1),IF(OR((AB29&gt;=(Sheet1!D$148+$A$11)-1),AND(Sheet1!D$8=3,AB29&gt;=6))," ",AB29+1),NA())</f>
        <v xml:space="preserve"> </v>
      </c>
      <c r="AC30" s="271" t="str">
        <f>IF(OR(Sheet1!D$192=1,Sheet1!D$193=1),IF(OR((AC29&gt;=(Sheet1!D$148+$B$11)-1),AND(Sheet1!D$8=3,AB29&gt;=6))," ",AC29+1),NA())</f>
        <v xml:space="preserve"> </v>
      </c>
      <c r="AD30" s="262"/>
      <c r="AE30" s="263" t="str">
        <f>IF(AND(Sheet1!D$193=1,AB30&lt;&gt;" "),ROUND(VLOOKUP(AB30,AlternativeA!A$17:M$66,12),Sheet1!D$75),IF(Sheet1!D$193=1," ","Alt  'A'  not feasible"))</f>
        <v>Alt  'A'  not feasible</v>
      </c>
      <c r="AF30" s="264" t="str">
        <f>IF(AB30&lt;=Sheet1!D$148, (1/((1+$AF$10)^(AB30-0.5)))," ")</f>
        <v xml:space="preserve"> </v>
      </c>
      <c r="AG30" s="263" t="str">
        <f>IF(AND(Sheet1!D$193=1,AB30&lt;&gt;" "),ROUND(+AE30*AF30,Sheet1!D$75)," ")</f>
        <v xml:space="preserve"> </v>
      </c>
      <c r="AH30" s="264" t="str">
        <f>IF(AB30&lt;&gt;" ",ROUND(VLOOKUP(Sheet1!E$82,CHOOSE(Sheet1!D$212,Inflate1,Inflate2,Inflate3,Inflate4,Inflate5,Inflate6,Inflate7,Inflate8),2),4)," ")</f>
        <v xml:space="preserve"> </v>
      </c>
      <c r="AI30" s="264" t="str">
        <f>IF(AB30&lt;&gt;" ",ROUND(VLOOKUP(AC30,CHOOSE(Sheet1!D$212,Inflate1,Inflate2,Inflate3,Inflate4,Inflate5,Inflate6,Inflate7,Inflate8),3),4)," ")</f>
        <v xml:space="preserve"> </v>
      </c>
      <c r="AJ30" s="263" t="b">
        <f>IF(AND(Sheet1!D$193=1,AB30&lt;&gt;" "),IF(AND(O30&lt;=10,OR(Sheet1!D$8=2,Sheet1!D$8=3,Sheet1!D$22=3)),ROUND((AE30/AH30)*AI30,Sheet1!D$75),IF(AND(Sheet1!D$8&lt;&gt;2,Sheet1!D$8&lt;&gt;3,Sheet1!D$22&lt;&gt;3),ROUND((AE30/AH30)*AI30,Sheet1!D$75)," ")))</f>
        <v>0</v>
      </c>
    </row>
    <row r="31" spans="1:36" ht="12" customHeight="1" x14ac:dyDescent="0.2">
      <c r="A31" s="271" t="str">
        <f>IF(OR(Sheet1!D$192=1,Sheet1!D$193=1),IF(OR((A30&gt;=(Sheet1!D$148+$A$11)-1),AND(Sheet1!D$8=3,A30&gt;=6))," ",A30+1),NA())</f>
        <v xml:space="preserve"> </v>
      </c>
      <c r="B31" s="271" t="str">
        <f>IF(OR(Sheet1!D$192=1,Sheet1!D$193=1),IF(OR((B30&gt;=(Sheet1!D$148+$B$11)-1),AND(Sheet1!D$8=3,A30&gt;=6))," ",B30+1),NA())</f>
        <v xml:space="preserve"> </v>
      </c>
      <c r="C31" s="262"/>
      <c r="D31" s="263" t="str">
        <f>IF(AND(Sheet1!D$192=1,A31&lt;&gt;" "),ROUND(VLOOKUP(A31,StatusQuo!A$19:M$68,12),Sheet1!D$75),IF(Sheet1!D$192=1," ","SQ not feasible "))</f>
        <v xml:space="preserve"> </v>
      </c>
      <c r="E31" s="263" t="str">
        <f>IF(AND(Sheet1!D$193=1,A31&lt;&gt;" "),ROUND(VLOOKUP(A31,AlternativeA!A$110:M$159,12),Sheet1!D$75),IF(Sheet1!D$193=1," ","Alt  'A'  not feasible"))</f>
        <v>Alt  'A'  not feasible</v>
      </c>
      <c r="F31" s="263" t="str">
        <f>IF(AND(A31&lt;&gt;" ",Sheet1!D$192=1,Sheet1!D$193=1),D31-E31,IF(AND(Sheet1!D$193=1,A31&lt;&gt;" ")," "," "))</f>
        <v xml:space="preserve"> </v>
      </c>
      <c r="G31" s="264" t="str">
        <f>IF(A31&lt;=Sheet1!D$148, (1/((1+G10)^(A31-0.5)))," ")</f>
        <v xml:space="preserve"> </v>
      </c>
      <c r="H31" s="263" t="str">
        <f>IF(AND(A31&lt;&gt;" ",Sheet1!D$192=1,Sheet1!D$193=1),ROUND(F31*G31,Sheet1!D$75),IF(AND(A31&lt;&gt;" ",Sheet1!D$193=1),ROUND(E31*G31,Sheet1!D$75)," "))</f>
        <v xml:space="preserve"> </v>
      </c>
      <c r="I31" s="264" t="str">
        <f>IF(A31&lt;&gt;" ",ROUND(VLOOKUP(Sheet1!E$82,CHOOSE(Sheet1!D$232,Inflate7,Inflate2,Inflate3,Inflate4,Inflate5,Inflate6,Inflate1,Inflate8),2),4)," ")</f>
        <v xml:space="preserve"> </v>
      </c>
      <c r="J31" s="264" t="str">
        <f>IF(A31&lt;&gt;" ",ROUND(VLOOKUP(B31,CHOOSE(Sheet1!D$232,Inflate7,Inflate2,Inflate3,Inflate4,Inflate5,Inflate6,Inflate1,Inflate8),3),4)," ")</f>
        <v xml:space="preserve"> </v>
      </c>
      <c r="K31" s="265" t="str">
        <f>IF(AND(A31&lt;&gt;" ",Sheet1!D$192=1,Sheet1!D$193=1),ROUND((F31/I31)*J31,Sheet1!D$75),IF(AND(A31&lt;&gt;" ",Sheet1!D$193=1),ROUND((E31/I31)*J31,Sheet1!D$75)," "))</f>
        <v xml:space="preserve"> </v>
      </c>
      <c r="L31" s="254" t="str">
        <f>IF(Sheet1!D$192=1,IF(AND(AA31&gt;AJ$61,AA30&lt;=AJ$61),"&lt;-Payback"," ")," ")</f>
        <v xml:space="preserve"> </v>
      </c>
      <c r="M31" s="271" t="str">
        <f>IF(OR(Sheet1!D$192=1,Sheet1!D$193=1),IF(OR((A30&gt;=(Sheet1!D$148+$A$11)-1),AND(Sheet1!D$8=3,A30&gt;=6))," ",A30+1),NA())</f>
        <v xml:space="preserve"> </v>
      </c>
      <c r="N31" s="271" t="str">
        <f>IF(OR(Sheet1!D$192=1,Sheet1!D$193=1),IF(OR((B30&gt;=(Sheet1!D$148+$B$11)-1),AND(Sheet1!D$8=3,A30&gt;=6))," ",B30+1),NA())</f>
        <v xml:space="preserve"> </v>
      </c>
      <c r="O31" s="266" t="e">
        <f>IF(OR(Sheet1!D$192=1,Sheet1!D$193=1),IF(NOT(Sheet1!D$192=1),0,IF(ROUND(VLOOKUP(A31,StatusQuo!A$19:M$68,13),Sheet1!D$75)-ROUND(VLOOKUP(A31,AlternativeA!A$110:M$159,13),Sheet1!D$75)&gt;0,1,0))," ")</f>
        <v>#VALUE!</v>
      </c>
      <c r="P31" s="263" t="str">
        <f>IF(AND(A31&lt;&gt;" ",Sheet1!D$192=1,Sheet1!D$193=1),IF(AND(OR(Sheet1!D$8=2,Sheet1!D$22=3),O31&gt;10),0,ROUND(VLOOKUP(A31,StatusQuo!A$19:M$68,13),Sheet1!D$75)),IF(NOT(Sheet1!D$192=1),"not feasible",IF(A31=" "," ", "Savings is  n/a=&gt;")))</f>
        <v xml:space="preserve"> </v>
      </c>
      <c r="Q31" s="263" t="str">
        <f>IF(AND(A31&lt;&gt;" ",Sheet1!D$192=1,Sheet1!D$193=1),IF(AND(OR(Sheet1!D$8=2,Sheet1!D$22=3),O31&gt;10),0,ROUND(VLOOKUP(A31,AlternativeA!A$110:M$159,13),Sheet1!D$75)),IF(NOT(Sheet1!D$193=1),"not feasible",IF(A31=" "," ","&lt;== Savings is n/a")))</f>
        <v>not feasible</v>
      </c>
      <c r="R31" s="263" t="str">
        <f>IF(AND(A31&lt;&gt;" ",Sheet1!D$192=1,Sheet1!D$193=1),IF(G$81&lt;&gt;" ","??????? ",P31-Q31)," ")</f>
        <v xml:space="preserve"> </v>
      </c>
      <c r="S31" s="263" t="str">
        <f>IF(AND(A31&lt;&gt;" ",Sheet1!D$192=1,Sheet1!D$193=1),ROUND(R31*G31,Sheet1!D$75)," ")</f>
        <v xml:space="preserve"> </v>
      </c>
      <c r="T31" s="263" t="str">
        <f>IF(AND(A31&lt;&gt;" ",Sheet1!D$192=1,Sheet1!D$193=1),ROUND((R31/I31)*J31,Sheet1!D$75)," ")</f>
        <v xml:space="preserve"> </v>
      </c>
      <c r="U31" s="265">
        <f>SUM(T$11:T31)</f>
        <v>0</v>
      </c>
      <c r="V31" s="254" t="str">
        <f t="shared" si="0"/>
        <v xml:space="preserve"> </v>
      </c>
      <c r="W31" s="268">
        <f t="shared" si="1"/>
        <v>21</v>
      </c>
      <c r="X31" s="171" t="str">
        <f t="shared" si="2"/>
        <v xml:space="preserve"> </v>
      </c>
      <c r="Y31" s="296"/>
      <c r="Z31" s="270"/>
      <c r="AA31" s="265">
        <f>SUM(K$11:K31)</f>
        <v>0</v>
      </c>
      <c r="AB31" s="271" t="str">
        <f>IF(OR(Sheet1!D$192=1,Sheet1!D$193=1),IF(OR((AB30&gt;=(Sheet1!D$148+$A$11)-1),AND(Sheet1!D$8=3,AB30&gt;=6))," ",AB30+1),NA())</f>
        <v xml:space="preserve"> </v>
      </c>
      <c r="AC31" s="271" t="str">
        <f>IF(OR(Sheet1!D$192=1,Sheet1!D$193=1),IF(OR((AC30&gt;=(Sheet1!D$148+$B$11)-1),AND(Sheet1!D$8=3,AB30&gt;=6))," ",AC30+1),NA())</f>
        <v xml:space="preserve"> </v>
      </c>
      <c r="AD31" s="262"/>
      <c r="AE31" s="263" t="str">
        <f>IF(AND(Sheet1!D$193=1,AB31&lt;&gt;" "),ROUND(VLOOKUP(AB31,AlternativeA!A$17:M$66,12),Sheet1!D$75),IF(Sheet1!D$193=1," ","Alt  'A'  not feasible"))</f>
        <v>Alt  'A'  not feasible</v>
      </c>
      <c r="AF31" s="264" t="str">
        <f>IF(AB31&lt;=Sheet1!D$148, (1/((1+$AF$10)^(AB31-0.5)))," ")</f>
        <v xml:space="preserve"> </v>
      </c>
      <c r="AG31" s="263" t="str">
        <f>IF(AND(Sheet1!D$193=1,AB31&lt;&gt;" "),ROUND(+AE31*AF31,Sheet1!D$75)," ")</f>
        <v xml:space="preserve"> </v>
      </c>
      <c r="AH31" s="264" t="str">
        <f>IF(AB31&lt;&gt;" ",ROUND(VLOOKUP(Sheet1!E$82,CHOOSE(Sheet1!D$212,Inflate1,Inflate2,Inflate3,Inflate4,Inflate5,Inflate6,Inflate7,Inflate8),2),4)," ")</f>
        <v xml:space="preserve"> </v>
      </c>
      <c r="AI31" s="264" t="str">
        <f>IF(AB31&lt;&gt;" ",ROUND(VLOOKUP(AC31,CHOOSE(Sheet1!D$212,Inflate1,Inflate2,Inflate3,Inflate4,Inflate5,Inflate6,Inflate7,Inflate8),3),4)," ")</f>
        <v xml:space="preserve"> </v>
      </c>
      <c r="AJ31" s="263" t="b">
        <f>IF(AND(Sheet1!D$193=1,AB31&lt;&gt;" "),IF(AND(O31&lt;=10,OR(Sheet1!D$8=2,Sheet1!D$8=3,Sheet1!D$22=3)),ROUND((AE31/AH31)*AI31,Sheet1!D$75),IF(AND(Sheet1!D$8&lt;&gt;2,Sheet1!D$8&lt;&gt;3,Sheet1!D$22&lt;&gt;3),ROUND((AE31/AH31)*AI31,Sheet1!D$75)," ")))</f>
        <v>0</v>
      </c>
    </row>
    <row r="32" spans="1:36" ht="12" customHeight="1" x14ac:dyDescent="0.2">
      <c r="A32" s="271" t="str">
        <f>IF(OR(Sheet1!D$192=1,Sheet1!D$193=1),IF(OR((A31&gt;=(Sheet1!D$148+$A$11)-1),AND(Sheet1!D$8=3,A31&gt;=6))," ",A31+1),NA())</f>
        <v xml:space="preserve"> </v>
      </c>
      <c r="B32" s="271" t="str">
        <f>IF(OR(Sheet1!D$192=1,Sheet1!D$193=1),IF(OR((B31&gt;=(Sheet1!D$148+$B$11)-1),AND(Sheet1!D$8=3,A31&gt;=6))," ",B31+1),NA())</f>
        <v xml:space="preserve"> </v>
      </c>
      <c r="C32" s="262"/>
      <c r="D32" s="263" t="str">
        <f>IF(AND(Sheet1!D$192=1,A32&lt;&gt;" "),ROUND(VLOOKUP(A32,StatusQuo!A$19:M$68,12),Sheet1!D$75),IF(Sheet1!D$192=1," ","SQ not feasible "))</f>
        <v xml:space="preserve"> </v>
      </c>
      <c r="E32" s="263" t="str">
        <f>IF(AND(Sheet1!D$193=1,A32&lt;&gt;" "),ROUND(VLOOKUP(A32,AlternativeA!A$110:M$159,12),Sheet1!D$75),IF(Sheet1!D$193=1," ","Alt  'A'  not feasible"))</f>
        <v>Alt  'A'  not feasible</v>
      </c>
      <c r="F32" s="263" t="str">
        <f>IF(AND(A32&lt;&gt;" ",Sheet1!D$192=1,Sheet1!D$193=1),D32-E32,IF(AND(Sheet1!D$193=1,A32&lt;&gt;" ")," "," "))</f>
        <v xml:space="preserve"> </v>
      </c>
      <c r="G32" s="264" t="str">
        <f>IF(A32&lt;=Sheet1!D$148, (1/((1+G10)^(A32-0.5)))," ")</f>
        <v xml:space="preserve"> </v>
      </c>
      <c r="H32" s="263" t="str">
        <f>IF(AND(A32&lt;&gt;" ",Sheet1!D$192=1,Sheet1!D$193=1),ROUND(F32*G32,Sheet1!D$75),IF(AND(A32&lt;&gt;" ",Sheet1!D$193=1),ROUND(E32*G32,Sheet1!D$75)," "))</f>
        <v xml:space="preserve"> </v>
      </c>
      <c r="I32" s="264" t="str">
        <f>IF(A32&lt;&gt;" ",ROUND(VLOOKUP(Sheet1!E$82,CHOOSE(Sheet1!D$232,Inflate7,Inflate2,Inflate3,Inflate4,Inflate5,Inflate6,Inflate1,Inflate8),2),4)," ")</f>
        <v xml:space="preserve"> </v>
      </c>
      <c r="J32" s="264" t="str">
        <f>IF(A32&lt;&gt;" ",ROUND(VLOOKUP(B32,CHOOSE(Sheet1!D$232,Inflate7,Inflate2,Inflate3,Inflate4,Inflate5,Inflate6,Inflate1,Inflate8),3),4)," ")</f>
        <v xml:space="preserve"> </v>
      </c>
      <c r="K32" s="265" t="str">
        <f>IF(AND(A32&lt;&gt;" ",Sheet1!D$192=1,Sheet1!D$193=1),ROUND((F32/I32)*J32,Sheet1!D$75),IF(AND(A32&lt;&gt;" ",Sheet1!D$193=1),ROUND((E32/I32)*J32,Sheet1!D$75)," "))</f>
        <v xml:space="preserve"> </v>
      </c>
      <c r="L32" s="254" t="str">
        <f>IF(Sheet1!D$192=1,IF(AND(AA32&gt;AJ$61,AA31&lt;=AJ$61),"&lt;-Payback"," ")," ")</f>
        <v xml:space="preserve"> </v>
      </c>
      <c r="M32" s="271" t="str">
        <f>IF(OR(Sheet1!D$192=1,Sheet1!D$193=1),IF(OR((A31&gt;=(Sheet1!D$148+$A$11)-1),AND(Sheet1!D$8=3,A31&gt;=6))," ",A31+1),NA())</f>
        <v xml:space="preserve"> </v>
      </c>
      <c r="N32" s="271" t="str">
        <f>IF(OR(Sheet1!D$192=1,Sheet1!D$193=1),IF(OR((B31&gt;=(Sheet1!D$148+$B$11)-1),AND(Sheet1!D$8=3,A31&gt;=6))," ",B31+1),NA())</f>
        <v xml:space="preserve"> </v>
      </c>
      <c r="O32" s="266" t="e">
        <f>IF(OR(Sheet1!D$192=1,Sheet1!D$193=1),IF(NOT(Sheet1!D$192=1),0,IF(ROUND(VLOOKUP(A32,StatusQuo!A$19:M$68,13),Sheet1!D$75)-ROUND(VLOOKUP(A32,AlternativeA!A$110:M$159,13),Sheet1!D$75)&gt;0,1,0))," ")</f>
        <v>#VALUE!</v>
      </c>
      <c r="P32" s="263" t="str">
        <f>IF(AND(A32&lt;&gt;" ",Sheet1!D$192=1,Sheet1!D$193=1),IF(AND(OR(Sheet1!D$8=2,Sheet1!D$22=3),O32&gt;10),0,ROUND(VLOOKUP(A32,StatusQuo!A$19:M$68,13),Sheet1!D$75)),IF(NOT(Sheet1!D$192=1),"not feasible",IF(A32=" "," ", "Savings is  n/a=&gt;")))</f>
        <v xml:space="preserve"> </v>
      </c>
      <c r="Q32" s="263" t="str">
        <f>IF(AND(A32&lt;&gt;" ",Sheet1!D$192=1,Sheet1!D$193=1),IF(AND(OR(Sheet1!D$8=2,Sheet1!D$22=3),O32&gt;10),0,ROUND(VLOOKUP(A32,AlternativeA!A$110:M$159,13),Sheet1!D$75)),IF(NOT(Sheet1!D$193=1),"not feasible",IF(A32=" "," ","&lt;== Savings is n/a")))</f>
        <v>not feasible</v>
      </c>
      <c r="R32" s="263" t="str">
        <f>IF(AND(A32&lt;&gt;" ",Sheet1!D$192=1,Sheet1!D$193=1),IF(G$81&lt;&gt;" ","??????? ",P32-Q32)," ")</f>
        <v xml:space="preserve"> </v>
      </c>
      <c r="S32" s="263" t="str">
        <f>IF(AND(A32&lt;&gt;" ",Sheet1!D$192=1,Sheet1!D$193=1),ROUND(R32*G32,Sheet1!D$75)," ")</f>
        <v xml:space="preserve"> </v>
      </c>
      <c r="T32" s="263" t="str">
        <f>IF(AND(A32&lt;&gt;" ",Sheet1!D$192=1,Sheet1!D$193=1),ROUND((R32/I32)*J32,Sheet1!D$75)," ")</f>
        <v xml:space="preserve"> </v>
      </c>
      <c r="U32" s="265">
        <f>SUM(T$11:T32)</f>
        <v>0</v>
      </c>
      <c r="V32" s="254" t="str">
        <f t="shared" si="0"/>
        <v xml:space="preserve"> </v>
      </c>
      <c r="W32" s="268">
        <f t="shared" si="1"/>
        <v>22</v>
      </c>
      <c r="X32" s="171" t="str">
        <f t="shared" si="2"/>
        <v xml:space="preserve"> </v>
      </c>
      <c r="Y32" s="296"/>
      <c r="Z32" s="270"/>
      <c r="AA32" s="265">
        <f>SUM(K$11:K32)</f>
        <v>0</v>
      </c>
      <c r="AB32" s="271" t="str">
        <f>IF(OR(Sheet1!D$192=1,Sheet1!D$193=1),IF(OR((AB31&gt;=(Sheet1!D$148+$A$11)-1),AND(Sheet1!D$8=3,AB31&gt;=6))," ",AB31+1),NA())</f>
        <v xml:space="preserve"> </v>
      </c>
      <c r="AC32" s="271" t="str">
        <f>IF(OR(Sheet1!D$192=1,Sheet1!D$193=1),IF(OR((AC31&gt;=(Sheet1!D$148+$B$11)-1),AND(Sheet1!D$8=3,AB31&gt;=6))," ",AC31+1),NA())</f>
        <v xml:space="preserve"> </v>
      </c>
      <c r="AD32" s="262"/>
      <c r="AE32" s="263" t="str">
        <f>IF(AND(Sheet1!D$193=1,AB32&lt;&gt;" "),ROUND(VLOOKUP(AB32,AlternativeA!A$17:M$66,12),Sheet1!D$75),IF(Sheet1!D$193=1," ","Alt  'A'  not feasible"))</f>
        <v>Alt  'A'  not feasible</v>
      </c>
      <c r="AF32" s="264" t="str">
        <f>IF(AB32&lt;=Sheet1!D$148, (1/((1+$AF$10)^(AB32-0.5)))," ")</f>
        <v xml:space="preserve"> </v>
      </c>
      <c r="AG32" s="263" t="str">
        <f>IF(AND(Sheet1!D$193=1,AB32&lt;&gt;" "),ROUND(+AE32*AF32,Sheet1!D$75)," ")</f>
        <v xml:space="preserve"> </v>
      </c>
      <c r="AH32" s="264" t="str">
        <f>IF(AB32&lt;&gt;" ",ROUND(VLOOKUP(Sheet1!E$82,CHOOSE(Sheet1!D$212,Inflate1,Inflate2,Inflate3,Inflate4,Inflate5,Inflate6,Inflate7,Inflate8),2),4)," ")</f>
        <v xml:space="preserve"> </v>
      </c>
      <c r="AI32" s="264" t="str">
        <f>IF(AB32&lt;&gt;" ",ROUND(VLOOKUP(AC32,CHOOSE(Sheet1!D$212,Inflate1,Inflate2,Inflate3,Inflate4,Inflate5,Inflate6,Inflate7,Inflate8),3),4)," ")</f>
        <v xml:space="preserve"> </v>
      </c>
      <c r="AJ32" s="263" t="b">
        <f>IF(AND(Sheet1!D$193=1,AB32&lt;&gt;" "),IF(AND(O32&lt;=10,OR(Sheet1!D$8=2,Sheet1!D$8=3,Sheet1!D$22=3)),ROUND((AE32/AH32)*AI32,Sheet1!D$75),IF(AND(Sheet1!D$8&lt;&gt;2,Sheet1!D$8&lt;&gt;3,Sheet1!D$22&lt;&gt;3),ROUND((AE32/AH32)*AI32,Sheet1!D$75)," ")))</f>
        <v>0</v>
      </c>
    </row>
    <row r="33" spans="1:36" ht="12" customHeight="1" x14ac:dyDescent="0.2">
      <c r="A33" s="271" t="str">
        <f>IF(OR(Sheet1!D$192=1,Sheet1!D$193=1),IF(OR((A32&gt;=(Sheet1!D$148+$A$11)-1),AND(Sheet1!D$8=3,A32&gt;=6))," ",A32+1),NA())</f>
        <v xml:space="preserve"> </v>
      </c>
      <c r="B33" s="271" t="str">
        <f>IF(OR(Sheet1!D$192=1,Sheet1!D$193=1),IF(OR((B32&gt;=(Sheet1!D$148+$B$11)-1),AND(Sheet1!D$8=3,A32&gt;=6))," ",B32+1),NA())</f>
        <v xml:space="preserve"> </v>
      </c>
      <c r="C33" s="262"/>
      <c r="D33" s="263" t="str">
        <f>IF(AND(Sheet1!D$192=1,A33&lt;&gt;" "),ROUND(VLOOKUP(A33,StatusQuo!A$19:M$68,12),Sheet1!D$75),IF(Sheet1!D$192=1," ","SQ not feasible "))</f>
        <v xml:space="preserve"> </v>
      </c>
      <c r="E33" s="263" t="str">
        <f>IF(AND(Sheet1!D$193=1,A33&lt;&gt;" "),ROUND(VLOOKUP(A33,AlternativeA!A$110:M$159,12),Sheet1!D$75),IF(Sheet1!D$193=1," ","Alt  'A'  not feasible"))</f>
        <v>Alt  'A'  not feasible</v>
      </c>
      <c r="F33" s="263" t="str">
        <f>IF(AND(A33&lt;&gt;" ",Sheet1!D$192=1,Sheet1!D$193=1),D33-E33,IF(AND(Sheet1!D$193=1,A33&lt;&gt;" ")," "," "))</f>
        <v xml:space="preserve"> </v>
      </c>
      <c r="G33" s="264" t="str">
        <f>IF(A33&lt;=Sheet1!D$148, (1/((1+G10)^(A33-0.5)))," ")</f>
        <v xml:space="preserve"> </v>
      </c>
      <c r="H33" s="263" t="str">
        <f>IF(AND(A33&lt;&gt;" ",Sheet1!D$192=1,Sheet1!D$193=1),ROUND(F33*G33,Sheet1!D$75),IF(AND(A33&lt;&gt;" ",Sheet1!D$193=1),ROUND(E33*G33,Sheet1!D$75)," "))</f>
        <v xml:space="preserve"> </v>
      </c>
      <c r="I33" s="264" t="str">
        <f>IF(A33&lt;&gt;" ",ROUND(VLOOKUP(Sheet1!E$82,CHOOSE(Sheet1!D$232,Inflate7,Inflate2,Inflate3,Inflate4,Inflate5,Inflate6,Inflate1,Inflate8),2),4)," ")</f>
        <v xml:space="preserve"> </v>
      </c>
      <c r="J33" s="264" t="str">
        <f>IF(A33&lt;&gt;" ",ROUND(VLOOKUP(B33,CHOOSE(Sheet1!D$232,Inflate7,Inflate2,Inflate3,Inflate4,Inflate5,Inflate6,Inflate1,Inflate8),3),4)," ")</f>
        <v xml:space="preserve"> </v>
      </c>
      <c r="K33" s="265" t="str">
        <f>IF(AND(A33&lt;&gt;" ",Sheet1!D$192=1,Sheet1!D$193=1),ROUND((F33/I33)*J33,Sheet1!D$75),IF(AND(A33&lt;&gt;" ",Sheet1!D$193=1),ROUND((E33/I33)*J33,Sheet1!D$75)," "))</f>
        <v xml:space="preserve"> </v>
      </c>
      <c r="L33" s="254" t="str">
        <f>IF(Sheet1!D$192=1,IF(AND(AA33&gt;AJ$61,AA32&lt;=AJ$61),"&lt;-Payback"," ")," ")</f>
        <v xml:space="preserve"> </v>
      </c>
      <c r="M33" s="271" t="str">
        <f>IF(OR(Sheet1!D$192=1,Sheet1!D$193=1),IF(OR((A32&gt;=(Sheet1!D$148+$A$11)-1),AND(Sheet1!D$8=3,A32&gt;=6))," ",A32+1),NA())</f>
        <v xml:space="preserve"> </v>
      </c>
      <c r="N33" s="271" t="str">
        <f>IF(OR(Sheet1!D$192=1,Sheet1!D$193=1),IF(OR((B32&gt;=(Sheet1!D$148+$B$11)-1),AND(Sheet1!D$8=3,A32&gt;=6))," ",B32+1),NA())</f>
        <v xml:space="preserve"> </v>
      </c>
      <c r="O33" s="266" t="e">
        <f>IF(OR(Sheet1!D$192=1,Sheet1!D$193=1),IF(NOT(Sheet1!D$192=1),0,IF(ROUND(VLOOKUP(A33,StatusQuo!A$19:M$68,13),Sheet1!D$75)-ROUND(VLOOKUP(A33,AlternativeA!A$110:M$159,13),Sheet1!D$75)&gt;0,1,0))," ")</f>
        <v>#VALUE!</v>
      </c>
      <c r="P33" s="263" t="str">
        <f>IF(AND(A33&lt;&gt;" ",Sheet1!D$192=1,Sheet1!D$193=1),IF(AND(OR(Sheet1!D$8=2,Sheet1!D$22=3),O33&gt;10),0,ROUND(VLOOKUP(A33,StatusQuo!A$19:M$68,13),Sheet1!D$75)),IF(NOT(Sheet1!D$192=1),"not feasible",IF(A33=" "," ", "Savings is  n/a=&gt;")))</f>
        <v xml:space="preserve"> </v>
      </c>
      <c r="Q33" s="263" t="str">
        <f>IF(AND(A33&lt;&gt;" ",Sheet1!D$192=1,Sheet1!D$193=1),IF(AND(OR(Sheet1!D$8=2,Sheet1!D$22=3),O33&gt;10),0,ROUND(VLOOKUP(A33,AlternativeA!A$110:M$159,13),Sheet1!D$75)),IF(NOT(Sheet1!D$193=1),"not feasible",IF(A33=" "," ","&lt;== Savings is n/a")))</f>
        <v>not feasible</v>
      </c>
      <c r="R33" s="263" t="str">
        <f>IF(AND(A33&lt;&gt;" ",Sheet1!D$192=1,Sheet1!D$193=1),IF(G$81&lt;&gt;" ","??????? ",P33-Q33)," ")</f>
        <v xml:space="preserve"> </v>
      </c>
      <c r="S33" s="263" t="str">
        <f>IF(AND(A33&lt;&gt;" ",Sheet1!D$192=1,Sheet1!D$193=1),ROUND(R33*G33,Sheet1!D$75)," ")</f>
        <v xml:space="preserve"> </v>
      </c>
      <c r="T33" s="263" t="str">
        <f>IF(AND(A33&lt;&gt;" ",Sheet1!D$192=1,Sheet1!D$193=1),ROUND((R33/I33)*J33,Sheet1!D$75)," ")</f>
        <v xml:space="preserve"> </v>
      </c>
      <c r="U33" s="265">
        <f>SUM(T$11:T33)</f>
        <v>0</v>
      </c>
      <c r="V33" s="254" t="str">
        <f t="shared" si="0"/>
        <v xml:space="preserve"> </v>
      </c>
      <c r="W33" s="268">
        <f t="shared" si="1"/>
        <v>23</v>
      </c>
      <c r="X33" s="171" t="str">
        <f t="shared" si="2"/>
        <v xml:space="preserve"> </v>
      </c>
      <c r="Y33" s="296"/>
      <c r="Z33" s="270"/>
      <c r="AA33" s="265">
        <f>SUM(K$11:K33)</f>
        <v>0</v>
      </c>
      <c r="AB33" s="271" t="str">
        <f>IF(OR(Sheet1!D$192=1,Sheet1!D$193=1),IF(OR((AB32&gt;=(Sheet1!D$148+$A$11)-1),AND(Sheet1!D$8=3,AB32&gt;=6))," ",AB32+1),NA())</f>
        <v xml:space="preserve"> </v>
      </c>
      <c r="AC33" s="271" t="str">
        <f>IF(OR(Sheet1!D$192=1,Sheet1!D$193=1),IF(OR((AC32&gt;=(Sheet1!D$148+$B$11)-1),AND(Sheet1!D$8=3,AB32&gt;=6))," ",AC32+1),NA())</f>
        <v xml:space="preserve"> </v>
      </c>
      <c r="AD33" s="262"/>
      <c r="AE33" s="263" t="str">
        <f>IF(AND(Sheet1!D$193=1,AB33&lt;&gt;" "),ROUND(VLOOKUP(AB33,AlternativeA!A$17:M$66,12),Sheet1!D$75),IF(Sheet1!D$193=1," ","Alt  'A'  not feasible"))</f>
        <v>Alt  'A'  not feasible</v>
      </c>
      <c r="AF33" s="264" t="str">
        <f>IF(AB33&lt;=Sheet1!D$148, (1/((1+$AF$10)^(AB33-0.5)))," ")</f>
        <v xml:space="preserve"> </v>
      </c>
      <c r="AG33" s="263" t="str">
        <f>IF(AND(Sheet1!D$193=1,AB33&lt;&gt;" "),ROUND(+AE33*AF33,Sheet1!D$75)," ")</f>
        <v xml:space="preserve"> </v>
      </c>
      <c r="AH33" s="264" t="str">
        <f>IF(AB33&lt;&gt;" ",ROUND(VLOOKUP(Sheet1!E$82,CHOOSE(Sheet1!D$212,Inflate1,Inflate2,Inflate3,Inflate4,Inflate5,Inflate6,Inflate7,Inflate8),2),4)," ")</f>
        <v xml:space="preserve"> </v>
      </c>
      <c r="AI33" s="264" t="str">
        <f>IF(AB33&lt;&gt;" ",ROUND(VLOOKUP(AC33,CHOOSE(Sheet1!D$212,Inflate1,Inflate2,Inflate3,Inflate4,Inflate5,Inflate6,Inflate7,Inflate8),3),4)," ")</f>
        <v xml:space="preserve"> </v>
      </c>
      <c r="AJ33" s="263" t="b">
        <f>IF(AND(Sheet1!D$193=1,AB33&lt;&gt;" "),IF(AND(O33&lt;=10,OR(Sheet1!D$8=2,Sheet1!D$8=3,Sheet1!D$22=3)),ROUND((AE33/AH33)*AI33,Sheet1!D$75),IF(AND(Sheet1!D$8&lt;&gt;2,Sheet1!D$8&lt;&gt;3,Sheet1!D$22&lt;&gt;3),ROUND((AE33/AH33)*AI33,Sheet1!D$75)," ")))</f>
        <v>0</v>
      </c>
    </row>
    <row r="34" spans="1:36" ht="12" customHeight="1" x14ac:dyDescent="0.2">
      <c r="A34" s="271" t="str">
        <f>IF(OR(Sheet1!D$192=1,Sheet1!D$193=1),IF(OR((A33&gt;=(Sheet1!D$148+$A$11)-1),AND(Sheet1!D$8=3,A33&gt;=6))," ",A33+1),NA())</f>
        <v xml:space="preserve"> </v>
      </c>
      <c r="B34" s="271" t="str">
        <f>IF(OR(Sheet1!D$192=1,Sheet1!D$193=1),IF(OR((B33&gt;=(Sheet1!D$148+$B$11)-1),AND(Sheet1!D$8=3,A33&gt;=6))," ",B33+1),NA())</f>
        <v xml:space="preserve"> </v>
      </c>
      <c r="C34" s="262"/>
      <c r="D34" s="263" t="str">
        <f>IF(AND(Sheet1!D$192=1,A34&lt;&gt;" "),ROUND(VLOOKUP(A34,StatusQuo!A$19:M$68,12),Sheet1!D$75),IF(Sheet1!D$192=1," ","SQ not feasible "))</f>
        <v xml:space="preserve"> </v>
      </c>
      <c r="E34" s="263" t="str">
        <f>IF(AND(Sheet1!D$193=1,A34&lt;&gt;" "),ROUND(VLOOKUP(A34,AlternativeA!A$110:M$159,12),Sheet1!D$75),IF(Sheet1!D$193=1," ","Alt  'A'  not feasible"))</f>
        <v>Alt  'A'  not feasible</v>
      </c>
      <c r="F34" s="263" t="str">
        <f>IF(AND(A34&lt;&gt;" ",Sheet1!D$192=1,Sheet1!D$193=1),D34-E34,IF(AND(Sheet1!D$193=1,A34&lt;&gt;" ")," "," "))</f>
        <v xml:space="preserve"> </v>
      </c>
      <c r="G34" s="264" t="str">
        <f>IF(A34&lt;=Sheet1!D$148, (1/((1+G10)^(A34-0.5)))," ")</f>
        <v xml:space="preserve"> </v>
      </c>
      <c r="H34" s="263" t="str">
        <f>IF(AND(A34&lt;&gt;" ",Sheet1!D$192=1,Sheet1!D$193=1),ROUND(F34*G34,Sheet1!D$75),IF(AND(A34&lt;&gt;" ",Sheet1!D$193=1),ROUND(E34*G34,Sheet1!D$75)," "))</f>
        <v xml:space="preserve"> </v>
      </c>
      <c r="I34" s="264" t="str">
        <f>IF(A34&lt;&gt;" ",ROUND(VLOOKUP(Sheet1!E$82,CHOOSE(Sheet1!D$232,Inflate7,Inflate2,Inflate3,Inflate4,Inflate5,Inflate6,Inflate1,Inflate8),2),4)," ")</f>
        <v xml:space="preserve"> </v>
      </c>
      <c r="J34" s="264" t="str">
        <f>IF(A34&lt;&gt;" ",ROUND(VLOOKUP(B34,CHOOSE(Sheet1!D$232,Inflate7,Inflate2,Inflate3,Inflate4,Inflate5,Inflate6,Inflate1,Inflate8),3),4)," ")</f>
        <v xml:space="preserve"> </v>
      </c>
      <c r="K34" s="265" t="str">
        <f>IF(AND(A34&lt;&gt;" ",Sheet1!D$192=1,Sheet1!D$193=1),ROUND((F34/I34)*J34,Sheet1!D$75),IF(AND(A34&lt;&gt;" ",Sheet1!D$193=1),ROUND((E34/I34)*J34,Sheet1!D$75)," "))</f>
        <v xml:space="preserve"> </v>
      </c>
      <c r="L34" s="254" t="str">
        <f>IF(Sheet1!D$192=1,IF(AND(AA34&gt;AJ$61,AA33&lt;=AJ$61),"&lt;-Payback"," ")," ")</f>
        <v xml:space="preserve"> </v>
      </c>
      <c r="M34" s="271" t="str">
        <f>IF(OR(Sheet1!D$192=1,Sheet1!D$193=1),IF(OR((A33&gt;=(Sheet1!D$148+$A$11)-1),AND(Sheet1!D$8=3,A33&gt;=6))," ",A33+1),NA())</f>
        <v xml:space="preserve"> </v>
      </c>
      <c r="N34" s="271" t="str">
        <f>IF(OR(Sheet1!D$192=1,Sheet1!D$193=1),IF(OR((B33&gt;=(Sheet1!D$148+$B$11)-1),AND(Sheet1!D$8=3,A33&gt;=6))," ",B33+1),NA())</f>
        <v xml:space="preserve"> </v>
      </c>
      <c r="O34" s="266" t="e">
        <f>IF(OR(Sheet1!D$192=1,Sheet1!D$193=1),IF(NOT(Sheet1!D$192=1),0,IF(ROUND(VLOOKUP(A34,StatusQuo!A$19:M$68,13),Sheet1!D$75)-ROUND(VLOOKUP(A34,AlternativeA!A$110:M$159,13),Sheet1!D$75)&gt;0,1,0))," ")</f>
        <v>#VALUE!</v>
      </c>
      <c r="P34" s="263" t="str">
        <f>IF(AND(A34&lt;&gt;" ",Sheet1!D$192=1,Sheet1!D$193=1),IF(AND(OR(Sheet1!D$8=2,Sheet1!D$22=3),O34&gt;10),0,ROUND(VLOOKUP(A34,StatusQuo!A$19:M$68,13),Sheet1!D$75)),IF(NOT(Sheet1!D$192=1),"not feasible",IF(A34=" "," ", "Savings is  n/a=&gt;")))</f>
        <v xml:space="preserve"> </v>
      </c>
      <c r="Q34" s="263" t="str">
        <f>IF(AND(A34&lt;&gt;" ",Sheet1!D$192=1,Sheet1!D$193=1),IF(AND(OR(Sheet1!D$8=2,Sheet1!D$22=3),O34&gt;10),0,ROUND(VLOOKUP(A34,AlternativeA!A$110:M$159,13),Sheet1!D$75)),IF(NOT(Sheet1!D$193=1),"not feasible",IF(A34=" "," ","&lt;== Savings is n/a")))</f>
        <v>not feasible</v>
      </c>
      <c r="R34" s="263" t="str">
        <f>IF(AND(A34&lt;&gt;" ",Sheet1!D$192=1,Sheet1!D$193=1),IF(G$81&lt;&gt;" ","??????? ",P34-Q34)," ")</f>
        <v xml:space="preserve"> </v>
      </c>
      <c r="S34" s="263" t="str">
        <f>IF(AND(A34&lt;&gt;" ",Sheet1!D$192=1,Sheet1!D$193=1),ROUND(R34*G34,Sheet1!D$75)," ")</f>
        <v xml:space="preserve"> </v>
      </c>
      <c r="T34" s="263" t="str">
        <f>IF(AND(A34&lt;&gt;" ",Sheet1!D$192=1,Sheet1!D$193=1),ROUND((R34/I34)*J34,Sheet1!D$75)," ")</f>
        <v xml:space="preserve"> </v>
      </c>
      <c r="U34" s="265">
        <f>SUM(T$11:T34)</f>
        <v>0</v>
      </c>
      <c r="V34" s="254" t="str">
        <f t="shared" si="0"/>
        <v xml:space="preserve"> </v>
      </c>
      <c r="W34" s="268">
        <f t="shared" si="1"/>
        <v>24</v>
      </c>
      <c r="X34" s="171" t="str">
        <f t="shared" si="2"/>
        <v xml:space="preserve"> </v>
      </c>
      <c r="Y34" s="296"/>
      <c r="Z34" s="270"/>
      <c r="AA34" s="265">
        <f>SUM(K$11:K34)</f>
        <v>0</v>
      </c>
      <c r="AB34" s="271" t="str">
        <f>IF(OR(Sheet1!D$192=1,Sheet1!D$193=1),IF(OR((AB33&gt;=(Sheet1!D$148+$A$11)-1),AND(Sheet1!D$8=3,AB33&gt;=6))," ",AB33+1),NA())</f>
        <v xml:space="preserve"> </v>
      </c>
      <c r="AC34" s="271" t="str">
        <f>IF(OR(Sheet1!D$192=1,Sheet1!D$193=1),IF(OR((AC33&gt;=(Sheet1!D$148+$B$11)-1),AND(Sheet1!D$8=3,AB33&gt;=6))," ",AC33+1),NA())</f>
        <v xml:space="preserve"> </v>
      </c>
      <c r="AD34" s="262"/>
      <c r="AE34" s="263" t="str">
        <f>IF(AND(Sheet1!D$193=1,AB34&lt;&gt;" "),ROUND(VLOOKUP(AB34,AlternativeA!A$17:M$66,12),Sheet1!D$75),IF(Sheet1!D$193=1," ","Alt  'A'  not feasible"))</f>
        <v>Alt  'A'  not feasible</v>
      </c>
      <c r="AF34" s="264" t="str">
        <f>IF(AB34&lt;=Sheet1!D$148, (1/((1+$AF$10)^(AB34-0.5)))," ")</f>
        <v xml:space="preserve"> </v>
      </c>
      <c r="AG34" s="263" t="str">
        <f>IF(AND(Sheet1!D$193=1,AB34&lt;&gt;" "),ROUND(+AE34*AF34,Sheet1!D$75)," ")</f>
        <v xml:space="preserve"> </v>
      </c>
      <c r="AH34" s="264" t="str">
        <f>IF(AB34&lt;&gt;" ",ROUND(VLOOKUP(Sheet1!E$82,CHOOSE(Sheet1!D$212,Inflate1,Inflate2,Inflate3,Inflate4,Inflate5,Inflate6,Inflate7,Inflate8),2),4)," ")</f>
        <v xml:space="preserve"> </v>
      </c>
      <c r="AI34" s="264" t="str">
        <f>IF(AB34&lt;&gt;" ",ROUND(VLOOKUP(AC34,CHOOSE(Sheet1!D$212,Inflate1,Inflate2,Inflate3,Inflate4,Inflate5,Inflate6,Inflate7,Inflate8),3),4)," ")</f>
        <v xml:space="preserve"> </v>
      </c>
      <c r="AJ34" s="263" t="b">
        <f>IF(AND(Sheet1!D$193=1,AB34&lt;&gt;" "),IF(AND(O34&lt;=10,OR(Sheet1!D$8=2,Sheet1!D$8=3,Sheet1!D$22=3)),ROUND((AE34/AH34)*AI34,Sheet1!D$75),IF(AND(Sheet1!D$8&lt;&gt;2,Sheet1!D$8&lt;&gt;3,Sheet1!D$22&lt;&gt;3),ROUND((AE34/AH34)*AI34,Sheet1!D$75)," ")))</f>
        <v>0</v>
      </c>
    </row>
    <row r="35" spans="1:36" ht="12" customHeight="1" x14ac:dyDescent="0.2">
      <c r="A35" s="271" t="str">
        <f>IF(OR(Sheet1!D$192=1,Sheet1!D$193=1),IF(OR((A34&gt;=(Sheet1!D$148+$A$11)-1),AND(Sheet1!D$8=3,A34&gt;=6))," ",A34+1),NA())</f>
        <v xml:space="preserve"> </v>
      </c>
      <c r="B35" s="271" t="str">
        <f>IF(OR(Sheet1!D$192=1,Sheet1!D$193=1),IF(OR((B34&gt;=(Sheet1!D$148+$B$11)-1),AND(Sheet1!D$8=3,A34&gt;=6))," ",B34+1),NA())</f>
        <v xml:space="preserve"> </v>
      </c>
      <c r="C35" s="262"/>
      <c r="D35" s="263" t="str">
        <f>IF(AND(Sheet1!D$192=1,A35&lt;&gt;" "),ROUND(VLOOKUP(A35,StatusQuo!A$19:M$68,12),Sheet1!D$75),IF(Sheet1!D$192=1," ","SQ not feasible "))</f>
        <v xml:space="preserve"> </v>
      </c>
      <c r="E35" s="263" t="str">
        <f>IF(AND(Sheet1!D$193=1,A35&lt;&gt;" "),ROUND(VLOOKUP(A35,AlternativeA!A$110:M$159,12),Sheet1!D$75),IF(Sheet1!D$193=1," ","Alt  'A'  not feasible"))</f>
        <v>Alt  'A'  not feasible</v>
      </c>
      <c r="F35" s="263" t="str">
        <f>IF(AND(A35&lt;&gt;" ",Sheet1!D$192=1,Sheet1!D$193=1),D35-E35,IF(AND(Sheet1!D$193=1,A35&lt;&gt;" ")," "," "))</f>
        <v xml:space="preserve"> </v>
      </c>
      <c r="G35" s="264" t="str">
        <f>IF(A35&lt;=Sheet1!D$148, (1/((1+G10)^(A35-0.5)))," ")</f>
        <v xml:space="preserve"> </v>
      </c>
      <c r="H35" s="263" t="str">
        <f>IF(AND(A35&lt;&gt;" ",Sheet1!D$192=1,Sheet1!D$193=1),ROUND(F35*G35,Sheet1!D$75),IF(AND(A35&lt;&gt;" ",Sheet1!D$193=1),ROUND(E35*G35,Sheet1!D$75)," "))</f>
        <v xml:space="preserve"> </v>
      </c>
      <c r="I35" s="264" t="str">
        <f>IF(A35&lt;&gt;" ",ROUND(VLOOKUP(Sheet1!E$82,CHOOSE(Sheet1!D$232,Inflate7,Inflate2,Inflate3,Inflate4,Inflate5,Inflate6,Inflate1,Inflate8),2),4)," ")</f>
        <v xml:space="preserve"> </v>
      </c>
      <c r="J35" s="264" t="str">
        <f>IF(A35&lt;&gt;" ",ROUND(VLOOKUP(B35,CHOOSE(Sheet1!D$232,Inflate7,Inflate2,Inflate3,Inflate4,Inflate5,Inflate6,Inflate1,Inflate8),3),4)," ")</f>
        <v xml:space="preserve"> </v>
      </c>
      <c r="K35" s="265" t="str">
        <f>IF(AND(A35&lt;&gt;" ",Sheet1!D$192=1,Sheet1!D$193=1),ROUND((F35/I35)*J35,Sheet1!D$75),IF(AND(A35&lt;&gt;" ",Sheet1!D$193=1),ROUND((E35/I35)*J35,Sheet1!D$75)," "))</f>
        <v xml:space="preserve"> </v>
      </c>
      <c r="L35" s="254" t="str">
        <f>IF(Sheet1!D$192=1,IF(AND(AA35&gt;AJ$61,AA34&lt;=AJ$61),"&lt;-Payback"," ")," ")</f>
        <v xml:space="preserve"> </v>
      </c>
      <c r="M35" s="271" t="str">
        <f>IF(OR(Sheet1!D$192=1,Sheet1!D$193=1),IF(OR((A34&gt;=(Sheet1!D$148+$A$11)-1),AND(Sheet1!D$8=3,A34&gt;=6))," ",A34+1),NA())</f>
        <v xml:space="preserve"> </v>
      </c>
      <c r="N35" s="271" t="str">
        <f>IF(OR(Sheet1!D$192=1,Sheet1!D$193=1),IF(OR((B34&gt;=(Sheet1!D$148+$B$11)-1),AND(Sheet1!D$8=3,A34&gt;=6))," ",B34+1),NA())</f>
        <v xml:space="preserve"> </v>
      </c>
      <c r="O35" s="266" t="e">
        <f>IF(OR(Sheet1!D$192=1,Sheet1!D$193=1),IF(NOT(Sheet1!D$192=1),0,IF(ROUND(VLOOKUP(A35,StatusQuo!A$19:M$68,13),Sheet1!D$75)-ROUND(VLOOKUP(A35,AlternativeA!A$110:M$159,13),Sheet1!D$75)&gt;0,1,0))," ")</f>
        <v>#VALUE!</v>
      </c>
      <c r="P35" s="263" t="str">
        <f>IF(AND(A35&lt;&gt;" ",Sheet1!D$192=1,Sheet1!D$193=1),IF(AND(OR(Sheet1!D$8=2,Sheet1!D$22=3),O35&gt;10),0,ROUND(VLOOKUP(A35,StatusQuo!A$19:M$68,13),Sheet1!D$75)),IF(NOT(Sheet1!D$192=1),"not feasible",IF(A35=" "," ", "Savings is  n/a=&gt;")))</f>
        <v xml:space="preserve"> </v>
      </c>
      <c r="Q35" s="263" t="str">
        <f>IF(AND(A35&lt;&gt;" ",Sheet1!D$192=1,Sheet1!D$193=1),IF(AND(OR(Sheet1!D$8=2,Sheet1!D$22=3),O35&gt;10),0,ROUND(VLOOKUP(A35,AlternativeA!A$110:M$159,13),Sheet1!D$75)),IF(NOT(Sheet1!D$193=1),"not feasible",IF(A35=" "," ","&lt;== Savings is n/a")))</f>
        <v>not feasible</v>
      </c>
      <c r="R35" s="263" t="str">
        <f>IF(AND(A35&lt;&gt;" ",Sheet1!D$192=1,Sheet1!D$193=1),IF(G$81&lt;&gt;" ","??????? ",P35-Q35)," ")</f>
        <v xml:space="preserve"> </v>
      </c>
      <c r="S35" s="263" t="str">
        <f>IF(AND(A35&lt;&gt;" ",Sheet1!D$192=1,Sheet1!D$193=1),ROUND(R35*G35,Sheet1!D$75)," ")</f>
        <v xml:space="preserve"> </v>
      </c>
      <c r="T35" s="263" t="str">
        <f>IF(AND(A35&lt;&gt;" ",Sheet1!D$192=1,Sheet1!D$193=1),ROUND((R35/I35)*J35,Sheet1!D$75)," ")</f>
        <v xml:space="preserve"> </v>
      </c>
      <c r="U35" s="265">
        <f>SUM(T$11:T35)</f>
        <v>0</v>
      </c>
      <c r="V35" s="254" t="str">
        <f t="shared" si="0"/>
        <v xml:space="preserve"> </v>
      </c>
      <c r="W35" s="268">
        <f t="shared" si="1"/>
        <v>25</v>
      </c>
      <c r="X35" s="171" t="str">
        <f t="shared" si="2"/>
        <v xml:space="preserve"> </v>
      </c>
      <c r="Y35" s="296"/>
      <c r="Z35" s="270"/>
      <c r="AA35" s="265">
        <f>SUM(K$11:K35)</f>
        <v>0</v>
      </c>
      <c r="AB35" s="271" t="str">
        <f>IF(OR(Sheet1!D$192=1,Sheet1!D$193=1),IF(OR((AB34&gt;=(Sheet1!D$148+$A$11)-1),AND(Sheet1!D$8=3,AB34&gt;=6))," ",AB34+1),NA())</f>
        <v xml:space="preserve"> </v>
      </c>
      <c r="AC35" s="271" t="str">
        <f>IF(OR(Sheet1!D$192=1,Sheet1!D$193=1),IF(OR((AC34&gt;=(Sheet1!D$148+$B$11)-1),AND(Sheet1!D$8=3,AB34&gt;=6))," ",AC34+1),NA())</f>
        <v xml:space="preserve"> </v>
      </c>
      <c r="AD35" s="262"/>
      <c r="AE35" s="263" t="str">
        <f>IF(AND(Sheet1!D$193=1,AB35&lt;&gt;" "),ROUND(VLOOKUP(AB35,AlternativeA!A$17:M$66,12),Sheet1!D$75),IF(Sheet1!D$193=1," ","Alt  'A'  not feasible"))</f>
        <v>Alt  'A'  not feasible</v>
      </c>
      <c r="AF35" s="264" t="str">
        <f>IF(AB35&lt;=Sheet1!D$148, (1/((1+$AF$10)^(AB35-0.5)))," ")</f>
        <v xml:space="preserve"> </v>
      </c>
      <c r="AG35" s="263" t="str">
        <f>IF(AND(Sheet1!D$193=1,AB35&lt;&gt;" "),ROUND(+AE35*AF35,Sheet1!D$75)," ")</f>
        <v xml:space="preserve"> </v>
      </c>
      <c r="AH35" s="264" t="str">
        <f>IF(AB35&lt;&gt;" ",ROUND(VLOOKUP(Sheet1!E$82,CHOOSE(Sheet1!D$212,Inflate1,Inflate2,Inflate3,Inflate4,Inflate5,Inflate6,Inflate7,Inflate8),2),4)," ")</f>
        <v xml:space="preserve"> </v>
      </c>
      <c r="AI35" s="264" t="str">
        <f>IF(AB35&lt;&gt;" ",ROUND(VLOOKUP(AC35,CHOOSE(Sheet1!D$212,Inflate1,Inflate2,Inflate3,Inflate4,Inflate5,Inflate6,Inflate7,Inflate8),3),4)," ")</f>
        <v xml:space="preserve"> </v>
      </c>
      <c r="AJ35" s="263" t="b">
        <f>IF(AND(Sheet1!D$193=1,AB35&lt;&gt;" "),IF(AND(O35&lt;=10,OR(Sheet1!D$8=2,Sheet1!D$8=3,Sheet1!D$22=3)),ROUND((AE35/AH35)*AI35,Sheet1!D$75),IF(AND(Sheet1!D$8&lt;&gt;2,Sheet1!D$8&lt;&gt;3,Sheet1!D$22&lt;&gt;3),ROUND((AE35/AH35)*AI35,Sheet1!D$75)," ")))</f>
        <v>0</v>
      </c>
    </row>
    <row r="36" spans="1:36" ht="12" customHeight="1" x14ac:dyDescent="0.2">
      <c r="A36" s="271" t="str">
        <f>IF(OR(Sheet1!D$192=1,Sheet1!D$193=1),IF(OR((A35&gt;=(Sheet1!D$148+$A$11)-1),AND(Sheet1!D$8=3,A35&gt;=6))," ",A35+1),NA())</f>
        <v xml:space="preserve"> </v>
      </c>
      <c r="B36" s="271" t="str">
        <f>IF(OR(Sheet1!D$192=1,Sheet1!D$193=1),IF(OR((B35&gt;=(Sheet1!D$148+$B$11)-1),AND(Sheet1!D$8=3,A35&gt;=6))," ",B35+1),NA())</f>
        <v xml:space="preserve"> </v>
      </c>
      <c r="C36" s="262"/>
      <c r="D36" s="263" t="str">
        <f>IF(AND(Sheet1!D$192=1,A36&lt;&gt;" "),ROUND(VLOOKUP(A36,StatusQuo!A$19:M$68,12),Sheet1!D$75),IF(Sheet1!D$192=1," ","SQ not feasible "))</f>
        <v xml:space="preserve"> </v>
      </c>
      <c r="E36" s="263" t="str">
        <f>IF(AND(Sheet1!D$193=1,A36&lt;&gt;" "),ROUND(VLOOKUP(A36,AlternativeA!A$110:M$159,12),Sheet1!D$75),IF(Sheet1!D$193=1," ","Alt  'A'  not feasible"))</f>
        <v>Alt  'A'  not feasible</v>
      </c>
      <c r="F36" s="263" t="str">
        <f>IF(AND(A36&lt;&gt;" ",Sheet1!D$192=1,Sheet1!D$193=1),D36-E36,IF(AND(Sheet1!D$193=1,A36&lt;&gt;" ")," "," "))</f>
        <v xml:space="preserve"> </v>
      </c>
      <c r="G36" s="264" t="str">
        <f>IF(A36&lt;=Sheet1!D$148, (1/((1+G10)^(A36-0.5)))," ")</f>
        <v xml:space="preserve"> </v>
      </c>
      <c r="H36" s="263" t="str">
        <f>IF(AND(A36&lt;&gt;" ",Sheet1!D$192=1,Sheet1!D$193=1),ROUND(F36*G36,Sheet1!D$75),IF(AND(A36&lt;&gt;" ",Sheet1!D$193=1),ROUND(E36*G36,Sheet1!D$75)," "))</f>
        <v xml:space="preserve"> </v>
      </c>
      <c r="I36" s="264" t="str">
        <f>IF(A36&lt;&gt;" ",ROUND(VLOOKUP(Sheet1!E$82,CHOOSE(Sheet1!D$232,Inflate7,Inflate2,Inflate3,Inflate4,Inflate5,Inflate6,Inflate1,Inflate8),2),4)," ")</f>
        <v xml:space="preserve"> </v>
      </c>
      <c r="J36" s="264" t="str">
        <f>IF(A36&lt;&gt;" ",ROUND(VLOOKUP(B36,CHOOSE(Sheet1!D$232,Inflate7,Inflate2,Inflate3,Inflate4,Inflate5,Inflate6,Inflate1,Inflate8),3),4)," ")</f>
        <v xml:space="preserve"> </v>
      </c>
      <c r="K36" s="265" t="str">
        <f>IF(AND(A36&lt;&gt;" ",Sheet1!D$192=1,Sheet1!D$193=1),ROUND((F36/I36)*J36,Sheet1!D$75),IF(AND(A36&lt;&gt;" ",Sheet1!D$193=1),ROUND((E36/I36)*J36,Sheet1!D$75)," "))</f>
        <v xml:space="preserve"> </v>
      </c>
      <c r="L36" s="254" t="str">
        <f>IF(Sheet1!D$192=1,IF(AND(AA36&gt;AJ$61,AA35&lt;=AJ$61),"&lt;-Payback"," ")," ")</f>
        <v xml:space="preserve"> </v>
      </c>
      <c r="M36" s="271" t="str">
        <f>IF(OR(Sheet1!D$192=1,Sheet1!D$193=1),IF(OR((A35&gt;=(Sheet1!D$148+$A$11)-1),AND(Sheet1!D$8=3,A35&gt;=6))," ",A35+1),NA())</f>
        <v xml:space="preserve"> </v>
      </c>
      <c r="N36" s="271" t="str">
        <f>IF(OR(Sheet1!D$192=1,Sheet1!D$193=1),IF(OR((B35&gt;=(Sheet1!D$148+$B$11)-1),AND(Sheet1!D$8=3,A35&gt;=6))," ",B35+1),NA())</f>
        <v xml:space="preserve"> </v>
      </c>
      <c r="O36" s="266" t="e">
        <f>IF(OR(Sheet1!D$192=1,Sheet1!D$193=1),IF(NOT(Sheet1!D$192=1),0,IF(ROUND(VLOOKUP(A36,StatusQuo!A$19:M$68,13),Sheet1!D$75)-ROUND(VLOOKUP(A36,AlternativeA!A$110:M$159,13),Sheet1!D$75)&gt;0,1,0))," ")</f>
        <v>#VALUE!</v>
      </c>
      <c r="P36" s="263" t="str">
        <f>IF(AND(A36&lt;&gt;" ",Sheet1!D$192=1,Sheet1!D$193=1),IF(AND(OR(Sheet1!D$8=2,Sheet1!D$22=3),O36&gt;10),0,ROUND(VLOOKUP(A36,StatusQuo!A$19:M$68,13),Sheet1!D$75)),IF(NOT(Sheet1!D$192=1),"not feasible",IF(A36=" "," ", "Savings is  n/a=&gt;")))</f>
        <v xml:space="preserve"> </v>
      </c>
      <c r="Q36" s="263" t="str">
        <f>IF(AND(A36&lt;&gt;" ",Sheet1!D$192=1,Sheet1!D$193=1),IF(AND(OR(Sheet1!D$8=2,Sheet1!D$22=3),O36&gt;10),0,ROUND(VLOOKUP(A36,AlternativeA!A$110:M$159,13),Sheet1!D$75)),IF(NOT(Sheet1!D$193=1),"not feasible",IF(A36=" "," ","&lt;== Savings is n/a")))</f>
        <v>not feasible</v>
      </c>
      <c r="R36" s="263" t="str">
        <f>IF(AND(A36&lt;&gt;" ",Sheet1!D$192=1,Sheet1!D$193=1),IF(G$81&lt;&gt;" ","??????? ",P36-Q36)," ")</f>
        <v xml:space="preserve"> </v>
      </c>
      <c r="S36" s="263" t="str">
        <f>IF(AND(A36&lt;&gt;" ",Sheet1!D$192=1,Sheet1!D$193=1),ROUND(R36*G36,Sheet1!D$75)," ")</f>
        <v xml:space="preserve"> </v>
      </c>
      <c r="T36" s="263" t="str">
        <f>IF(AND(A36&lt;&gt;" ",Sheet1!D$192=1,Sheet1!D$193=1),ROUND((R36/I36)*J36,Sheet1!D$75)," ")</f>
        <v xml:space="preserve"> </v>
      </c>
      <c r="U36" s="265">
        <f>SUM(T$11:T36)</f>
        <v>0</v>
      </c>
      <c r="V36" s="254" t="str">
        <f t="shared" si="0"/>
        <v xml:space="preserve"> </v>
      </c>
      <c r="W36" s="268">
        <f t="shared" si="1"/>
        <v>26</v>
      </c>
      <c r="X36" s="171" t="str">
        <f t="shared" si="2"/>
        <v xml:space="preserve"> </v>
      </c>
      <c r="Y36" s="296"/>
      <c r="Z36" s="270"/>
      <c r="AA36" s="265">
        <f>SUM(K$11:K36)</f>
        <v>0</v>
      </c>
      <c r="AB36" s="271" t="str">
        <f>IF(OR(Sheet1!D$192=1,Sheet1!D$193=1),IF(OR((AB35&gt;=(Sheet1!D$148+$A$11)-1),AND(Sheet1!D$8=3,AB35&gt;=6))," ",AB35+1),NA())</f>
        <v xml:space="preserve"> </v>
      </c>
      <c r="AC36" s="271" t="str">
        <f>IF(OR(Sheet1!D$192=1,Sheet1!D$193=1),IF(OR((AC35&gt;=(Sheet1!D$148+$B$11)-1),AND(Sheet1!D$8=3,AB35&gt;=6))," ",AC35+1),NA())</f>
        <v xml:space="preserve"> </v>
      </c>
      <c r="AD36" s="262"/>
      <c r="AE36" s="263" t="str">
        <f>IF(AND(Sheet1!D$193=1,AB36&lt;&gt;" "),ROUND(VLOOKUP(AB36,AlternativeA!A$17:M$66,12),Sheet1!D$75),IF(Sheet1!D$193=1," ","Alt  'A'  not feasible"))</f>
        <v>Alt  'A'  not feasible</v>
      </c>
      <c r="AF36" s="264" t="str">
        <f>IF(AB36&lt;=Sheet1!D$148, (1/((1+$AF$10)^(AB36-0.5)))," ")</f>
        <v xml:space="preserve"> </v>
      </c>
      <c r="AG36" s="263" t="str">
        <f>IF(AND(Sheet1!D$193=1,AB36&lt;&gt;" "),ROUND(+AE36*AF36,Sheet1!D$75)," ")</f>
        <v xml:space="preserve"> </v>
      </c>
      <c r="AH36" s="264" t="str">
        <f>IF(AB36&lt;&gt;" ",ROUND(VLOOKUP(Sheet1!E$82,CHOOSE(Sheet1!D$212,Inflate1,Inflate2,Inflate3,Inflate4,Inflate5,Inflate6,Inflate7,Inflate8),2),4)," ")</f>
        <v xml:space="preserve"> </v>
      </c>
      <c r="AI36" s="264" t="str">
        <f>IF(AB36&lt;&gt;" ",ROUND(VLOOKUP(AC36,CHOOSE(Sheet1!D$212,Inflate1,Inflate2,Inflate3,Inflate4,Inflate5,Inflate6,Inflate7,Inflate8),3),4)," ")</f>
        <v xml:space="preserve"> </v>
      </c>
      <c r="AJ36" s="263" t="b">
        <f>IF(AND(Sheet1!D$193=1,AB36&lt;&gt;" "),IF(AND(O36&lt;=10,OR(Sheet1!D$8=2,Sheet1!D$8=3,Sheet1!D$22=3)),ROUND((AE36/AH36)*AI36,Sheet1!D$75),IF(AND(Sheet1!D$8&lt;&gt;2,Sheet1!D$8&lt;&gt;3,Sheet1!D$22&lt;&gt;3),ROUND((AE36/AH36)*AI36,Sheet1!D$75)," ")))</f>
        <v>0</v>
      </c>
    </row>
    <row r="37" spans="1:36" ht="12" customHeight="1" x14ac:dyDescent="0.2">
      <c r="A37" s="271" t="str">
        <f>IF(OR(Sheet1!D$192=1,Sheet1!D$193=1),IF(OR((A36&gt;=(Sheet1!D$148+$A$11)-1),AND(Sheet1!D$8=3,A36&gt;=6))," ",A36+1),NA())</f>
        <v xml:space="preserve"> </v>
      </c>
      <c r="B37" s="271" t="str">
        <f>IF(OR(Sheet1!D$192=1,Sheet1!D$193=1),IF(OR((B36&gt;=(Sheet1!D$148+$B$11)-1),AND(Sheet1!D$8=3,A36&gt;=6))," ",B36+1),NA())</f>
        <v xml:space="preserve"> </v>
      </c>
      <c r="C37" s="262"/>
      <c r="D37" s="263" t="str">
        <f>IF(AND(Sheet1!D$192=1,A37&lt;&gt;" "),ROUND(VLOOKUP(A37,StatusQuo!A$19:M$68,12),Sheet1!D$75),IF(Sheet1!D$192=1," ","SQ not feasible "))</f>
        <v xml:space="preserve"> </v>
      </c>
      <c r="E37" s="263" t="str">
        <f>IF(AND(Sheet1!D$193=1,A37&lt;&gt;" "),ROUND(VLOOKUP(A37,AlternativeA!A$110:M$159,12),Sheet1!D$75),IF(Sheet1!D$193=1," ","Alt  'A'  not feasible"))</f>
        <v>Alt  'A'  not feasible</v>
      </c>
      <c r="F37" s="263" t="str">
        <f>IF(AND(A37&lt;&gt;" ",Sheet1!D$192=1,Sheet1!D$193=1),D37-E37,IF(AND(Sheet1!D$193=1,A37&lt;&gt;" ")," "," "))</f>
        <v xml:space="preserve"> </v>
      </c>
      <c r="G37" s="264" t="str">
        <f>IF(A37&lt;=Sheet1!D$148, (1/((1+G10)^(A37-0.5)))," ")</f>
        <v xml:space="preserve"> </v>
      </c>
      <c r="H37" s="263" t="str">
        <f>IF(AND(A37&lt;&gt;" ",Sheet1!D$192=1,Sheet1!D$193=1),ROUND(F37*G37,Sheet1!D$75),IF(AND(A37&lt;&gt;" ",Sheet1!D$193=1),ROUND(E37*G37,Sheet1!D$75)," "))</f>
        <v xml:space="preserve"> </v>
      </c>
      <c r="I37" s="264" t="str">
        <f>IF(A37&lt;&gt;" ",ROUND(VLOOKUP(Sheet1!E$82,CHOOSE(Sheet1!D$232,Inflate7,Inflate2,Inflate3,Inflate4,Inflate5,Inflate6,Inflate1,Inflate8),2),4)," ")</f>
        <v xml:space="preserve"> </v>
      </c>
      <c r="J37" s="264" t="str">
        <f>IF(A37&lt;&gt;" ",ROUND(VLOOKUP(B37,CHOOSE(Sheet1!D$232,Inflate7,Inflate2,Inflate3,Inflate4,Inflate5,Inflate6,Inflate1,Inflate8),3),4)," ")</f>
        <v xml:space="preserve"> </v>
      </c>
      <c r="K37" s="265" t="str">
        <f>IF(AND(A37&lt;&gt;" ",Sheet1!D$192=1,Sheet1!D$193=1),ROUND((F37/I37)*J37,Sheet1!D$75),IF(AND(A37&lt;&gt;" ",Sheet1!D$193=1),ROUND((E37/I37)*J37,Sheet1!D$75)," "))</f>
        <v xml:space="preserve"> </v>
      </c>
      <c r="L37" s="254" t="str">
        <f>IF(Sheet1!D$192=1,IF(AND(AA37&gt;AJ$61,AA36&lt;=AJ$61),"&lt;-Payback"," ")," ")</f>
        <v xml:space="preserve"> </v>
      </c>
      <c r="M37" s="271" t="str">
        <f>IF(OR(Sheet1!D$192=1,Sheet1!D$193=1),IF(OR((A36&gt;=(Sheet1!D$148+$A$11)-1),AND(Sheet1!D$8=3,A36&gt;=6))," ",A36+1),NA())</f>
        <v xml:space="preserve"> </v>
      </c>
      <c r="N37" s="271" t="str">
        <f>IF(OR(Sheet1!D$192=1,Sheet1!D$193=1),IF(OR((B36&gt;=(Sheet1!D$148+$B$11)-1),AND(Sheet1!D$8=3,A36&gt;=6))," ",B36+1),NA())</f>
        <v xml:space="preserve"> </v>
      </c>
      <c r="O37" s="266" t="e">
        <f>IF(OR(Sheet1!D$192=1,Sheet1!D$193=1),IF(NOT(Sheet1!D$192=1),0,IF(ROUND(VLOOKUP(A37,StatusQuo!A$19:M$68,13),Sheet1!D$75)-ROUND(VLOOKUP(A37,AlternativeA!A$110:M$159,13),Sheet1!D$75)&gt;0,1,0))," ")</f>
        <v>#VALUE!</v>
      </c>
      <c r="P37" s="263" t="str">
        <f>IF(AND(A37&lt;&gt;" ",Sheet1!D$192=1,Sheet1!D$193=1),IF(AND(OR(Sheet1!D$8=2,Sheet1!D$22=3),O37&gt;10),0,ROUND(VLOOKUP(A37,StatusQuo!A$19:M$68,13),Sheet1!D$75)),IF(NOT(Sheet1!D$192=1),"not feasible",IF(A37=" "," ", "Savings is  n/a=&gt;")))</f>
        <v xml:space="preserve"> </v>
      </c>
      <c r="Q37" s="263" t="str">
        <f>IF(AND(A37&lt;&gt;" ",Sheet1!D$192=1,Sheet1!D$193=1),IF(AND(OR(Sheet1!D$8=2,Sheet1!D$22=3),O37&gt;10),0,ROUND(VLOOKUP(A37,AlternativeA!A$110:M$159,13),Sheet1!D$75)),IF(NOT(Sheet1!D$193=1),"not feasible",IF(A37=" "," ","&lt;== Savings is n/a")))</f>
        <v>not feasible</v>
      </c>
      <c r="R37" s="263" t="str">
        <f>IF(AND(A37&lt;&gt;" ",Sheet1!D$192=1,Sheet1!D$193=1),IF(G$81&lt;&gt;" ","??????? ",P37-Q37)," ")</f>
        <v xml:space="preserve"> </v>
      </c>
      <c r="S37" s="263" t="str">
        <f>IF(AND(A37&lt;&gt;" ",Sheet1!D$192=1,Sheet1!D$193=1),ROUND(R37*G37,Sheet1!D$75)," ")</f>
        <v xml:space="preserve"> </v>
      </c>
      <c r="T37" s="263" t="str">
        <f>IF(AND(A37&lt;&gt;" ",Sheet1!D$192=1,Sheet1!D$193=1),ROUND((R37/I37)*J37,Sheet1!D$75)," ")</f>
        <v xml:space="preserve"> </v>
      </c>
      <c r="U37" s="265">
        <f>SUM(T$11:T37)</f>
        <v>0</v>
      </c>
      <c r="V37" s="254" t="str">
        <f t="shared" si="0"/>
        <v xml:space="preserve"> </v>
      </c>
      <c r="W37" s="268">
        <f t="shared" si="1"/>
        <v>27</v>
      </c>
      <c r="X37" s="171" t="str">
        <f t="shared" si="2"/>
        <v xml:space="preserve"> </v>
      </c>
      <c r="Y37" s="296"/>
      <c r="Z37" s="270"/>
      <c r="AA37" s="265">
        <f>SUM(K$11:K37)</f>
        <v>0</v>
      </c>
      <c r="AB37" s="271" t="str">
        <f>IF(OR(Sheet1!D$192=1,Sheet1!D$193=1),IF(OR((AB36&gt;=(Sheet1!D$148+$A$11)-1),AND(Sheet1!D$8=3,AB36&gt;=6))," ",AB36+1),NA())</f>
        <v xml:space="preserve"> </v>
      </c>
      <c r="AC37" s="271" t="str">
        <f>IF(OR(Sheet1!D$192=1,Sheet1!D$193=1),IF(OR((AC36&gt;=(Sheet1!D$148+$B$11)-1),AND(Sheet1!D$8=3,AB36&gt;=6))," ",AC36+1),NA())</f>
        <v xml:space="preserve"> </v>
      </c>
      <c r="AD37" s="262"/>
      <c r="AE37" s="263" t="str">
        <f>IF(AND(Sheet1!D$193=1,AB37&lt;&gt;" "),ROUND(VLOOKUP(AB37,AlternativeA!A$17:M$66,12),Sheet1!D$75),IF(Sheet1!D$193=1," ","Alt  'A'  not feasible"))</f>
        <v>Alt  'A'  not feasible</v>
      </c>
      <c r="AF37" s="264" t="str">
        <f>IF(AB37&lt;=Sheet1!D$148, (1/((1+$AF$10)^(AB37-0.5)))," ")</f>
        <v xml:space="preserve"> </v>
      </c>
      <c r="AG37" s="263" t="str">
        <f>IF(AND(Sheet1!D$193=1,AB37&lt;&gt;" "),ROUND(+AE37*AF37,Sheet1!D$75)," ")</f>
        <v xml:space="preserve"> </v>
      </c>
      <c r="AH37" s="264" t="str">
        <f>IF(AB37&lt;&gt;" ",ROUND(VLOOKUP(Sheet1!E$82,CHOOSE(Sheet1!D$212,Inflate1,Inflate2,Inflate3,Inflate4,Inflate5,Inflate6,Inflate7,Inflate8),2),4)," ")</f>
        <v xml:space="preserve"> </v>
      </c>
      <c r="AI37" s="264" t="str">
        <f>IF(AB37&lt;&gt;" ",ROUND(VLOOKUP(AC37,CHOOSE(Sheet1!D$212,Inflate1,Inflate2,Inflate3,Inflate4,Inflate5,Inflate6,Inflate7,Inflate8),3),4)," ")</f>
        <v xml:space="preserve"> </v>
      </c>
      <c r="AJ37" s="263" t="b">
        <f>IF(AND(Sheet1!D$193=1,AB37&lt;&gt;" "),IF(AND(O37&lt;=10,OR(Sheet1!D$8=2,Sheet1!D$8=3,Sheet1!D$22=3)),ROUND((AE37/AH37)*AI37,Sheet1!D$75),IF(AND(Sheet1!D$8&lt;&gt;2,Sheet1!D$8&lt;&gt;3,Sheet1!D$22&lt;&gt;3),ROUND((AE37/AH37)*AI37,Sheet1!D$75)," ")))</f>
        <v>0</v>
      </c>
    </row>
    <row r="38" spans="1:36" ht="12" customHeight="1" x14ac:dyDescent="0.2">
      <c r="A38" s="271" t="str">
        <f>IF(OR(Sheet1!D$192=1,Sheet1!D$193=1),IF(OR((A37&gt;=(Sheet1!D$148+$A$11)-1),AND(Sheet1!D$8=3,A37&gt;=6))," ",A37+1),NA())</f>
        <v xml:space="preserve"> </v>
      </c>
      <c r="B38" s="271" t="str">
        <f>IF(OR(Sheet1!D$192=1,Sheet1!D$193=1),IF(OR((B37&gt;=(Sheet1!D$148+$B$11)-1),AND(Sheet1!D$8=3,A37&gt;=6))," ",B37+1),NA())</f>
        <v xml:space="preserve"> </v>
      </c>
      <c r="C38" s="262"/>
      <c r="D38" s="263" t="str">
        <f>IF(AND(Sheet1!D$192=1,A38&lt;&gt;" "),ROUND(VLOOKUP(A38,StatusQuo!A$19:M$68,12),Sheet1!D$75),IF(Sheet1!D$192=1," ","SQ not feasible "))</f>
        <v xml:space="preserve"> </v>
      </c>
      <c r="E38" s="263" t="str">
        <f>IF(AND(Sheet1!D$193=1,A38&lt;&gt;" "),ROUND(VLOOKUP(A38,AlternativeA!A$110:M$159,12),Sheet1!D$75),IF(Sheet1!D$193=1," ","Alt  'A'  not feasible"))</f>
        <v>Alt  'A'  not feasible</v>
      </c>
      <c r="F38" s="263" t="str">
        <f>IF(AND(A38&lt;&gt;" ",Sheet1!D$192=1,Sheet1!D$193=1),D38-E38,IF(AND(Sheet1!D$193=1,A38&lt;&gt;" ")," "," "))</f>
        <v xml:space="preserve"> </v>
      </c>
      <c r="G38" s="264" t="str">
        <f>IF(A38&lt;=Sheet1!D$148, (1/((1+G10)^(A38-0.5)))," ")</f>
        <v xml:space="preserve"> </v>
      </c>
      <c r="H38" s="263" t="str">
        <f>IF(AND(A38&lt;&gt;" ",Sheet1!D$192=1,Sheet1!D$193=1),ROUND(F38*G38,Sheet1!D$75),IF(AND(A38&lt;&gt;" ",Sheet1!D$193=1),ROUND(E38*G38,Sheet1!D$75)," "))</f>
        <v xml:space="preserve"> </v>
      </c>
      <c r="I38" s="264" t="str">
        <f>IF(A38&lt;&gt;" ",ROUND(VLOOKUP(Sheet1!E$82,CHOOSE(Sheet1!D$232,Inflate7,Inflate2,Inflate3,Inflate4,Inflate5,Inflate6,Inflate1,Inflate8),2),4)," ")</f>
        <v xml:space="preserve"> </v>
      </c>
      <c r="J38" s="264" t="str">
        <f>IF(A38&lt;&gt;" ",ROUND(VLOOKUP(B38,CHOOSE(Sheet1!D$232,Inflate7,Inflate2,Inflate3,Inflate4,Inflate5,Inflate6,Inflate1,Inflate8),3),4)," ")</f>
        <v xml:space="preserve"> </v>
      </c>
      <c r="K38" s="265" t="str">
        <f>IF(AND(A38&lt;&gt;" ",Sheet1!D$192=1,Sheet1!D$193=1),ROUND((F38/I38)*J38,Sheet1!D$75),IF(AND(A38&lt;&gt;" ",Sheet1!D$193=1),ROUND((E38/I38)*J38,Sheet1!D$75)," "))</f>
        <v xml:space="preserve"> </v>
      </c>
      <c r="L38" s="254" t="str">
        <f>IF(Sheet1!D$192=1,IF(AND(AA38&gt;AJ$61,AA37&lt;=AJ$61),"&lt;-Payback"," ")," ")</f>
        <v xml:space="preserve"> </v>
      </c>
      <c r="M38" s="271" t="str">
        <f>IF(OR(Sheet1!D$192=1,Sheet1!D$193=1),IF(OR((A37&gt;=(Sheet1!D$148+$A$11)-1),AND(Sheet1!D$8=3,A37&gt;=6))," ",A37+1),NA())</f>
        <v xml:space="preserve"> </v>
      </c>
      <c r="N38" s="271" t="str">
        <f>IF(OR(Sheet1!D$192=1,Sheet1!D$193=1),IF(OR((B37&gt;=(Sheet1!D$148+$B$11)-1),AND(Sheet1!D$8=3,A37&gt;=6))," ",B37+1),NA())</f>
        <v xml:space="preserve"> </v>
      </c>
      <c r="O38" s="266" t="e">
        <f>IF(OR(Sheet1!D$192=1,Sheet1!D$193=1),IF(NOT(Sheet1!D$192=1),0,IF(ROUND(VLOOKUP(A38,StatusQuo!A$19:M$68,13),Sheet1!D$75)-ROUND(VLOOKUP(A38,AlternativeA!A$110:M$159,13),Sheet1!D$75)&gt;0,1,0))," ")</f>
        <v>#VALUE!</v>
      </c>
      <c r="P38" s="263" t="str">
        <f>IF(AND(A38&lt;&gt;" ",Sheet1!D$192=1,Sheet1!D$193=1),IF(AND(OR(Sheet1!D$8=2,Sheet1!D$22=3),O38&gt;10),0,ROUND(VLOOKUP(A38,StatusQuo!A$19:M$68,13),Sheet1!D$75)),IF(NOT(Sheet1!D$192=1),"not feasible",IF(A38=" "," ", "Savings is  n/a=&gt;")))</f>
        <v xml:space="preserve"> </v>
      </c>
      <c r="Q38" s="263" t="str">
        <f>IF(AND(A38&lt;&gt;" ",Sheet1!D$192=1,Sheet1!D$193=1),IF(AND(OR(Sheet1!D$8=2,Sheet1!D$22=3),O38&gt;10),0,ROUND(VLOOKUP(A38,AlternativeA!A$110:M$159,13),Sheet1!D$75)),IF(NOT(Sheet1!D$193=1),"not feasible",IF(A38=" "," ","&lt;== Savings is n/a")))</f>
        <v>not feasible</v>
      </c>
      <c r="R38" s="263" t="str">
        <f>IF(AND(A38&lt;&gt;" ",Sheet1!D$192=1,Sheet1!D$193=1),IF(G$81&lt;&gt;" ","??????? ",P38-Q38)," ")</f>
        <v xml:space="preserve"> </v>
      </c>
      <c r="S38" s="263" t="str">
        <f>IF(AND(A38&lt;&gt;" ",Sheet1!D$192=1,Sheet1!D$193=1),ROUND(R38*G38,Sheet1!D$75)," ")</f>
        <v xml:space="preserve"> </v>
      </c>
      <c r="T38" s="263" t="str">
        <f>IF(AND(A38&lt;&gt;" ",Sheet1!D$192=1,Sheet1!D$193=1),ROUND((R38/I38)*J38,Sheet1!D$75)," ")</f>
        <v xml:space="preserve"> </v>
      </c>
      <c r="U38" s="265">
        <f>SUM(T$11:T38)</f>
        <v>0</v>
      </c>
      <c r="V38" s="254" t="str">
        <f t="shared" si="0"/>
        <v xml:space="preserve"> </v>
      </c>
      <c r="W38" s="268">
        <f t="shared" si="1"/>
        <v>28</v>
      </c>
      <c r="X38" s="171" t="str">
        <f t="shared" si="2"/>
        <v xml:space="preserve"> </v>
      </c>
      <c r="Y38" s="296"/>
      <c r="Z38" s="270"/>
      <c r="AA38" s="265">
        <f>SUM(K$11:K38)</f>
        <v>0</v>
      </c>
      <c r="AB38" s="271" t="str">
        <f>IF(OR(Sheet1!D$192=1,Sheet1!D$193=1),IF(OR((AB37&gt;=(Sheet1!D$148+$A$11)-1),AND(Sheet1!D$8=3,AB37&gt;=6))," ",AB37+1),NA())</f>
        <v xml:space="preserve"> </v>
      </c>
      <c r="AC38" s="271" t="str">
        <f>IF(OR(Sheet1!D$192=1,Sheet1!D$193=1),IF(OR((AC37&gt;=(Sheet1!D$148+$B$11)-1),AND(Sheet1!D$8=3,AB37&gt;=6))," ",AC37+1),NA())</f>
        <v xml:space="preserve"> </v>
      </c>
      <c r="AD38" s="262"/>
      <c r="AE38" s="263" t="str">
        <f>IF(AND(Sheet1!D$193=1,AB38&lt;&gt;" "),ROUND(VLOOKUP(AB38,AlternativeA!A$17:M$66,12),Sheet1!D$75),IF(Sheet1!D$193=1," ","Alt  'A'  not feasible"))</f>
        <v>Alt  'A'  not feasible</v>
      </c>
      <c r="AF38" s="264" t="str">
        <f>IF(AB38&lt;=Sheet1!D$148, (1/((1+$AF$10)^(AB38-0.5)))," ")</f>
        <v xml:space="preserve"> </v>
      </c>
      <c r="AG38" s="263" t="str">
        <f>IF(AND(Sheet1!D$193=1,AB38&lt;&gt;" "),ROUND(+AE38*AF38,Sheet1!D$75)," ")</f>
        <v xml:space="preserve"> </v>
      </c>
      <c r="AH38" s="264" t="str">
        <f>IF(AB38&lt;&gt;" ",ROUND(VLOOKUP(Sheet1!E$82,CHOOSE(Sheet1!D$212,Inflate1,Inflate2,Inflate3,Inflate4,Inflate5,Inflate6,Inflate7,Inflate8),2),4)," ")</f>
        <v xml:space="preserve"> </v>
      </c>
      <c r="AI38" s="264" t="str">
        <f>IF(AB38&lt;&gt;" ",ROUND(VLOOKUP(AC38,CHOOSE(Sheet1!D$212,Inflate1,Inflate2,Inflate3,Inflate4,Inflate5,Inflate6,Inflate7,Inflate8),3),4)," ")</f>
        <v xml:space="preserve"> </v>
      </c>
      <c r="AJ38" s="263" t="b">
        <f>IF(AND(Sheet1!D$193=1,AB38&lt;&gt;" "),IF(AND(O38&lt;=10,OR(Sheet1!D$8=2,Sheet1!D$8=3,Sheet1!D$22=3)),ROUND((AE38/AH38)*AI38,Sheet1!D$75),IF(AND(Sheet1!D$8&lt;&gt;2,Sheet1!D$8&lt;&gt;3,Sheet1!D$22&lt;&gt;3),ROUND((AE38/AH38)*AI38,Sheet1!D$75)," ")))</f>
        <v>0</v>
      </c>
    </row>
    <row r="39" spans="1:36" ht="12" customHeight="1" x14ac:dyDescent="0.2">
      <c r="A39" s="271" t="str">
        <f>IF(OR(Sheet1!D$192=1,Sheet1!D$193=1),IF(OR((A38&gt;=(Sheet1!D$148+$A$11)-1),AND(Sheet1!D$8=3,A38&gt;=6))," ",A38+1),NA())</f>
        <v xml:space="preserve"> </v>
      </c>
      <c r="B39" s="271" t="str">
        <f>IF(OR(Sheet1!D$192=1,Sheet1!D$193=1),IF(OR((B38&gt;=(Sheet1!D$148+$B$11)-1),AND(Sheet1!D$8=3,A38&gt;=6))," ",B38+1),NA())</f>
        <v xml:space="preserve"> </v>
      </c>
      <c r="C39" s="262"/>
      <c r="D39" s="263" t="str">
        <f>IF(AND(Sheet1!D$192=1,A39&lt;&gt;" "),ROUND(VLOOKUP(A39,StatusQuo!A$19:M$68,12),Sheet1!D$75),IF(Sheet1!D$192=1," ","SQ not feasible "))</f>
        <v xml:space="preserve"> </v>
      </c>
      <c r="E39" s="263" t="str">
        <f>IF(AND(Sheet1!D$193=1,A39&lt;&gt;" "),ROUND(VLOOKUP(A39,AlternativeA!A$110:M$159,12),Sheet1!D$75),IF(Sheet1!D$193=1," ","Alt  'A'  not feasible"))</f>
        <v>Alt  'A'  not feasible</v>
      </c>
      <c r="F39" s="263" t="str">
        <f>IF(AND(A39&lt;&gt;" ",Sheet1!D$192=1,Sheet1!D$193=1),D39-E39,IF(AND(Sheet1!D$193=1,A39&lt;&gt;" ")," "," "))</f>
        <v xml:space="preserve"> </v>
      </c>
      <c r="G39" s="264" t="str">
        <f>IF(A39&lt;=Sheet1!D$148, (1/((1+G10)^(A39-0.5)))," ")</f>
        <v xml:space="preserve"> </v>
      </c>
      <c r="H39" s="263" t="str">
        <f>IF(AND(A39&lt;&gt;" ",Sheet1!D$192=1,Sheet1!D$193=1),ROUND(F39*G39,Sheet1!D$75),IF(AND(A39&lt;&gt;" ",Sheet1!D$193=1),ROUND(E39*G39,Sheet1!D$75)," "))</f>
        <v xml:space="preserve"> </v>
      </c>
      <c r="I39" s="264" t="str">
        <f>IF(A39&lt;&gt;" ",ROUND(VLOOKUP(Sheet1!E$82,CHOOSE(Sheet1!D$232,Inflate7,Inflate2,Inflate3,Inflate4,Inflate5,Inflate6,Inflate1,Inflate8),2),4)," ")</f>
        <v xml:space="preserve"> </v>
      </c>
      <c r="J39" s="264" t="str">
        <f>IF(A39&lt;&gt;" ",ROUND(VLOOKUP(B39,CHOOSE(Sheet1!D$232,Inflate7,Inflate2,Inflate3,Inflate4,Inflate5,Inflate6,Inflate1,Inflate8),3),4)," ")</f>
        <v xml:space="preserve"> </v>
      </c>
      <c r="K39" s="265" t="str">
        <f>IF(AND(A39&lt;&gt;" ",Sheet1!D$192=1,Sheet1!D$193=1),ROUND((F39/I39)*J39,Sheet1!D$75),IF(AND(A39&lt;&gt;" ",Sheet1!D$193=1),ROUND((E39/I39)*J39,Sheet1!D$75)," "))</f>
        <v xml:space="preserve"> </v>
      </c>
      <c r="L39" s="254" t="str">
        <f>IF(Sheet1!D$192=1,IF(AND(AA39&gt;AJ$61,AA38&lt;=AJ$61),"&lt;-Payback"," ")," ")</f>
        <v xml:space="preserve"> </v>
      </c>
      <c r="M39" s="271" t="str">
        <f>IF(OR(Sheet1!D$192=1,Sheet1!D$193=1),IF(OR((A38&gt;=(Sheet1!D$148+$A$11)-1),AND(Sheet1!D$8=3,A38&gt;=6))," ",A38+1),NA())</f>
        <v xml:space="preserve"> </v>
      </c>
      <c r="N39" s="271" t="str">
        <f>IF(OR(Sheet1!D$192=1,Sheet1!D$193=1),IF(OR((B38&gt;=(Sheet1!D$148+$B$11)-1),AND(Sheet1!D$8=3,A38&gt;=6))," ",B38+1),NA())</f>
        <v xml:space="preserve"> </v>
      </c>
      <c r="O39" s="266" t="e">
        <f>IF(OR(Sheet1!D$192=1,Sheet1!D$193=1),IF(NOT(Sheet1!D$192=1),0,IF(ROUND(VLOOKUP(A39,StatusQuo!A$19:M$68,13),Sheet1!D$75)-ROUND(VLOOKUP(A39,AlternativeA!A$110:M$159,13),Sheet1!D$75)&gt;0,1,0))," ")</f>
        <v>#VALUE!</v>
      </c>
      <c r="P39" s="263" t="str">
        <f>IF(AND(A39&lt;&gt;" ",Sheet1!D$192=1,Sheet1!D$193=1),IF(AND(OR(Sheet1!D$8=2,Sheet1!D$22=3),O39&gt;10),0,ROUND(VLOOKUP(A39,StatusQuo!A$19:M$68,13),Sheet1!D$75)),IF(NOT(Sheet1!D$192=1),"not feasible",IF(A39=" "," ", "Savings is  n/a=&gt;")))</f>
        <v xml:space="preserve"> </v>
      </c>
      <c r="Q39" s="263" t="str">
        <f>IF(AND(A39&lt;&gt;" ",Sheet1!D$192=1,Sheet1!D$193=1),IF(AND(OR(Sheet1!D$8=2,Sheet1!D$22=3),O39&gt;10),0,ROUND(VLOOKUP(A39,AlternativeA!A$110:M$159,13),Sheet1!D$75)),IF(NOT(Sheet1!D$193=1),"not feasible",IF(A39=" "," ","&lt;== Savings is n/a")))</f>
        <v>not feasible</v>
      </c>
      <c r="R39" s="263" t="str">
        <f>IF(AND(A39&lt;&gt;" ",Sheet1!D$192=1,Sheet1!D$193=1),IF(G$81&lt;&gt;" ","??????? ",P39-Q39)," ")</f>
        <v xml:space="preserve"> </v>
      </c>
      <c r="S39" s="263" t="str">
        <f>IF(AND(A39&lt;&gt;" ",Sheet1!D$192=1,Sheet1!D$193=1),ROUND(R39*G39,Sheet1!D$75)," ")</f>
        <v xml:space="preserve"> </v>
      </c>
      <c r="T39" s="263" t="str">
        <f>IF(AND(A39&lt;&gt;" ",Sheet1!D$192=1,Sheet1!D$193=1),ROUND((R39/I39)*J39,Sheet1!D$75)," ")</f>
        <v xml:space="preserve"> </v>
      </c>
      <c r="U39" s="265">
        <f>SUM(T$11:T39)</f>
        <v>0</v>
      </c>
      <c r="V39" s="254" t="str">
        <f t="shared" si="0"/>
        <v xml:space="preserve"> </v>
      </c>
      <c r="W39" s="268">
        <f t="shared" si="1"/>
        <v>29</v>
      </c>
      <c r="X39" s="171" t="str">
        <f t="shared" si="2"/>
        <v xml:space="preserve"> </v>
      </c>
      <c r="Y39" s="296"/>
      <c r="Z39" s="270"/>
      <c r="AA39" s="265">
        <f>SUM(K$11:K39)</f>
        <v>0</v>
      </c>
      <c r="AB39" s="271" t="str">
        <f>IF(OR(Sheet1!D$192=1,Sheet1!D$193=1),IF(OR((AB38&gt;=(Sheet1!D$148+$A$11)-1),AND(Sheet1!D$8=3,AB38&gt;=6))," ",AB38+1),NA())</f>
        <v xml:space="preserve"> </v>
      </c>
      <c r="AC39" s="271" t="str">
        <f>IF(OR(Sheet1!D$192=1,Sheet1!D$193=1),IF(OR((AC38&gt;=(Sheet1!D$148+$B$11)-1),AND(Sheet1!D$8=3,AB38&gt;=6))," ",AC38+1),NA())</f>
        <v xml:space="preserve"> </v>
      </c>
      <c r="AD39" s="262"/>
      <c r="AE39" s="263" t="str">
        <f>IF(AND(Sheet1!D$193=1,AB39&lt;&gt;" "),ROUND(VLOOKUP(AB39,AlternativeA!A$17:M$66,12),Sheet1!D$75),IF(Sheet1!D$193=1," ","Alt  'A'  not feasible"))</f>
        <v>Alt  'A'  not feasible</v>
      </c>
      <c r="AF39" s="264" t="str">
        <f>IF(AB39&lt;=Sheet1!D$148, (1/((1+$AF$10)^(AB39-0.5)))," ")</f>
        <v xml:space="preserve"> </v>
      </c>
      <c r="AG39" s="263" t="str">
        <f>IF(AND(Sheet1!D$193=1,AB39&lt;&gt;" "),ROUND(+AE39*AF39,Sheet1!D$75)," ")</f>
        <v xml:space="preserve"> </v>
      </c>
      <c r="AH39" s="264" t="str">
        <f>IF(AB39&lt;&gt;" ",ROUND(VLOOKUP(Sheet1!E$82,CHOOSE(Sheet1!D$212,Inflate1,Inflate2,Inflate3,Inflate4,Inflate5,Inflate6,Inflate7,Inflate8),2),4)," ")</f>
        <v xml:space="preserve"> </v>
      </c>
      <c r="AI39" s="264" t="str">
        <f>IF(AB39&lt;&gt;" ",ROUND(VLOOKUP(AC39,CHOOSE(Sheet1!D$212,Inflate1,Inflate2,Inflate3,Inflate4,Inflate5,Inflate6,Inflate7,Inflate8),3),4)," ")</f>
        <v xml:space="preserve"> </v>
      </c>
      <c r="AJ39" s="263" t="b">
        <f>IF(AND(Sheet1!D$193=1,AB39&lt;&gt;" "),IF(AND(O39&lt;=10,OR(Sheet1!D$8=2,Sheet1!D$8=3,Sheet1!D$22=3)),ROUND((AE39/AH39)*AI39,Sheet1!D$75),IF(AND(Sheet1!D$8&lt;&gt;2,Sheet1!D$8&lt;&gt;3,Sheet1!D$22&lt;&gt;3),ROUND((AE39/AH39)*AI39,Sheet1!D$75)," ")))</f>
        <v>0</v>
      </c>
    </row>
    <row r="40" spans="1:36" ht="12" customHeight="1" x14ac:dyDescent="0.2">
      <c r="A40" s="271" t="str">
        <f>IF(OR(Sheet1!D$192=1,Sheet1!D$193=1),IF(OR((A39&gt;=(Sheet1!D$148+$A$11)-1),AND(Sheet1!D$8=3,A39&gt;=6))," ",A39+1),NA())</f>
        <v xml:space="preserve"> </v>
      </c>
      <c r="B40" s="271" t="str">
        <f>IF(OR(Sheet1!D$192=1,Sheet1!D$193=1),IF(OR((B39&gt;=(Sheet1!D$148+$B$11)-1),AND(Sheet1!D$8=3,A39&gt;=6))," ",B39+1),NA())</f>
        <v xml:space="preserve"> </v>
      </c>
      <c r="C40" s="262"/>
      <c r="D40" s="263" t="str">
        <f>IF(AND(Sheet1!D$192=1,A40&lt;&gt;" "),ROUND(VLOOKUP(A40,StatusQuo!A$19:M$68,12),Sheet1!D$75),IF(Sheet1!D$192=1," ","SQ not feasible "))</f>
        <v xml:space="preserve"> </v>
      </c>
      <c r="E40" s="263" t="str">
        <f>IF(AND(Sheet1!D$193=1,A40&lt;&gt;" "),ROUND(VLOOKUP(A40,AlternativeA!A$110:M$159,12),Sheet1!D$75),IF(Sheet1!D$193=1," ","Alt  'A'  not feasible"))</f>
        <v>Alt  'A'  not feasible</v>
      </c>
      <c r="F40" s="263" t="str">
        <f>IF(AND(A40&lt;&gt;" ",Sheet1!D$192=1,Sheet1!D$193=1),D40-E40,IF(AND(Sheet1!D$193=1,A40&lt;&gt;" ")," "," "))</f>
        <v xml:space="preserve"> </v>
      </c>
      <c r="G40" s="264" t="str">
        <f>IF(A40&lt;=Sheet1!D$148, (1/((1+G10)^(A40-0.5)))," ")</f>
        <v xml:space="preserve"> </v>
      </c>
      <c r="H40" s="263" t="str">
        <f>IF(AND(A40&lt;&gt;" ",Sheet1!D$192=1,Sheet1!D$193=1),ROUND(F40*G40,Sheet1!D$75),IF(AND(A40&lt;&gt;" ",Sheet1!D$193=1),ROUND(E40*G40,Sheet1!D$75)," "))</f>
        <v xml:space="preserve"> </v>
      </c>
      <c r="I40" s="264" t="str">
        <f>IF(A40&lt;&gt;" ",ROUND(VLOOKUP(Sheet1!E$82,CHOOSE(Sheet1!D$232,Inflate7,Inflate2,Inflate3,Inflate4,Inflate5,Inflate6,Inflate1,Inflate8),2),4)," ")</f>
        <v xml:space="preserve"> </v>
      </c>
      <c r="J40" s="264" t="str">
        <f>IF(A40&lt;&gt;" ",ROUND(VLOOKUP(B40,CHOOSE(Sheet1!D$232,Inflate7,Inflate2,Inflate3,Inflate4,Inflate5,Inflate6,Inflate1,Inflate8),3),4)," ")</f>
        <v xml:space="preserve"> </v>
      </c>
      <c r="K40" s="265" t="str">
        <f>IF(AND(A40&lt;&gt;" ",Sheet1!D$192=1,Sheet1!D$193=1),ROUND((F40/I40)*J40,Sheet1!D$75),IF(AND(A40&lt;&gt;" ",Sheet1!D$193=1),ROUND((E40/I40)*J40,Sheet1!D$75)," "))</f>
        <v xml:space="preserve"> </v>
      </c>
      <c r="L40" s="254" t="str">
        <f>IF(Sheet1!D$192=1,IF(AND(AA40&gt;AJ$61,AA39&lt;=AJ$61),"&lt;-Payback"," ")," ")</f>
        <v xml:space="preserve"> </v>
      </c>
      <c r="M40" s="271" t="str">
        <f>IF(OR(Sheet1!D$192=1,Sheet1!D$193=1),IF(OR((A39&gt;=(Sheet1!D$148+$A$11)-1),AND(Sheet1!D$8=3,A39&gt;=6))," ",A39+1),NA())</f>
        <v xml:space="preserve"> </v>
      </c>
      <c r="N40" s="271" t="str">
        <f>IF(OR(Sheet1!D$192=1,Sheet1!D$193=1),IF(OR((B39&gt;=(Sheet1!D$148+$B$11)-1),AND(Sheet1!D$8=3,A39&gt;=6))," ",B39+1),NA())</f>
        <v xml:space="preserve"> </v>
      </c>
      <c r="O40" s="266" t="e">
        <f>IF(OR(Sheet1!D$192=1,Sheet1!D$193=1),IF(NOT(Sheet1!D$192=1),0,IF(ROUND(VLOOKUP(A40,StatusQuo!A$19:M$68,13),Sheet1!D$75)-ROUND(VLOOKUP(A40,AlternativeA!A$110:M$159,13),Sheet1!D$75)&gt;0,1,0))," ")</f>
        <v>#VALUE!</v>
      </c>
      <c r="P40" s="263" t="str">
        <f>IF(AND(A40&lt;&gt;" ",Sheet1!D$192=1,Sheet1!D$193=1),IF(AND(OR(Sheet1!D$8=2,Sheet1!D$22=3),O40&gt;10),0,ROUND(VLOOKUP(A40,StatusQuo!A$19:M$68,13),Sheet1!D$75)),IF(NOT(Sheet1!D$192=1),"not feasible",IF(A40=" "," ", "Savings is  n/a=&gt;")))</f>
        <v xml:space="preserve"> </v>
      </c>
      <c r="Q40" s="263" t="str">
        <f>IF(AND(A40&lt;&gt;" ",Sheet1!D$192=1,Sheet1!D$193=1),IF(AND(OR(Sheet1!D$8=2,Sheet1!D$22=3),O40&gt;10),0,ROUND(VLOOKUP(A40,AlternativeA!A$110:M$159,13),Sheet1!D$75)),IF(NOT(Sheet1!D$193=1),"not feasible",IF(A40=" "," ","&lt;== Savings is n/a")))</f>
        <v>not feasible</v>
      </c>
      <c r="R40" s="263" t="str">
        <f>IF(AND(A40&lt;&gt;" ",Sheet1!D$192=1,Sheet1!D$193=1),IF(G$81&lt;&gt;" ","??????? ",P40-Q40)," ")</f>
        <v xml:space="preserve"> </v>
      </c>
      <c r="S40" s="263" t="str">
        <f>IF(AND(A40&lt;&gt;" ",Sheet1!D$192=1,Sheet1!D$193=1),ROUND(R40*G40,Sheet1!D$75)," ")</f>
        <v xml:space="preserve"> </v>
      </c>
      <c r="T40" s="263" t="str">
        <f>IF(AND(A40&lt;&gt;" ",Sheet1!D$192=1,Sheet1!D$193=1),ROUND((R40/I40)*J40,Sheet1!D$75)," ")</f>
        <v xml:space="preserve"> </v>
      </c>
      <c r="U40" s="265">
        <f>SUM(T$11:T40)</f>
        <v>0</v>
      </c>
      <c r="V40" s="254" t="str">
        <f t="shared" si="0"/>
        <v xml:space="preserve"> </v>
      </c>
      <c r="W40" s="268">
        <f t="shared" si="1"/>
        <v>30</v>
      </c>
      <c r="X40" s="171" t="str">
        <f t="shared" si="2"/>
        <v xml:space="preserve"> </v>
      </c>
      <c r="Y40" s="296"/>
      <c r="Z40" s="270"/>
      <c r="AA40" s="265">
        <f>SUM(K$11:K40)</f>
        <v>0</v>
      </c>
      <c r="AB40" s="271" t="str">
        <f>IF(OR(Sheet1!D$192=1,Sheet1!D$193=1),IF(OR((AB39&gt;=(Sheet1!D$148+$A$11)-1),AND(Sheet1!D$8=3,AB39&gt;=6))," ",AB39+1),NA())</f>
        <v xml:space="preserve"> </v>
      </c>
      <c r="AC40" s="271" t="str">
        <f>IF(OR(Sheet1!D$192=1,Sheet1!D$193=1),IF(OR((AC39&gt;=(Sheet1!D$148+$B$11)-1),AND(Sheet1!D$8=3,AB39&gt;=6))," ",AC39+1),NA())</f>
        <v xml:space="preserve"> </v>
      </c>
      <c r="AD40" s="262"/>
      <c r="AE40" s="263" t="str">
        <f>IF(AND(Sheet1!D$193=1,AB40&lt;&gt;" "),ROUND(VLOOKUP(AB40,AlternativeA!A$17:M$66,12),Sheet1!D$75),IF(Sheet1!D$193=1," ","Alt  'A'  not feasible"))</f>
        <v>Alt  'A'  not feasible</v>
      </c>
      <c r="AF40" s="264" t="str">
        <f>IF(AB40&lt;=Sheet1!D$148, (1/((1+$AF$10)^(AB40-0.5)))," ")</f>
        <v xml:space="preserve"> </v>
      </c>
      <c r="AG40" s="263" t="str">
        <f>IF(AND(Sheet1!D$193=1,AB40&lt;&gt;" "),ROUND(+AE40*AF40,Sheet1!D$75)," ")</f>
        <v xml:space="preserve"> </v>
      </c>
      <c r="AH40" s="264" t="str">
        <f>IF(AB40&lt;&gt;" ",ROUND(VLOOKUP(Sheet1!E$82,CHOOSE(Sheet1!D$212,Inflate1,Inflate2,Inflate3,Inflate4,Inflate5,Inflate6,Inflate7,Inflate8),2),4)," ")</f>
        <v xml:space="preserve"> </v>
      </c>
      <c r="AI40" s="264" t="str">
        <f>IF(AB40&lt;&gt;" ",ROUND(VLOOKUP(AC40,CHOOSE(Sheet1!D$212,Inflate1,Inflate2,Inflate3,Inflate4,Inflate5,Inflate6,Inflate7,Inflate8),3),4)," ")</f>
        <v xml:space="preserve"> </v>
      </c>
      <c r="AJ40" s="263" t="b">
        <f>IF(AND(Sheet1!D$193=1,AB40&lt;&gt;" "),IF(AND(O40&lt;=10,OR(Sheet1!D$8=2,Sheet1!D$8=3,Sheet1!D$22=3)),ROUND((AE40/AH40)*AI40,Sheet1!D$75),IF(AND(Sheet1!D$8&lt;&gt;2,Sheet1!D$8&lt;&gt;3,Sheet1!D$22&lt;&gt;3),ROUND((AE40/AH40)*AI40,Sheet1!D$75)," ")))</f>
        <v>0</v>
      </c>
    </row>
    <row r="41" spans="1:36" ht="12" customHeight="1" x14ac:dyDescent="0.2">
      <c r="A41" s="271" t="str">
        <f>IF(OR(Sheet1!D$192=1,Sheet1!D$193=1),IF(OR((A40&gt;=(Sheet1!D$148+$A$11)-1),AND(Sheet1!D$8=3,A40&gt;=6))," ",A40+1),NA())</f>
        <v xml:space="preserve"> </v>
      </c>
      <c r="B41" s="271" t="str">
        <f>IF(OR(Sheet1!D$192=1,Sheet1!D$193=1),IF(OR((B40&gt;=(Sheet1!D$148+$B$11)-1),AND(Sheet1!D$8=3,A40&gt;=6))," ",B40+1),NA())</f>
        <v xml:space="preserve"> </v>
      </c>
      <c r="C41" s="262"/>
      <c r="D41" s="263" t="str">
        <f>IF(AND(Sheet1!D$192=1,A41&lt;&gt;" "),ROUND(VLOOKUP(A41,StatusQuo!A$19:M$68,12),Sheet1!D$75),IF(Sheet1!D$192=1," ","SQ not feasible "))</f>
        <v xml:space="preserve"> </v>
      </c>
      <c r="E41" s="263" t="str">
        <f>IF(AND(Sheet1!D$193=1,A41&lt;&gt;" "),ROUND(VLOOKUP(A41,AlternativeA!A$110:M$159,12),Sheet1!D$75),IF(Sheet1!D$193=1," ","Alt  'A'  not feasible"))</f>
        <v>Alt  'A'  not feasible</v>
      </c>
      <c r="F41" s="263" t="str">
        <f>IF(AND(A41&lt;&gt;" ",Sheet1!D$192=1,Sheet1!D$193=1),D41-E41,IF(AND(Sheet1!D$193=1,A41&lt;&gt;" ")," "," "))</f>
        <v xml:space="preserve"> </v>
      </c>
      <c r="G41" s="264" t="str">
        <f>IF(A41&lt;=Sheet1!D$148, (1/((1+G10)^(A41-0.5)))," ")</f>
        <v xml:space="preserve"> </v>
      </c>
      <c r="H41" s="263" t="str">
        <f>IF(AND(A41&lt;&gt;" ",Sheet1!D$192=1,Sheet1!D$193=1),ROUND(F41*G41,Sheet1!D$75),IF(AND(A41&lt;&gt;" ",Sheet1!D$193=1),ROUND(E41*G41,Sheet1!D$75)," "))</f>
        <v xml:space="preserve"> </v>
      </c>
      <c r="I41" s="264" t="str">
        <f>IF(A41&lt;&gt;" ",ROUND(VLOOKUP(Sheet1!E$82,CHOOSE(Sheet1!D$232,Inflate7,Inflate2,Inflate3,Inflate4,Inflate5,Inflate6,Inflate1,Inflate8),2),4)," ")</f>
        <v xml:space="preserve"> </v>
      </c>
      <c r="J41" s="264" t="str">
        <f>IF(A41&lt;&gt;" ",ROUND(VLOOKUP(B41,CHOOSE(Sheet1!D$232,Inflate7,Inflate2,Inflate3,Inflate4,Inflate5,Inflate6,Inflate1,Inflate8),3),4)," ")</f>
        <v xml:space="preserve"> </v>
      </c>
      <c r="K41" s="265" t="str">
        <f>IF(AND(A41&lt;&gt;" ",Sheet1!D$192=1,Sheet1!D$193=1),ROUND((F41/I41)*J41,Sheet1!D$75),IF(AND(A41&lt;&gt;" ",Sheet1!D$193=1),ROUND((E41/I41)*J41,Sheet1!D$75)," "))</f>
        <v xml:space="preserve"> </v>
      </c>
      <c r="L41" s="254" t="str">
        <f>IF(Sheet1!D$192=1,IF(AND(AA41&gt;AJ$61,AA40&lt;=AJ$61),"&lt;-Payback"," ")," ")</f>
        <v xml:space="preserve"> </v>
      </c>
      <c r="M41" s="271" t="str">
        <f>IF(OR(Sheet1!D$192=1,Sheet1!D$193=1),IF(OR((A40&gt;=(Sheet1!D$148+$A$11)-1),AND(Sheet1!D$8=3,A40&gt;=6))," ",A40+1),NA())</f>
        <v xml:space="preserve"> </v>
      </c>
      <c r="N41" s="271" t="str">
        <f>IF(OR(Sheet1!D$192=1,Sheet1!D$193=1),IF(OR((B40&gt;=(Sheet1!D$148+$B$11)-1),AND(Sheet1!D$8=3,A40&gt;=6))," ",B40+1),NA())</f>
        <v xml:space="preserve"> </v>
      </c>
      <c r="O41" s="266" t="e">
        <f>IF(OR(Sheet1!D$192=1,Sheet1!D$193=1),IF(NOT(Sheet1!D$192=1),0,IF(ROUND(VLOOKUP(A41,StatusQuo!A$19:M$68,13),Sheet1!D$75)-ROUND(VLOOKUP(A41,AlternativeA!A$110:M$159,13),Sheet1!D$75)&gt;0,1,0))," ")</f>
        <v>#VALUE!</v>
      </c>
      <c r="P41" s="263" t="str">
        <f>IF(AND(A41&lt;&gt;" ",Sheet1!D$192=1,Sheet1!D$193=1),IF(AND(OR(Sheet1!D$8=2,Sheet1!D$22=3),O41&gt;10),0,ROUND(VLOOKUP(A41,StatusQuo!A$19:M$68,13),Sheet1!D$75)),IF(NOT(Sheet1!D$192=1),"not feasible",IF(A41=" "," ", "Savings is  n/a=&gt;")))</f>
        <v xml:space="preserve"> </v>
      </c>
      <c r="Q41" s="263" t="str">
        <f>IF(AND(A41&lt;&gt;" ",Sheet1!D$192=1,Sheet1!D$193=1),IF(AND(OR(Sheet1!D$8=2,Sheet1!D$22=3),O41&gt;10),0,ROUND(VLOOKUP(A41,AlternativeA!A$110:M$159,13),Sheet1!D$75)),IF(NOT(Sheet1!D$193=1),"not feasible",IF(A41=" "," ","&lt;== Savings is n/a")))</f>
        <v>not feasible</v>
      </c>
      <c r="R41" s="263" t="str">
        <f>IF(AND(A41&lt;&gt;" ",Sheet1!D$192=1,Sheet1!D$193=1),IF(G$81&lt;&gt;" ","??????? ",P41-Q41)," ")</f>
        <v xml:space="preserve"> </v>
      </c>
      <c r="S41" s="263" t="str">
        <f>IF(AND(A41&lt;&gt;" ",Sheet1!D$192=1,Sheet1!D$193=1),ROUND(R41*G41,Sheet1!D$75)," ")</f>
        <v xml:space="preserve"> </v>
      </c>
      <c r="T41" s="263" t="str">
        <f>IF(AND(A41&lt;&gt;" ",Sheet1!D$192=1,Sheet1!D$193=1),ROUND((R41/I41)*J41,Sheet1!D$75)," ")</f>
        <v xml:space="preserve"> </v>
      </c>
      <c r="U41" s="265">
        <f>SUM(T$11:T41)</f>
        <v>0</v>
      </c>
      <c r="V41" s="254" t="str">
        <f t="shared" si="0"/>
        <v xml:space="preserve"> </v>
      </c>
      <c r="W41" s="268">
        <f t="shared" si="1"/>
        <v>31</v>
      </c>
      <c r="X41" s="171" t="str">
        <f t="shared" si="2"/>
        <v xml:space="preserve"> </v>
      </c>
      <c r="Y41" s="296"/>
      <c r="Z41" s="270"/>
      <c r="AA41" s="265">
        <f>SUM(K$11:K41)</f>
        <v>0</v>
      </c>
      <c r="AB41" s="271" t="str">
        <f>IF(OR(Sheet1!D$192=1,Sheet1!D$193=1),IF(OR((AB40&gt;=(Sheet1!D$148+$A$11)-1),AND(Sheet1!D$8=3,AB40&gt;=6))," ",AB40+1),NA())</f>
        <v xml:space="preserve"> </v>
      </c>
      <c r="AC41" s="271" t="str">
        <f>IF(OR(Sheet1!D$192=1,Sheet1!D$193=1),IF(OR((AC40&gt;=(Sheet1!D$148+$B$11)-1),AND(Sheet1!D$8=3,AB40&gt;=6))," ",AC40+1),NA())</f>
        <v xml:space="preserve"> </v>
      </c>
      <c r="AD41" s="262"/>
      <c r="AE41" s="263" t="str">
        <f>IF(AND(Sheet1!D$193=1,AB41&lt;&gt;" "),ROUND(VLOOKUP(AB41,AlternativeA!A$17:M$66,12),Sheet1!D$75),IF(Sheet1!D$193=1," ","Alt  'A'  not feasible"))</f>
        <v>Alt  'A'  not feasible</v>
      </c>
      <c r="AF41" s="264" t="str">
        <f>IF(AB41&lt;=Sheet1!D$148, (1/((1+$AF$10)^(AB41-0.5)))," ")</f>
        <v xml:space="preserve"> </v>
      </c>
      <c r="AG41" s="263" t="str">
        <f>IF(AND(Sheet1!D$193=1,AB41&lt;&gt;" "),ROUND(+AE41*AF41,Sheet1!D$75)," ")</f>
        <v xml:space="preserve"> </v>
      </c>
      <c r="AH41" s="264" t="str">
        <f>IF(AB41&lt;&gt;" ",ROUND(VLOOKUP(Sheet1!E$82,CHOOSE(Sheet1!D$212,Inflate1,Inflate2,Inflate3,Inflate4,Inflate5,Inflate6,Inflate7,Inflate8),2),4)," ")</f>
        <v xml:space="preserve"> </v>
      </c>
      <c r="AI41" s="264" t="str">
        <f>IF(AB41&lt;&gt;" ",ROUND(VLOOKUP(AC41,CHOOSE(Sheet1!D$212,Inflate1,Inflate2,Inflate3,Inflate4,Inflate5,Inflate6,Inflate7,Inflate8),3),4)," ")</f>
        <v xml:space="preserve"> </v>
      </c>
      <c r="AJ41" s="263" t="b">
        <f>IF(AND(Sheet1!D$193=1,AB41&lt;&gt;" "),IF(AND(O41&lt;=10,OR(Sheet1!D$8=2,Sheet1!D$8=3,Sheet1!D$22=3)),ROUND((AE41/AH41)*AI41,Sheet1!D$75),IF(AND(Sheet1!D$8&lt;&gt;2,Sheet1!D$8&lt;&gt;3,Sheet1!D$22&lt;&gt;3),ROUND((AE41/AH41)*AI41,Sheet1!D$75)," ")))</f>
        <v>0</v>
      </c>
    </row>
    <row r="42" spans="1:36" ht="12" customHeight="1" x14ac:dyDescent="0.2">
      <c r="A42" s="271" t="str">
        <f>IF(OR(Sheet1!D$192=1,Sheet1!D$193=1),IF(OR((A41&gt;=(Sheet1!D$148+$A$11)-1),AND(Sheet1!D$8=3,A41&gt;=6))," ",A41+1),NA())</f>
        <v xml:space="preserve"> </v>
      </c>
      <c r="B42" s="271" t="str">
        <f>IF(OR(Sheet1!D$192=1,Sheet1!D$193=1),IF(OR((B41&gt;=(Sheet1!D$148+$B$11)-1),AND(Sheet1!D$8=3,A41&gt;=6))," ",B41+1),NA())</f>
        <v xml:space="preserve"> </v>
      </c>
      <c r="C42" s="262"/>
      <c r="D42" s="263" t="str">
        <f>IF(AND(Sheet1!D$192=1,A42&lt;&gt;" "),ROUND(VLOOKUP(A42,StatusQuo!A$19:M$68,12),Sheet1!D$75),IF(Sheet1!D$192=1," ","SQ not feasible "))</f>
        <v xml:space="preserve"> </v>
      </c>
      <c r="E42" s="263" t="str">
        <f>IF(AND(Sheet1!D$193=1,A42&lt;&gt;" "),ROUND(VLOOKUP(A42,AlternativeA!A$110:M$159,12),Sheet1!D$75),IF(Sheet1!D$193=1," ","Alt  'A'  not feasible"))</f>
        <v>Alt  'A'  not feasible</v>
      </c>
      <c r="F42" s="263" t="str">
        <f>IF(AND(A42&lt;&gt;" ",Sheet1!D$192=1,Sheet1!D$193=1),D42-E42,IF(AND(Sheet1!D$193=1,A42&lt;&gt;" ")," "," "))</f>
        <v xml:space="preserve"> </v>
      </c>
      <c r="G42" s="264" t="str">
        <f>IF(A42&lt;=Sheet1!D$148, (1/((1+G10)^(A42-0.5)))," ")</f>
        <v xml:space="preserve"> </v>
      </c>
      <c r="H42" s="263" t="str">
        <f>IF(AND(A42&lt;&gt;" ",Sheet1!D$192=1,Sheet1!D$193=1),ROUND(F42*G42,Sheet1!D$75),IF(AND(A42&lt;&gt;" ",Sheet1!D$193=1),ROUND(E42*G42,Sheet1!D$75)," "))</f>
        <v xml:space="preserve"> </v>
      </c>
      <c r="I42" s="264" t="str">
        <f>IF(A42&lt;&gt;" ",ROUND(VLOOKUP(Sheet1!E$82,CHOOSE(Sheet1!D$232,Inflate7,Inflate2,Inflate3,Inflate4,Inflate5,Inflate6,Inflate1,Inflate8),2),4)," ")</f>
        <v xml:space="preserve"> </v>
      </c>
      <c r="J42" s="264" t="str">
        <f>IF(A42&lt;&gt;" ",ROUND(VLOOKUP(B42,CHOOSE(Sheet1!D$232,Inflate7,Inflate2,Inflate3,Inflate4,Inflate5,Inflate6,Inflate1,Inflate8),3),4)," ")</f>
        <v xml:space="preserve"> </v>
      </c>
      <c r="K42" s="265" t="str">
        <f>IF(AND(A42&lt;&gt;" ",Sheet1!D$192=1,Sheet1!D$193=1),ROUND((F42/I42)*J42,Sheet1!D$75),IF(AND(A42&lt;&gt;" ",Sheet1!D$193=1),ROUND((E42/I42)*J42,Sheet1!D$75)," "))</f>
        <v xml:space="preserve"> </v>
      </c>
      <c r="L42" s="254" t="str">
        <f>IF(Sheet1!D$192=1,IF(AND(AA42&gt;AJ$61,AA41&lt;=AJ$61),"&lt;-Payback"," ")," ")</f>
        <v xml:space="preserve"> </v>
      </c>
      <c r="M42" s="271" t="str">
        <f>IF(OR(Sheet1!D$192=1,Sheet1!D$193=1),IF(OR((A41&gt;=(Sheet1!D$148+$A$11)-1),AND(Sheet1!D$8=3,A41&gt;=6))," ",A41+1),NA())</f>
        <v xml:space="preserve"> </v>
      </c>
      <c r="N42" s="271" t="str">
        <f>IF(OR(Sheet1!D$192=1,Sheet1!D$193=1),IF(OR((B41&gt;=(Sheet1!D$148+$B$11)-1),AND(Sheet1!D$8=3,A41&gt;=6))," ",B41+1),NA())</f>
        <v xml:space="preserve"> </v>
      </c>
      <c r="O42" s="266" t="e">
        <f>IF(OR(Sheet1!D$192=1,Sheet1!D$193=1),IF(NOT(Sheet1!D$192=1),0,IF(ROUND(VLOOKUP(A42,StatusQuo!A$19:M$68,13),Sheet1!D$75)-ROUND(VLOOKUP(A42,AlternativeA!A$110:M$159,13),Sheet1!D$75)&gt;0,1,0))," ")</f>
        <v>#VALUE!</v>
      </c>
      <c r="P42" s="263" t="str">
        <f>IF(AND(A42&lt;&gt;" ",Sheet1!D$192=1,Sheet1!D$193=1),IF(AND(OR(Sheet1!D$8=2,Sheet1!D$22=3),O42&gt;10),0,ROUND(VLOOKUP(A42,StatusQuo!A$19:M$68,13),Sheet1!D$75)),IF(NOT(Sheet1!D$192=1),"not feasible",IF(A42=" "," ", "Savings is  n/a=&gt;")))</f>
        <v xml:space="preserve"> </v>
      </c>
      <c r="Q42" s="263" t="str">
        <f>IF(AND(A42&lt;&gt;" ",Sheet1!D$192=1,Sheet1!D$193=1),IF(AND(OR(Sheet1!D$8=2,Sheet1!D$22=3),O42&gt;10),0,ROUND(VLOOKUP(A42,AlternativeA!A$110:M$159,13),Sheet1!D$75)),IF(NOT(Sheet1!D$193=1),"not feasible",IF(A42=" "," ","&lt;== Savings is n/a")))</f>
        <v>not feasible</v>
      </c>
      <c r="R42" s="263" t="str">
        <f>IF(AND(A42&lt;&gt;" ",Sheet1!D$192=1,Sheet1!D$193=1),IF(G$81&lt;&gt;" ","??????? ",P42-Q42)," ")</f>
        <v xml:space="preserve"> </v>
      </c>
      <c r="S42" s="263" t="str">
        <f>IF(AND(A42&lt;&gt;" ",Sheet1!D$192=1,Sheet1!D$193=1),ROUND(R42*G42,Sheet1!D$75)," ")</f>
        <v xml:space="preserve"> </v>
      </c>
      <c r="T42" s="263" t="str">
        <f>IF(AND(A42&lt;&gt;" ",Sheet1!D$192=1,Sheet1!D$193=1),ROUND((R42/I42)*J42,Sheet1!D$75)," ")</f>
        <v xml:space="preserve"> </v>
      </c>
      <c r="U42" s="265">
        <f>SUM(T$11:T42)</f>
        <v>0</v>
      </c>
      <c r="V42" s="254" t="str">
        <f t="shared" si="0"/>
        <v xml:space="preserve"> </v>
      </c>
      <c r="W42" s="268">
        <f t="shared" si="1"/>
        <v>32</v>
      </c>
      <c r="X42" s="171" t="str">
        <f t="shared" si="2"/>
        <v xml:space="preserve"> </v>
      </c>
      <c r="Y42" s="296"/>
      <c r="Z42" s="270"/>
      <c r="AA42" s="265">
        <f>SUM(K$11:K42)</f>
        <v>0</v>
      </c>
      <c r="AB42" s="271" t="str">
        <f>IF(OR(Sheet1!D$192=1,Sheet1!D$193=1),IF(OR((AB41&gt;=(Sheet1!D$148+$A$11)-1),AND(Sheet1!D$8=3,AB41&gt;=6))," ",AB41+1),NA())</f>
        <v xml:space="preserve"> </v>
      </c>
      <c r="AC42" s="271" t="str">
        <f>IF(OR(Sheet1!D$192=1,Sheet1!D$193=1),IF(OR((AC41&gt;=(Sheet1!D$148+$B$11)-1),AND(Sheet1!D$8=3,AB41&gt;=6))," ",AC41+1),NA())</f>
        <v xml:space="preserve"> </v>
      </c>
      <c r="AD42" s="262"/>
      <c r="AE42" s="263" t="str">
        <f>IF(AND(Sheet1!D$193=1,AB42&lt;&gt;" "),ROUND(VLOOKUP(AB42,AlternativeA!A$17:M$66,12),Sheet1!D$75),IF(Sheet1!D$193=1," ","Alt  'A'  not feasible"))</f>
        <v>Alt  'A'  not feasible</v>
      </c>
      <c r="AF42" s="264" t="str">
        <f>IF(AB42&lt;=Sheet1!D$148, (1/((1+$AF$10)^(AB42-0.5)))," ")</f>
        <v xml:space="preserve"> </v>
      </c>
      <c r="AG42" s="263" t="str">
        <f>IF(AND(Sheet1!D$193=1,AB42&lt;&gt;" "),ROUND(+AE42*AF42,Sheet1!D$75)," ")</f>
        <v xml:space="preserve"> </v>
      </c>
      <c r="AH42" s="264" t="str">
        <f>IF(AB42&lt;&gt;" ",ROUND(VLOOKUP(Sheet1!E$82,CHOOSE(Sheet1!D$212,Inflate1,Inflate2,Inflate3,Inflate4,Inflate5,Inflate6,Inflate7,Inflate8),2),4)," ")</f>
        <v xml:space="preserve"> </v>
      </c>
      <c r="AI42" s="264" t="str">
        <f>IF(AB42&lt;&gt;" ",ROUND(VLOOKUP(AC42,CHOOSE(Sheet1!D$212,Inflate1,Inflate2,Inflate3,Inflate4,Inflate5,Inflate6,Inflate7,Inflate8),3),4)," ")</f>
        <v xml:space="preserve"> </v>
      </c>
      <c r="AJ42" s="263" t="b">
        <f>IF(AND(Sheet1!D$193=1,AB42&lt;&gt;" "),IF(AND(O42&lt;=10,OR(Sheet1!D$8=2,Sheet1!D$8=3,Sheet1!D$22=3)),ROUND((AE42/AH42)*AI42,Sheet1!D$75),IF(AND(Sheet1!D$8&lt;&gt;2,Sheet1!D$8&lt;&gt;3,Sheet1!D$22&lt;&gt;3),ROUND((AE42/AH42)*AI42,Sheet1!D$75)," ")))</f>
        <v>0</v>
      </c>
    </row>
    <row r="43" spans="1:36" ht="12" customHeight="1" x14ac:dyDescent="0.2">
      <c r="A43" s="271" t="str">
        <f>IF(OR(Sheet1!D$192=1,Sheet1!D$193=1),IF(OR((A42&gt;=(Sheet1!D$148+$A$11)-1),AND(Sheet1!D$8=3,A42&gt;=6))," ",A42+1),NA())</f>
        <v xml:space="preserve"> </v>
      </c>
      <c r="B43" s="271" t="str">
        <f>IF(OR(Sheet1!D$192=1,Sheet1!D$193=1),IF(OR((B42&gt;=(Sheet1!D$148+$B$11)-1),AND(Sheet1!D$8=3,A42&gt;=6))," ",B42+1),NA())</f>
        <v xml:space="preserve"> </v>
      </c>
      <c r="C43" s="262"/>
      <c r="D43" s="263" t="str">
        <f>IF(AND(Sheet1!D$192=1,A43&lt;&gt;" "),ROUND(VLOOKUP(A43,StatusQuo!A$19:M$68,12),Sheet1!D$75),IF(Sheet1!D$192=1," ","SQ not feasible "))</f>
        <v xml:space="preserve"> </v>
      </c>
      <c r="E43" s="263" t="str">
        <f>IF(AND(Sheet1!D$193=1,A43&lt;&gt;" "),ROUND(VLOOKUP(A43,AlternativeA!A$110:M$159,12),Sheet1!D$75),IF(Sheet1!D$193=1," ","Alt  'A'  not feasible"))</f>
        <v>Alt  'A'  not feasible</v>
      </c>
      <c r="F43" s="263" t="str">
        <f>IF(AND(A43&lt;&gt;" ",Sheet1!D$192=1,Sheet1!D$193=1),D43-E43,IF(AND(Sheet1!D$193=1,A43&lt;&gt;" ")," "," "))</f>
        <v xml:space="preserve"> </v>
      </c>
      <c r="G43" s="264" t="str">
        <f>IF(A43&lt;=Sheet1!D$148, (1/((1+G10)^(A43-0.5)))," ")</f>
        <v xml:space="preserve"> </v>
      </c>
      <c r="H43" s="263" t="str">
        <f>IF(AND(A43&lt;&gt;" ",Sheet1!D$192=1,Sheet1!D$193=1),ROUND(F43*G43,Sheet1!D$75),IF(AND(A43&lt;&gt;" ",Sheet1!D$193=1),ROUND(E43*G43,Sheet1!D$75)," "))</f>
        <v xml:space="preserve"> </v>
      </c>
      <c r="I43" s="264" t="str">
        <f>IF(A43&lt;&gt;" ",ROUND(VLOOKUP(Sheet1!E$82,CHOOSE(Sheet1!D$232,Inflate7,Inflate2,Inflate3,Inflate4,Inflate5,Inflate6,Inflate1,Inflate8),2),4)," ")</f>
        <v xml:space="preserve"> </v>
      </c>
      <c r="J43" s="264" t="str">
        <f>IF(A43&lt;&gt;" ",ROUND(VLOOKUP(B43,CHOOSE(Sheet1!D$232,Inflate7,Inflate2,Inflate3,Inflate4,Inflate5,Inflate6,Inflate1,Inflate8),3),4)," ")</f>
        <v xml:space="preserve"> </v>
      </c>
      <c r="K43" s="265" t="str">
        <f>IF(AND(A43&lt;&gt;" ",Sheet1!D$192=1,Sheet1!D$193=1),ROUND((F43/I43)*J43,Sheet1!D$75),IF(AND(A43&lt;&gt;" ",Sheet1!D$193=1),ROUND((E43/I43)*J43,Sheet1!D$75)," "))</f>
        <v xml:space="preserve"> </v>
      </c>
      <c r="L43" s="254" t="str">
        <f>IF(Sheet1!D$192=1,IF(AND(AA43&gt;AJ$61,AA42&lt;=AJ$61),"&lt;-Payback"," ")," ")</f>
        <v xml:space="preserve"> </v>
      </c>
      <c r="M43" s="271" t="str">
        <f>IF(OR(Sheet1!D$192=1,Sheet1!D$193=1),IF(OR((A42&gt;=(Sheet1!D$148+$A$11)-1),AND(Sheet1!D$8=3,A42&gt;=6))," ",A42+1),NA())</f>
        <v xml:space="preserve"> </v>
      </c>
      <c r="N43" s="271" t="str">
        <f>IF(OR(Sheet1!D$192=1,Sheet1!D$193=1),IF(OR((B42&gt;=(Sheet1!D$148+$B$11)-1),AND(Sheet1!D$8=3,A42&gt;=6))," ",B42+1),NA())</f>
        <v xml:space="preserve"> </v>
      </c>
      <c r="O43" s="266" t="e">
        <f>IF(OR(Sheet1!D$192=1,Sheet1!D$193=1),IF(NOT(Sheet1!D$192=1),0,IF(ROUND(VLOOKUP(A43,StatusQuo!A$19:M$68,13),Sheet1!D$75)-ROUND(VLOOKUP(A43,AlternativeA!A$110:M$159,13),Sheet1!D$75)&gt;0,1,0))," ")</f>
        <v>#VALUE!</v>
      </c>
      <c r="P43" s="263" t="str">
        <f>IF(AND(A43&lt;&gt;" ",Sheet1!D$192=1,Sheet1!D$193=1),IF(AND(OR(Sheet1!D$8=2,Sheet1!D$22=3),O43&gt;10),0,ROUND(VLOOKUP(A43,StatusQuo!A$19:M$68,13),Sheet1!D$75)),IF(NOT(Sheet1!D$192=1),"not feasible",IF(A43=" "," ", "Savings is  n/a=&gt;")))</f>
        <v xml:space="preserve"> </v>
      </c>
      <c r="Q43" s="263" t="str">
        <f>IF(AND(A43&lt;&gt;" ",Sheet1!D$192=1,Sheet1!D$193=1),IF(AND(OR(Sheet1!D$8=2,Sheet1!D$22=3),O43&gt;10),0,ROUND(VLOOKUP(A43,AlternativeA!A$110:M$159,13),Sheet1!D$75)),IF(NOT(Sheet1!D$193=1),"not feasible",IF(A43=" "," ","&lt;== Savings is n/a")))</f>
        <v>not feasible</v>
      </c>
      <c r="R43" s="263" t="str">
        <f>IF(AND(A43&lt;&gt;" ",Sheet1!D$192=1,Sheet1!D$193=1),IF(G$81&lt;&gt;" ","??????? ",P43-Q43)," ")</f>
        <v xml:space="preserve"> </v>
      </c>
      <c r="S43" s="263" t="str">
        <f>IF(AND(A43&lt;&gt;" ",Sheet1!D$192=1,Sheet1!D$193=1),ROUND(R43*G43,Sheet1!D$75)," ")</f>
        <v xml:space="preserve"> </v>
      </c>
      <c r="T43" s="263" t="str">
        <f>IF(AND(A43&lt;&gt;" ",Sheet1!D$192=1,Sheet1!D$193=1),ROUND((R43/I43)*J43,Sheet1!D$75)," ")</f>
        <v xml:space="preserve"> </v>
      </c>
      <c r="U43" s="265">
        <f>SUM(T$11:T43)</f>
        <v>0</v>
      </c>
      <c r="V43" s="254" t="str">
        <f t="shared" si="0"/>
        <v xml:space="preserve"> </v>
      </c>
      <c r="W43" s="268">
        <f t="shared" si="1"/>
        <v>33</v>
      </c>
      <c r="X43" s="171" t="str">
        <f t="shared" si="2"/>
        <v xml:space="preserve"> </v>
      </c>
      <c r="Y43" s="296"/>
      <c r="Z43" s="270"/>
      <c r="AA43" s="265">
        <f>SUM(K$11:K43)</f>
        <v>0</v>
      </c>
      <c r="AB43" s="271" t="str">
        <f>IF(OR(Sheet1!D$192=1,Sheet1!D$193=1),IF(OR((AB42&gt;=(Sheet1!D$148+$A$11)-1),AND(Sheet1!D$8=3,AB42&gt;=6))," ",AB42+1),NA())</f>
        <v xml:space="preserve"> </v>
      </c>
      <c r="AC43" s="271" t="str">
        <f>IF(OR(Sheet1!D$192=1,Sheet1!D$193=1),IF(OR((AC42&gt;=(Sheet1!D$148+$B$11)-1),AND(Sheet1!D$8=3,AB42&gt;=6))," ",AC42+1),NA())</f>
        <v xml:space="preserve"> </v>
      </c>
      <c r="AD43" s="262"/>
      <c r="AE43" s="263" t="str">
        <f>IF(AND(Sheet1!D$193=1,AB43&lt;&gt;" "),ROUND(VLOOKUP(AB43,AlternativeA!A$17:M$66,12),Sheet1!D$75),IF(Sheet1!D$193=1," ","Alt  'A'  not feasible"))</f>
        <v>Alt  'A'  not feasible</v>
      </c>
      <c r="AF43" s="264" t="str">
        <f>IF(AB43&lt;=Sheet1!D$148, (1/((1+$AF$10)^(AB43-0.5)))," ")</f>
        <v xml:space="preserve"> </v>
      </c>
      <c r="AG43" s="263" t="str">
        <f>IF(AND(Sheet1!D$193=1,AB43&lt;&gt;" "),ROUND(+AE43*AF43,Sheet1!D$75)," ")</f>
        <v xml:space="preserve"> </v>
      </c>
      <c r="AH43" s="264" t="str">
        <f>IF(AB43&lt;&gt;" ",ROUND(VLOOKUP(Sheet1!E$82,CHOOSE(Sheet1!D$212,Inflate1,Inflate2,Inflate3,Inflate4,Inflate5,Inflate6,Inflate7,Inflate8),2),4)," ")</f>
        <v xml:space="preserve"> </v>
      </c>
      <c r="AI43" s="264" t="str">
        <f>IF(AB43&lt;&gt;" ",ROUND(VLOOKUP(AC43,CHOOSE(Sheet1!D$212,Inflate1,Inflate2,Inflate3,Inflate4,Inflate5,Inflate6,Inflate7,Inflate8),3),4)," ")</f>
        <v xml:space="preserve"> </v>
      </c>
      <c r="AJ43" s="263" t="b">
        <f>IF(AND(Sheet1!D$193=1,AB43&lt;&gt;" "),IF(AND(O43&lt;=10,OR(Sheet1!D$8=2,Sheet1!D$8=3,Sheet1!D$22=3)),ROUND((AE43/AH43)*AI43,Sheet1!D$75),IF(AND(Sheet1!D$8&lt;&gt;2,Sheet1!D$8&lt;&gt;3,Sheet1!D$22&lt;&gt;3),ROUND((AE43/AH43)*AI43,Sheet1!D$75)," ")))</f>
        <v>0</v>
      </c>
    </row>
    <row r="44" spans="1:36" ht="12" customHeight="1" x14ac:dyDescent="0.2">
      <c r="A44" s="271" t="str">
        <f>IF(OR(Sheet1!D$192=1,Sheet1!D$193=1),IF(OR((A43&gt;=(Sheet1!D$148+$A$11)-1),AND(Sheet1!D$8=3,A43&gt;=6))," ",A43+1),NA())</f>
        <v xml:space="preserve"> </v>
      </c>
      <c r="B44" s="271" t="str">
        <f>IF(OR(Sheet1!D$192=1,Sheet1!D$193=1),IF(OR((B43&gt;=(Sheet1!D$148+$B$11)-1),AND(Sheet1!D$8=3,A43&gt;=6))," ",B43+1),NA())</f>
        <v xml:space="preserve"> </v>
      </c>
      <c r="C44" s="262"/>
      <c r="D44" s="263" t="str">
        <f>IF(AND(Sheet1!D$192=1,A44&lt;&gt;" "),ROUND(VLOOKUP(A44,StatusQuo!A$19:M$68,12),Sheet1!D$75),IF(Sheet1!D$192=1," ","SQ not feasible "))</f>
        <v xml:space="preserve"> </v>
      </c>
      <c r="E44" s="263" t="str">
        <f>IF(AND(Sheet1!D$193=1,A44&lt;&gt;" "),ROUND(VLOOKUP(A44,AlternativeA!A$110:M$159,12),Sheet1!D$75),IF(Sheet1!D$193=1," ","Alt  'A'  not feasible"))</f>
        <v>Alt  'A'  not feasible</v>
      </c>
      <c r="F44" s="263" t="str">
        <f>IF(AND(A44&lt;&gt;" ",Sheet1!D$192=1,Sheet1!D$193=1),D44-E44,IF(AND(Sheet1!D$193=1,A44&lt;&gt;" ")," "," "))</f>
        <v xml:space="preserve"> </v>
      </c>
      <c r="G44" s="264" t="str">
        <f>IF(A44&lt;=Sheet1!D$148, (1/((1+G10)^(A44-0.5)))," ")</f>
        <v xml:space="preserve"> </v>
      </c>
      <c r="H44" s="263" t="str">
        <f>IF(AND(A44&lt;&gt;" ",Sheet1!D$192=1,Sheet1!D$193=1),ROUND(F44*G44,Sheet1!D$75),IF(AND(A44&lt;&gt;" ",Sheet1!D$193=1),ROUND(E44*G44,Sheet1!D$75)," "))</f>
        <v xml:space="preserve"> </v>
      </c>
      <c r="I44" s="264" t="str">
        <f>IF(A44&lt;&gt;" ",ROUND(VLOOKUP(Sheet1!E$82,CHOOSE(Sheet1!D$232,Inflate7,Inflate2,Inflate3,Inflate4,Inflate5,Inflate6,Inflate1,Inflate8),2),4)," ")</f>
        <v xml:space="preserve"> </v>
      </c>
      <c r="J44" s="264" t="str">
        <f>IF(A44&lt;&gt;" ",ROUND(VLOOKUP(B44,CHOOSE(Sheet1!D$232,Inflate7,Inflate2,Inflate3,Inflate4,Inflate5,Inflate6,Inflate1,Inflate8),3),4)," ")</f>
        <v xml:space="preserve"> </v>
      </c>
      <c r="K44" s="265" t="str">
        <f>IF(AND(A44&lt;&gt;" ",Sheet1!D$192=1,Sheet1!D$193=1),ROUND((F44/I44)*J44,Sheet1!D$75),IF(AND(A44&lt;&gt;" ",Sheet1!D$193=1),ROUND((E44/I44)*J44,Sheet1!D$75)," "))</f>
        <v xml:space="preserve"> </v>
      </c>
      <c r="L44" s="254" t="str">
        <f>IF(Sheet1!D$192=1,IF(AND(AA44&gt;AJ$61,AA43&lt;=AJ$61),"&lt;-Payback"," ")," ")</f>
        <v xml:space="preserve"> </v>
      </c>
      <c r="M44" s="271" t="str">
        <f>IF(OR(Sheet1!D$192=1,Sheet1!D$193=1),IF(OR((A43&gt;=(Sheet1!D$148+$A$11)-1),AND(Sheet1!D$8=3,A43&gt;=6))," ",A43+1),NA())</f>
        <v xml:space="preserve"> </v>
      </c>
      <c r="N44" s="271" t="str">
        <f>IF(OR(Sheet1!D$192=1,Sheet1!D$193=1),IF(OR((B43&gt;=(Sheet1!D$148+$B$11)-1),AND(Sheet1!D$8=3,A43&gt;=6))," ",B43+1),NA())</f>
        <v xml:space="preserve"> </v>
      </c>
      <c r="O44" s="266" t="e">
        <f>IF(OR(Sheet1!D$192=1,Sheet1!D$193=1),IF(NOT(Sheet1!D$192=1),0,IF(ROUND(VLOOKUP(A44,StatusQuo!A$19:M$68,13),Sheet1!D$75)-ROUND(VLOOKUP(A44,AlternativeA!A$110:M$159,13),Sheet1!D$75)&gt;0,1,0))," ")</f>
        <v>#VALUE!</v>
      </c>
      <c r="P44" s="263" t="str">
        <f>IF(AND(A44&lt;&gt;" ",Sheet1!D$192=1,Sheet1!D$193=1),IF(AND(OR(Sheet1!D$8=2,Sheet1!D$22=3),O44&gt;10),0,ROUND(VLOOKUP(A44,StatusQuo!A$19:M$68,13),Sheet1!D$75)),IF(NOT(Sheet1!D$192=1),"not feasible",IF(A44=" "," ", "Savings is  n/a=&gt;")))</f>
        <v xml:space="preserve"> </v>
      </c>
      <c r="Q44" s="263" t="str">
        <f>IF(AND(A44&lt;&gt;" ",Sheet1!D$192=1,Sheet1!D$193=1),IF(AND(OR(Sheet1!D$8=2,Sheet1!D$22=3),O44&gt;10),0,ROUND(VLOOKUP(A44,AlternativeA!A$110:M$159,13),Sheet1!D$75)),IF(NOT(Sheet1!D$193=1),"not feasible",IF(A44=" "," ","&lt;== Savings is n/a")))</f>
        <v>not feasible</v>
      </c>
      <c r="R44" s="263" t="str">
        <f>IF(AND(A44&lt;&gt;" ",Sheet1!D$192=1,Sheet1!D$193=1),IF(G$81&lt;&gt;" ","??????? ",P44-Q44)," ")</f>
        <v xml:space="preserve"> </v>
      </c>
      <c r="S44" s="263" t="str">
        <f>IF(AND(A44&lt;&gt;" ",Sheet1!D$192=1,Sheet1!D$193=1),ROUND(R44*G44,Sheet1!D$75)," ")</f>
        <v xml:space="preserve"> </v>
      </c>
      <c r="T44" s="263" t="str">
        <f>IF(AND(A44&lt;&gt;" ",Sheet1!D$192=1,Sheet1!D$193=1),ROUND((R44/I44)*J44,Sheet1!D$75)," ")</f>
        <v xml:space="preserve"> </v>
      </c>
      <c r="U44" s="265">
        <f>SUM(T$11:T44)</f>
        <v>0</v>
      </c>
      <c r="V44" s="254" t="str">
        <f t="shared" si="0"/>
        <v xml:space="preserve"> </v>
      </c>
      <c r="W44" s="268">
        <f t="shared" si="1"/>
        <v>34</v>
      </c>
      <c r="X44" s="171" t="str">
        <f t="shared" si="2"/>
        <v xml:space="preserve"> </v>
      </c>
      <c r="Y44" s="296"/>
      <c r="Z44" s="270"/>
      <c r="AA44" s="265">
        <f>SUM(K$11:K44)</f>
        <v>0</v>
      </c>
      <c r="AB44" s="271" t="str">
        <f>IF(OR(Sheet1!D$192=1,Sheet1!D$193=1),IF(OR((AB43&gt;=(Sheet1!D$148+$A$11)-1),AND(Sheet1!D$8=3,AB43&gt;=6))," ",AB43+1),NA())</f>
        <v xml:space="preserve"> </v>
      </c>
      <c r="AC44" s="271" t="str">
        <f>IF(OR(Sheet1!D$192=1,Sheet1!D$193=1),IF(OR((AC43&gt;=(Sheet1!D$148+$B$11)-1),AND(Sheet1!D$8=3,AB43&gt;=6))," ",AC43+1),NA())</f>
        <v xml:space="preserve"> </v>
      </c>
      <c r="AD44" s="262"/>
      <c r="AE44" s="263" t="str">
        <f>IF(AND(Sheet1!D$193=1,AB44&lt;&gt;" "),ROUND(VLOOKUP(AB44,AlternativeA!A$17:M$66,12),Sheet1!D$75),IF(Sheet1!D$193=1," ","Alt  'A'  not feasible"))</f>
        <v>Alt  'A'  not feasible</v>
      </c>
      <c r="AF44" s="264" t="str">
        <f>IF(AB44&lt;=Sheet1!D$148, (1/((1+$AF$10)^(AB44-0.5)))," ")</f>
        <v xml:space="preserve"> </v>
      </c>
      <c r="AG44" s="263" t="str">
        <f>IF(AND(Sheet1!D$193=1,AB44&lt;&gt;" "),ROUND(+AE44*AF44,Sheet1!D$75)," ")</f>
        <v xml:space="preserve"> </v>
      </c>
      <c r="AH44" s="264" t="str">
        <f>IF(AB44&lt;&gt;" ",ROUND(VLOOKUP(Sheet1!E$82,CHOOSE(Sheet1!D$212,Inflate1,Inflate2,Inflate3,Inflate4,Inflate5,Inflate6,Inflate7,Inflate8),2),4)," ")</f>
        <v xml:space="preserve"> </v>
      </c>
      <c r="AI44" s="264" t="str">
        <f>IF(AB44&lt;&gt;" ",ROUND(VLOOKUP(AC44,CHOOSE(Sheet1!D$212,Inflate1,Inflate2,Inflate3,Inflate4,Inflate5,Inflate6,Inflate7,Inflate8),3),4)," ")</f>
        <v xml:space="preserve"> </v>
      </c>
      <c r="AJ44" s="263" t="b">
        <f>IF(AND(Sheet1!D$193=1,AB44&lt;&gt;" "),IF(AND(O44&lt;=10,OR(Sheet1!D$8=2,Sheet1!D$8=3,Sheet1!D$22=3)),ROUND((AE44/AH44)*AI44,Sheet1!D$75),IF(AND(Sheet1!D$8&lt;&gt;2,Sheet1!D$8&lt;&gt;3,Sheet1!D$22&lt;&gt;3),ROUND((AE44/AH44)*AI44,Sheet1!D$75)," ")))</f>
        <v>0</v>
      </c>
    </row>
    <row r="45" spans="1:36" ht="12" customHeight="1" x14ac:dyDescent="0.2">
      <c r="A45" s="271" t="str">
        <f>IF(OR(Sheet1!D$192=1,Sheet1!D$193=1),IF(OR((A44&gt;=(Sheet1!D$148+$A$11)-1),AND(Sheet1!D$8=3,A44&gt;=6))," ",A44+1),NA())</f>
        <v xml:space="preserve"> </v>
      </c>
      <c r="B45" s="271" t="str">
        <f>IF(OR(Sheet1!D$192=1,Sheet1!D$193=1),IF(OR((B44&gt;=(Sheet1!D$148+$B$11)-1),AND(Sheet1!D$8=3,A44&gt;=6))," ",B44+1),NA())</f>
        <v xml:space="preserve"> </v>
      </c>
      <c r="C45" s="262"/>
      <c r="D45" s="263" t="str">
        <f>IF(AND(Sheet1!D$192=1,A45&lt;&gt;" "),ROUND(VLOOKUP(A45,StatusQuo!A$19:M$68,12),Sheet1!D$75),IF(Sheet1!D$192=1," ","SQ not feasible "))</f>
        <v xml:space="preserve"> </v>
      </c>
      <c r="E45" s="263" t="str">
        <f>IF(AND(Sheet1!D$193=1,A45&lt;&gt;" "),ROUND(VLOOKUP(A45,AlternativeA!A$110:M$159,12),Sheet1!D$75),IF(Sheet1!D$193=1," ","Alt  'A'  not feasible"))</f>
        <v>Alt  'A'  not feasible</v>
      </c>
      <c r="F45" s="263" t="str">
        <f>IF(AND(A45&lt;&gt;" ",Sheet1!D$192=1,Sheet1!D$193=1),D45-E45,IF(AND(Sheet1!D$193=1,A45&lt;&gt;" ")," "," "))</f>
        <v xml:space="preserve"> </v>
      </c>
      <c r="G45" s="264" t="str">
        <f>IF(A45&lt;=Sheet1!D$148, (1/((1+G10)^(A45-0.5)))," ")</f>
        <v xml:space="preserve"> </v>
      </c>
      <c r="H45" s="263" t="str">
        <f>IF(AND(A45&lt;&gt;" ",Sheet1!D$192=1,Sheet1!D$193=1),ROUND(F45*G45,Sheet1!D$75),IF(AND(A45&lt;&gt;" ",Sheet1!D$193=1),ROUND(E45*G45,Sheet1!D$75)," "))</f>
        <v xml:space="preserve"> </v>
      </c>
      <c r="I45" s="264" t="str">
        <f>IF(A45&lt;&gt;" ",ROUND(VLOOKUP(Sheet1!E$82,CHOOSE(Sheet1!D$232,Inflate7,Inflate2,Inflate3,Inflate4,Inflate5,Inflate6,Inflate1,Inflate8),2),4)," ")</f>
        <v xml:space="preserve"> </v>
      </c>
      <c r="J45" s="264" t="str">
        <f>IF(A45&lt;&gt;" ",ROUND(VLOOKUP(B45,CHOOSE(Sheet1!D$232,Inflate7,Inflate2,Inflate3,Inflate4,Inflate5,Inflate6,Inflate1,Inflate8),3),4)," ")</f>
        <v xml:space="preserve"> </v>
      </c>
      <c r="K45" s="265" t="str">
        <f>IF(AND(A45&lt;&gt;" ",Sheet1!D$192=1,Sheet1!D$193=1),ROUND((F45/I45)*J45,Sheet1!D$75),IF(AND(A45&lt;&gt;" ",Sheet1!D$193=1),ROUND((E45/I45)*J45,Sheet1!D$75)," "))</f>
        <v xml:space="preserve"> </v>
      </c>
      <c r="L45" s="254" t="str">
        <f>IF(Sheet1!D$192=1,IF(AND(AA45&gt;AJ$61,AA44&lt;=AJ$61),"&lt;-Payback"," ")," ")</f>
        <v xml:space="preserve"> </v>
      </c>
      <c r="M45" s="271" t="str">
        <f>IF(OR(Sheet1!D$192=1,Sheet1!D$193=1),IF(OR((A44&gt;=(Sheet1!D$148+$A$11)-1),AND(Sheet1!D$8=3,A44&gt;=6))," ",A44+1),NA())</f>
        <v xml:space="preserve"> </v>
      </c>
      <c r="N45" s="271" t="str">
        <f>IF(OR(Sheet1!D$192=1,Sheet1!D$193=1),IF(OR((B44&gt;=(Sheet1!D$148+$B$11)-1),AND(Sheet1!D$8=3,A44&gt;=6))," ",B44+1),NA())</f>
        <v xml:space="preserve"> </v>
      </c>
      <c r="O45" s="266" t="e">
        <f>IF(OR(Sheet1!D$192=1,Sheet1!D$193=1),IF(NOT(Sheet1!D$192=1),0,IF(ROUND(VLOOKUP(A45,StatusQuo!A$19:M$68,13),Sheet1!D$75)-ROUND(VLOOKUP(A45,AlternativeA!A$110:M$159,13),Sheet1!D$75)&gt;0,1,0))," ")</f>
        <v>#VALUE!</v>
      </c>
      <c r="P45" s="263" t="str">
        <f>IF(AND(A45&lt;&gt;" ",Sheet1!D$192=1,Sheet1!D$193=1),IF(AND(OR(Sheet1!D$8=2,Sheet1!D$22=3),O45&gt;10),0,ROUND(VLOOKUP(A45,StatusQuo!A$19:M$68,13),Sheet1!D$75)),IF(NOT(Sheet1!D$192=1),"not feasible",IF(A45=" "," ", "Savings is  n/a=&gt;")))</f>
        <v xml:space="preserve"> </v>
      </c>
      <c r="Q45" s="263" t="str">
        <f>IF(AND(A45&lt;&gt;" ",Sheet1!D$192=1,Sheet1!D$193=1),IF(AND(OR(Sheet1!D$8=2,Sheet1!D$22=3),O45&gt;10),0,ROUND(VLOOKUP(A45,AlternativeA!A$110:M$159,13),Sheet1!D$75)),IF(NOT(Sheet1!D$193=1),"not feasible",IF(A45=" "," ","&lt;== Savings is n/a")))</f>
        <v>not feasible</v>
      </c>
      <c r="R45" s="263" t="str">
        <f>IF(AND(A45&lt;&gt;" ",Sheet1!D$192=1,Sheet1!D$193=1),IF(G$81&lt;&gt;" ","??????? ",P45-Q45)," ")</f>
        <v xml:space="preserve"> </v>
      </c>
      <c r="S45" s="263" t="str">
        <f>IF(AND(A45&lt;&gt;" ",Sheet1!D$192=1,Sheet1!D$193=1),ROUND(R45*G45,Sheet1!D$75)," ")</f>
        <v xml:space="preserve"> </v>
      </c>
      <c r="T45" s="263" t="str">
        <f>IF(AND(A45&lt;&gt;" ",Sheet1!D$192=1,Sheet1!D$193=1),ROUND((R45/I45)*J45,Sheet1!D$75)," ")</f>
        <v xml:space="preserve"> </v>
      </c>
      <c r="U45" s="265">
        <f>SUM(T$11:T45)</f>
        <v>0</v>
      </c>
      <c r="V45" s="254" t="str">
        <f t="shared" si="0"/>
        <v xml:space="preserve"> </v>
      </c>
      <c r="W45" s="268">
        <f t="shared" si="1"/>
        <v>35</v>
      </c>
      <c r="X45" s="171" t="str">
        <f t="shared" si="2"/>
        <v xml:space="preserve"> </v>
      </c>
      <c r="Y45" s="296"/>
      <c r="Z45" s="270"/>
      <c r="AA45" s="265">
        <f>SUM(K$11:K45)</f>
        <v>0</v>
      </c>
      <c r="AB45" s="271" t="str">
        <f>IF(OR(Sheet1!D$192=1,Sheet1!D$193=1),IF(OR((AB44&gt;=(Sheet1!D$148+$A$11)-1),AND(Sheet1!D$8=3,AB44&gt;=6))," ",AB44+1),NA())</f>
        <v xml:space="preserve"> </v>
      </c>
      <c r="AC45" s="271" t="str">
        <f>IF(OR(Sheet1!D$192=1,Sheet1!D$193=1),IF(OR((AC44&gt;=(Sheet1!D$148+$B$11)-1),AND(Sheet1!D$8=3,AB44&gt;=6))," ",AC44+1),NA())</f>
        <v xml:space="preserve"> </v>
      </c>
      <c r="AD45" s="262"/>
      <c r="AE45" s="263" t="str">
        <f>IF(AND(Sheet1!D$193=1,AB45&lt;&gt;" "),ROUND(VLOOKUP(AB45,AlternativeA!A$17:M$66,12),Sheet1!D$75),IF(Sheet1!D$193=1," ","Alt  'A'  not feasible"))</f>
        <v>Alt  'A'  not feasible</v>
      </c>
      <c r="AF45" s="264" t="str">
        <f>IF(AB45&lt;=Sheet1!D$148, (1/((1+$AF$10)^(AB45-0.5)))," ")</f>
        <v xml:space="preserve"> </v>
      </c>
      <c r="AG45" s="263" t="str">
        <f>IF(AND(Sheet1!D$193=1,AB45&lt;&gt;" "),ROUND(+AE45*AF45,Sheet1!D$75)," ")</f>
        <v xml:space="preserve"> </v>
      </c>
      <c r="AH45" s="264" t="str">
        <f>IF(AB45&lt;&gt;" ",ROUND(VLOOKUP(Sheet1!E$82,CHOOSE(Sheet1!D$212,Inflate1,Inflate2,Inflate3,Inflate4,Inflate5,Inflate6,Inflate7,Inflate8),2),4)," ")</f>
        <v xml:space="preserve"> </v>
      </c>
      <c r="AI45" s="264" t="str">
        <f>IF(AB45&lt;&gt;" ",ROUND(VLOOKUP(AC45,CHOOSE(Sheet1!D$212,Inflate1,Inflate2,Inflate3,Inflate4,Inflate5,Inflate6,Inflate7,Inflate8),3),4)," ")</f>
        <v xml:space="preserve"> </v>
      </c>
      <c r="AJ45" s="263" t="b">
        <f>IF(AND(Sheet1!D$193=1,AB45&lt;&gt;" "),IF(AND(O45&lt;=10,OR(Sheet1!D$8=2,Sheet1!D$8=3,Sheet1!D$22=3)),ROUND((AE45/AH45)*AI45,Sheet1!D$75),IF(AND(Sheet1!D$8&lt;&gt;2,Sheet1!D$8&lt;&gt;3,Sheet1!D$22&lt;&gt;3),ROUND((AE45/AH45)*AI45,Sheet1!D$75)," ")))</f>
        <v>0</v>
      </c>
    </row>
    <row r="46" spans="1:36" ht="12" customHeight="1" x14ac:dyDescent="0.2">
      <c r="A46" s="271" t="str">
        <f>IF(OR(Sheet1!D$192=1,Sheet1!D$193=1),IF(OR((A45&gt;=(Sheet1!D$148+$A$11)-1),AND(Sheet1!D$8=3,A45&gt;=6))," ",A45+1),NA())</f>
        <v xml:space="preserve"> </v>
      </c>
      <c r="B46" s="271" t="str">
        <f>IF(OR(Sheet1!D$192=1,Sheet1!D$193=1),IF(OR((B45&gt;=(Sheet1!D$148+$B$11)-1),AND(Sheet1!D$8=3,A45&gt;=6))," ",B45+1),NA())</f>
        <v xml:space="preserve"> </v>
      </c>
      <c r="C46" s="262"/>
      <c r="D46" s="263" t="str">
        <f>IF(AND(Sheet1!D$192=1,A46&lt;&gt;" "),ROUND(VLOOKUP(A46,StatusQuo!A$19:M$68,12),Sheet1!D$75),IF(Sheet1!D$192=1," ","SQ not feasible "))</f>
        <v xml:space="preserve"> </v>
      </c>
      <c r="E46" s="263" t="str">
        <f>IF(AND(Sheet1!D$193=1,A46&lt;&gt;" "),ROUND(VLOOKUP(A46,AlternativeA!A$110:M$159,12),Sheet1!D$75),IF(Sheet1!D$193=1," ","Alt  'A'  not feasible"))</f>
        <v>Alt  'A'  not feasible</v>
      </c>
      <c r="F46" s="263" t="str">
        <f>IF(AND(A46&lt;&gt;" ",Sheet1!D$192=1,Sheet1!D$193=1),D46-E46,IF(AND(Sheet1!D$193=1,A46&lt;&gt;" ")," "," "))</f>
        <v xml:space="preserve"> </v>
      </c>
      <c r="G46" s="264" t="str">
        <f>IF(A46&lt;=Sheet1!D$148, (1/((1+G10)^(A46-0.5)))," ")</f>
        <v xml:space="preserve"> </v>
      </c>
      <c r="H46" s="263" t="str">
        <f>IF(AND(A46&lt;&gt;" ",Sheet1!D$192=1,Sheet1!D$193=1),ROUND(F46*G46,Sheet1!D$75),IF(AND(A46&lt;&gt;" ",Sheet1!D$193=1),ROUND(E46*G46,Sheet1!D$75)," "))</f>
        <v xml:space="preserve"> </v>
      </c>
      <c r="I46" s="264" t="str">
        <f>IF(A46&lt;&gt;" ",ROUND(VLOOKUP(Sheet1!E$82,CHOOSE(Sheet1!D$232,Inflate7,Inflate2,Inflate3,Inflate4,Inflate5,Inflate6,Inflate1,Inflate8),2),4)," ")</f>
        <v xml:space="preserve"> </v>
      </c>
      <c r="J46" s="264" t="str">
        <f>IF(A46&lt;&gt;" ",ROUND(VLOOKUP(B46,CHOOSE(Sheet1!D$232,Inflate7,Inflate2,Inflate3,Inflate4,Inflate5,Inflate6,Inflate1,Inflate8),3),4)," ")</f>
        <v xml:space="preserve"> </v>
      </c>
      <c r="K46" s="265" t="str">
        <f>IF(AND(A46&lt;&gt;" ",Sheet1!D$192=1,Sheet1!D$193=1),ROUND((F46/I46)*J46,Sheet1!D$75),IF(AND(A46&lt;&gt;" ",Sheet1!D$193=1),ROUND((E46/I46)*J46,Sheet1!D$75)," "))</f>
        <v xml:space="preserve"> </v>
      </c>
      <c r="L46" s="254" t="str">
        <f>IF(Sheet1!D$192=1,IF(AND(AA46&gt;AJ$61,AA45&lt;=AJ$61),"&lt;-Payback"," ")," ")</f>
        <v xml:space="preserve"> </v>
      </c>
      <c r="M46" s="271" t="str">
        <f>IF(OR(Sheet1!D$192=1,Sheet1!D$193=1),IF(OR((A45&gt;=(Sheet1!D$148+$A$11)-1),AND(Sheet1!D$8=3,A45&gt;=6))," ",A45+1),NA())</f>
        <v xml:space="preserve"> </v>
      </c>
      <c r="N46" s="271" t="str">
        <f>IF(OR(Sheet1!D$192=1,Sheet1!D$193=1),IF(OR((B45&gt;=(Sheet1!D$148+$B$11)-1),AND(Sheet1!D$8=3,A45&gt;=6))," ",B45+1),NA())</f>
        <v xml:space="preserve"> </v>
      </c>
      <c r="O46" s="266" t="e">
        <f>IF(OR(Sheet1!D$192=1,Sheet1!D$193=1),IF(NOT(Sheet1!D$192=1),0,IF(ROUND(VLOOKUP(A46,StatusQuo!A$19:M$68,13),Sheet1!D$75)-ROUND(VLOOKUP(A46,AlternativeA!A$110:M$159,13),Sheet1!D$75)&gt;0,1,0))," ")</f>
        <v>#VALUE!</v>
      </c>
      <c r="P46" s="263" t="str">
        <f>IF(AND(A46&lt;&gt;" ",Sheet1!D$192=1,Sheet1!D$193=1),IF(AND(OR(Sheet1!D$8=2,Sheet1!D$22=3),O46&gt;10),0,ROUND(VLOOKUP(A46,StatusQuo!A$19:M$68,13),Sheet1!D$75)),IF(NOT(Sheet1!D$192=1),"not feasible",IF(A46=" "," ", "Savings is  n/a=&gt;")))</f>
        <v xml:space="preserve"> </v>
      </c>
      <c r="Q46" s="263" t="str">
        <f>IF(AND(A46&lt;&gt;" ",Sheet1!D$192=1,Sheet1!D$193=1),IF(AND(OR(Sheet1!D$8=2,Sheet1!D$22=3),O46&gt;10),0,ROUND(VLOOKUP(A46,AlternativeA!A$110:M$159,13),Sheet1!D$75)),IF(NOT(Sheet1!D$193=1),"not feasible",IF(A46=" "," ","&lt;== Savings is n/a")))</f>
        <v>not feasible</v>
      </c>
      <c r="R46" s="263" t="str">
        <f>IF(AND(A46&lt;&gt;" ",Sheet1!D$192=1,Sheet1!D$193=1),IF(G$81&lt;&gt;" ","??????? ",P46-Q46)," ")</f>
        <v xml:space="preserve"> </v>
      </c>
      <c r="S46" s="263" t="str">
        <f>IF(AND(A46&lt;&gt;" ",Sheet1!D$192=1,Sheet1!D$193=1),ROUND(R46*G46,Sheet1!D$75)," ")</f>
        <v xml:space="preserve"> </v>
      </c>
      <c r="T46" s="263" t="str">
        <f>IF(AND(A46&lt;&gt;" ",Sheet1!D$192=1,Sheet1!D$193=1),ROUND((R46/I46)*J46,Sheet1!D$75)," ")</f>
        <v xml:space="preserve"> </v>
      </c>
      <c r="U46" s="265">
        <f>SUM(T$11:T46)</f>
        <v>0</v>
      </c>
      <c r="V46" s="254" t="str">
        <f t="shared" si="0"/>
        <v xml:space="preserve"> </v>
      </c>
      <c r="W46" s="268">
        <f t="shared" si="1"/>
        <v>36</v>
      </c>
      <c r="X46" s="171" t="str">
        <f t="shared" si="2"/>
        <v xml:space="preserve"> </v>
      </c>
      <c r="Y46" s="296"/>
      <c r="Z46" s="270"/>
      <c r="AA46" s="265">
        <f>SUM(K$11:K46)</f>
        <v>0</v>
      </c>
      <c r="AB46" s="271" t="str">
        <f>IF(OR(Sheet1!D$192=1,Sheet1!D$193=1),IF(OR((AB45&gt;=(Sheet1!D$148+$A$11)-1),AND(Sheet1!D$8=3,AB45&gt;=6))," ",AB45+1),NA())</f>
        <v xml:space="preserve"> </v>
      </c>
      <c r="AC46" s="271" t="str">
        <f>IF(OR(Sheet1!D$192=1,Sheet1!D$193=1),IF(OR((AC45&gt;=(Sheet1!D$148+$B$11)-1),AND(Sheet1!D$8=3,AB45&gt;=6))," ",AC45+1),NA())</f>
        <v xml:space="preserve"> </v>
      </c>
      <c r="AD46" s="262"/>
      <c r="AE46" s="263" t="str">
        <f>IF(AND(Sheet1!D$193=1,AB46&lt;&gt;" "),ROUND(VLOOKUP(AB46,AlternativeA!A$17:M$66,12),Sheet1!D$75),IF(Sheet1!D$193=1," ","Alt  'A'  not feasible"))</f>
        <v>Alt  'A'  not feasible</v>
      </c>
      <c r="AF46" s="264" t="str">
        <f>IF(AB46&lt;=Sheet1!D$148, (1/((1+$AF$10)^(AB46-0.5)))," ")</f>
        <v xml:space="preserve"> </v>
      </c>
      <c r="AG46" s="263" t="str">
        <f>IF(AND(Sheet1!D$193=1,AB46&lt;&gt;" "),ROUND(+AE46*AF46,Sheet1!D$75)," ")</f>
        <v xml:space="preserve"> </v>
      </c>
      <c r="AH46" s="264" t="str">
        <f>IF(AB46&lt;&gt;" ",ROUND(VLOOKUP(Sheet1!E$82,CHOOSE(Sheet1!D$212,Inflate1,Inflate2,Inflate3,Inflate4,Inflate5,Inflate6,Inflate7,Inflate8),2),4)," ")</f>
        <v xml:space="preserve"> </v>
      </c>
      <c r="AI46" s="264" t="str">
        <f>IF(AB46&lt;&gt;" ",ROUND(VLOOKUP(AC46,CHOOSE(Sheet1!D$212,Inflate1,Inflate2,Inflate3,Inflate4,Inflate5,Inflate6,Inflate7,Inflate8),3),4)," ")</f>
        <v xml:space="preserve"> </v>
      </c>
      <c r="AJ46" s="263" t="b">
        <f>IF(AND(Sheet1!D$193=1,AB46&lt;&gt;" "),IF(AND(O46&lt;=10,OR(Sheet1!D$8=2,Sheet1!D$8=3,Sheet1!D$22=3)),ROUND((AE46/AH46)*AI46,Sheet1!D$75),IF(AND(Sheet1!D$8&lt;&gt;2,Sheet1!D$8&lt;&gt;3,Sheet1!D$22&lt;&gt;3),ROUND((AE46/AH46)*AI46,Sheet1!D$75)," ")))</f>
        <v>0</v>
      </c>
    </row>
    <row r="47" spans="1:36" ht="12" customHeight="1" x14ac:dyDescent="0.2">
      <c r="A47" s="271" t="str">
        <f>IF(OR(Sheet1!D$192=1,Sheet1!D$193=1),IF(OR((A46&gt;=(Sheet1!D$148+$A$11)-1),AND(Sheet1!D$8=3,A46&gt;=6))," ",A46+1),NA())</f>
        <v xml:space="preserve"> </v>
      </c>
      <c r="B47" s="271" t="str">
        <f>IF(OR(Sheet1!D$192=1,Sheet1!D$193=1),IF(OR((B46&gt;=(Sheet1!D$148+$B$11)-1),AND(Sheet1!D$8=3,A46&gt;=6))," ",B46+1),NA())</f>
        <v xml:space="preserve"> </v>
      </c>
      <c r="C47" s="262"/>
      <c r="D47" s="263" t="str">
        <f>IF(AND(Sheet1!D$192=1,A47&lt;&gt;" "),ROUND(VLOOKUP(A47,StatusQuo!A$19:M$68,12),Sheet1!D$75),IF(Sheet1!D$192=1," ","SQ not feasible "))</f>
        <v xml:space="preserve"> </v>
      </c>
      <c r="E47" s="263" t="str">
        <f>IF(AND(Sheet1!D$193=1,A47&lt;&gt;" "),ROUND(VLOOKUP(A47,AlternativeA!A$110:M$159,12),Sheet1!D$75),IF(Sheet1!D$193=1," ","Alt  'A'  not feasible"))</f>
        <v>Alt  'A'  not feasible</v>
      </c>
      <c r="F47" s="263" t="str">
        <f>IF(AND(A47&lt;&gt;" ",Sheet1!D$192=1,Sheet1!D$193=1),D47-E47,IF(AND(Sheet1!D$193=1,A47&lt;&gt;" ")," "," "))</f>
        <v xml:space="preserve"> </v>
      </c>
      <c r="G47" s="264" t="str">
        <f>IF(A47&lt;=Sheet1!D$148, (1/((1+G10)^(A47-0.5)))," ")</f>
        <v xml:space="preserve"> </v>
      </c>
      <c r="H47" s="263" t="str">
        <f>IF(AND(A47&lt;&gt;" ",Sheet1!D$192=1,Sheet1!D$193=1),ROUND(F47*G47,Sheet1!D$75),IF(AND(A47&lt;&gt;" ",Sheet1!D$193=1),ROUND(E47*G47,Sheet1!D$75)," "))</f>
        <v xml:space="preserve"> </v>
      </c>
      <c r="I47" s="264" t="str">
        <f>IF(A47&lt;&gt;" ",ROUND(VLOOKUP(Sheet1!E$82,CHOOSE(Sheet1!D$232,Inflate7,Inflate2,Inflate3,Inflate4,Inflate5,Inflate6,Inflate1,Inflate8),2),4)," ")</f>
        <v xml:space="preserve"> </v>
      </c>
      <c r="J47" s="264" t="str">
        <f>IF(A47&lt;&gt;" ",ROUND(VLOOKUP(B47,CHOOSE(Sheet1!D$232,Inflate7,Inflate2,Inflate3,Inflate4,Inflate5,Inflate6,Inflate1,Inflate8),3),4)," ")</f>
        <v xml:space="preserve"> </v>
      </c>
      <c r="K47" s="265" t="str">
        <f>IF(AND(A47&lt;&gt;" ",Sheet1!D$192=1,Sheet1!D$193=1),ROUND((F47/I47)*J47,Sheet1!D$75),IF(AND(A47&lt;&gt;" ",Sheet1!D$193=1),ROUND((E47/I47)*J47,Sheet1!D$75)," "))</f>
        <v xml:space="preserve"> </v>
      </c>
      <c r="L47" s="254" t="str">
        <f>IF(Sheet1!D$192=1,IF(AND(AA47&gt;AJ$61,AA46&lt;=AJ$61),"&lt;-Payback"," ")," ")</f>
        <v xml:space="preserve"> </v>
      </c>
      <c r="M47" s="271" t="str">
        <f>IF(OR(Sheet1!D$192=1,Sheet1!D$193=1),IF(OR((A46&gt;=(Sheet1!D$148+$A$11)-1),AND(Sheet1!D$8=3,A46&gt;=6))," ",A46+1),NA())</f>
        <v xml:space="preserve"> </v>
      </c>
      <c r="N47" s="271" t="str">
        <f>IF(OR(Sheet1!D$192=1,Sheet1!D$193=1),IF(OR((B46&gt;=(Sheet1!D$148+$B$11)-1),AND(Sheet1!D$8=3,A46&gt;=6))," ",B46+1),NA())</f>
        <v xml:space="preserve"> </v>
      </c>
      <c r="O47" s="266" t="e">
        <f>IF(OR(Sheet1!D$192=1,Sheet1!D$193=1),IF(NOT(Sheet1!D$192=1),0,IF(ROUND(VLOOKUP(A47,StatusQuo!A$19:M$68,13),Sheet1!D$75)-ROUND(VLOOKUP(A47,AlternativeA!A$110:M$159,13),Sheet1!D$75)&gt;0,1,0))," ")</f>
        <v>#VALUE!</v>
      </c>
      <c r="P47" s="263" t="str">
        <f>IF(AND(A47&lt;&gt;" ",Sheet1!D$192=1,Sheet1!D$193=1),IF(AND(OR(Sheet1!D$8=2,Sheet1!D$22=3),O47&gt;10),0,ROUND(VLOOKUP(A47,StatusQuo!A$19:M$68,13),Sheet1!D$75)),IF(NOT(Sheet1!D$192=1),"not feasible",IF(A47=" "," ", "Savings is  n/a=&gt;")))</f>
        <v xml:space="preserve"> </v>
      </c>
      <c r="Q47" s="263" t="str">
        <f>IF(AND(A47&lt;&gt;" ",Sheet1!D$192=1,Sheet1!D$193=1),IF(AND(OR(Sheet1!D$8=2,Sheet1!D$22=3),O47&gt;10),0,ROUND(VLOOKUP(A47,AlternativeA!A$110:M$159,13),Sheet1!D$75)),IF(NOT(Sheet1!D$193=1),"not feasible",IF(A47=" "," ","&lt;== Savings is n/a")))</f>
        <v>not feasible</v>
      </c>
      <c r="R47" s="263" t="str">
        <f>IF(AND(A47&lt;&gt;" ",Sheet1!D$192=1,Sheet1!D$193=1),IF(G$81&lt;&gt;" ","??????? ",P47-Q47)," ")</f>
        <v xml:space="preserve"> </v>
      </c>
      <c r="S47" s="263" t="str">
        <f>IF(AND(A47&lt;&gt;" ",Sheet1!D$192=1,Sheet1!D$193=1),ROUND(R47*G47,Sheet1!D$75)," ")</f>
        <v xml:space="preserve"> </v>
      </c>
      <c r="T47" s="263" t="str">
        <f>IF(AND(A47&lt;&gt;" ",Sheet1!D$192=1,Sheet1!D$193=1),ROUND((R47/I47)*J47,Sheet1!D$75)," ")</f>
        <v xml:space="preserve"> </v>
      </c>
      <c r="U47" s="265">
        <f>SUM(T$11:T47)</f>
        <v>0</v>
      </c>
      <c r="V47" s="254" t="str">
        <f t="shared" si="0"/>
        <v xml:space="preserve"> </v>
      </c>
      <c r="W47" s="268">
        <f t="shared" si="1"/>
        <v>37</v>
      </c>
      <c r="X47" s="171" t="str">
        <f t="shared" si="2"/>
        <v xml:space="preserve"> </v>
      </c>
      <c r="Y47" s="296"/>
      <c r="Z47" s="270"/>
      <c r="AA47" s="265">
        <f>SUM(K$11:K47)</f>
        <v>0</v>
      </c>
      <c r="AB47" s="271" t="str">
        <f>IF(OR(Sheet1!D$192=1,Sheet1!D$193=1),IF(OR((AB46&gt;=(Sheet1!D$148+$A$11)-1),AND(Sheet1!D$8=3,AB46&gt;=6))," ",AB46+1),NA())</f>
        <v xml:space="preserve"> </v>
      </c>
      <c r="AC47" s="271" t="str">
        <f>IF(OR(Sheet1!D$192=1,Sheet1!D$193=1),IF(OR((AC46&gt;=(Sheet1!D$148+$B$11)-1),AND(Sheet1!D$8=3,AB46&gt;=6))," ",AC46+1),NA())</f>
        <v xml:space="preserve"> </v>
      </c>
      <c r="AD47" s="262"/>
      <c r="AE47" s="263" t="str">
        <f>IF(AND(Sheet1!D$193=1,AB47&lt;&gt;" "),ROUND(VLOOKUP(AB47,AlternativeA!A$17:M$66,12),Sheet1!D$75),IF(Sheet1!D$193=1," ","Alt  'A'  not feasible"))</f>
        <v>Alt  'A'  not feasible</v>
      </c>
      <c r="AF47" s="264" t="str">
        <f>IF(AB47&lt;=Sheet1!D$148, (1/((1+$AF$10)^(AB47-0.5)))," ")</f>
        <v xml:space="preserve"> </v>
      </c>
      <c r="AG47" s="263" t="str">
        <f>IF(AND(Sheet1!D$193=1,AB47&lt;&gt;" "),ROUND(+AE47*AF47,Sheet1!D$75)," ")</f>
        <v xml:space="preserve"> </v>
      </c>
      <c r="AH47" s="264" t="str">
        <f>IF(AB47&lt;&gt;" ",ROUND(VLOOKUP(Sheet1!E$82,CHOOSE(Sheet1!D$212,Inflate1,Inflate2,Inflate3,Inflate4,Inflate5,Inflate6,Inflate7,Inflate8),2),4)," ")</f>
        <v xml:space="preserve"> </v>
      </c>
      <c r="AI47" s="264" t="str">
        <f>IF(AB47&lt;&gt;" ",ROUND(VLOOKUP(AC47,CHOOSE(Sheet1!D$212,Inflate1,Inflate2,Inflate3,Inflate4,Inflate5,Inflate6,Inflate7,Inflate8),3),4)," ")</f>
        <v xml:space="preserve"> </v>
      </c>
      <c r="AJ47" s="263" t="b">
        <f>IF(AND(Sheet1!D$193=1,AB47&lt;&gt;" "),IF(AND(O47&lt;=10,OR(Sheet1!D$8=2,Sheet1!D$8=3,Sheet1!D$22=3)),ROUND((AE47/AH47)*AI47,Sheet1!D$75),IF(AND(Sheet1!D$8&lt;&gt;2,Sheet1!D$8&lt;&gt;3,Sheet1!D$22&lt;&gt;3),ROUND((AE47/AH47)*AI47,Sheet1!D$75)," ")))</f>
        <v>0</v>
      </c>
    </row>
    <row r="48" spans="1:36" ht="12" customHeight="1" x14ac:dyDescent="0.2">
      <c r="A48" s="271" t="str">
        <f>IF(OR(Sheet1!D$192=1,Sheet1!D$193=1),IF(OR((A47&gt;=(Sheet1!D$148+$A$11)-1),AND(Sheet1!D$8=3,A47&gt;=6))," ",A47+1),NA())</f>
        <v xml:space="preserve"> </v>
      </c>
      <c r="B48" s="271" t="str">
        <f>IF(OR(Sheet1!D$192=1,Sheet1!D$193=1),IF(OR((B47&gt;=(Sheet1!D$148+$B$11)-1),AND(Sheet1!D$8=3,A47&gt;=6))," ",B47+1),NA())</f>
        <v xml:space="preserve"> </v>
      </c>
      <c r="C48" s="262"/>
      <c r="D48" s="263" t="str">
        <f>IF(AND(Sheet1!D$192=1,A48&lt;&gt;" "),ROUND(VLOOKUP(A48,StatusQuo!A$19:M$68,12),Sheet1!D$75),IF(Sheet1!D$192=1," ","SQ not feasible "))</f>
        <v xml:space="preserve"> </v>
      </c>
      <c r="E48" s="263" t="str">
        <f>IF(AND(Sheet1!D$193=1,A48&lt;&gt;" "),ROUND(VLOOKUP(A48,AlternativeA!A$110:M$159,12),Sheet1!D$75),IF(Sheet1!D$193=1," ","Alt  'A'  not feasible"))</f>
        <v>Alt  'A'  not feasible</v>
      </c>
      <c r="F48" s="263" t="str">
        <f>IF(AND(A48&lt;&gt;" ",Sheet1!D$192=1,Sheet1!D$193=1),D48-E48,IF(AND(Sheet1!D$193=1,A48&lt;&gt;" ")," "," "))</f>
        <v xml:space="preserve"> </v>
      </c>
      <c r="G48" s="264" t="str">
        <f>IF(A48&lt;=Sheet1!D$148, (1/((1+G10)^(A48-0.5)))," ")</f>
        <v xml:space="preserve"> </v>
      </c>
      <c r="H48" s="263" t="str">
        <f>IF(AND(A48&lt;&gt;" ",Sheet1!D$192=1,Sheet1!D$193=1),ROUND(F48*G48,Sheet1!D$75),IF(AND(A48&lt;&gt;" ",Sheet1!D$193=1),ROUND(E48*G48,Sheet1!D$75)," "))</f>
        <v xml:space="preserve"> </v>
      </c>
      <c r="I48" s="264" t="str">
        <f>IF(A48&lt;&gt;" ",ROUND(VLOOKUP(Sheet1!E$82,CHOOSE(Sheet1!D$232,Inflate7,Inflate2,Inflate3,Inflate4,Inflate5,Inflate6,Inflate1,Inflate8),2),4)," ")</f>
        <v xml:space="preserve"> </v>
      </c>
      <c r="J48" s="264" t="str">
        <f>IF(A48&lt;&gt;" ",ROUND(VLOOKUP(B48,CHOOSE(Sheet1!D$232,Inflate7,Inflate2,Inflate3,Inflate4,Inflate5,Inflate6,Inflate1,Inflate8),3),4)," ")</f>
        <v xml:space="preserve"> </v>
      </c>
      <c r="K48" s="265" t="str">
        <f>IF(AND(A48&lt;&gt;" ",Sheet1!D$192=1,Sheet1!D$193=1),ROUND((F48/I48)*J48,Sheet1!D$75),IF(AND(A48&lt;&gt;" ",Sheet1!D$193=1),ROUND((E48/I48)*J48,Sheet1!D$75)," "))</f>
        <v xml:space="preserve"> </v>
      </c>
      <c r="L48" s="254" t="str">
        <f>IF(Sheet1!D$192=1,IF(AND(AA48&gt;AJ$61,AA47&lt;=AJ$61),"&lt;-Payback"," ")," ")</f>
        <v xml:space="preserve"> </v>
      </c>
      <c r="M48" s="271" t="str">
        <f>IF(OR(Sheet1!D$192=1,Sheet1!D$193=1),IF(OR((A47&gt;=(Sheet1!D$148+$A$11)-1),AND(Sheet1!D$8=3,A47&gt;=6))," ",A47+1),NA())</f>
        <v xml:space="preserve"> </v>
      </c>
      <c r="N48" s="271" t="str">
        <f>IF(OR(Sheet1!D$192=1,Sheet1!D$193=1),IF(OR((B47&gt;=(Sheet1!D$148+$B$11)-1),AND(Sheet1!D$8=3,A47&gt;=6))," ",B47+1),NA())</f>
        <v xml:space="preserve"> </v>
      </c>
      <c r="O48" s="266" t="e">
        <f>IF(OR(Sheet1!D$192=1,Sheet1!D$193=1),IF(NOT(Sheet1!D$192=1),0,IF(ROUND(VLOOKUP(A48,StatusQuo!A$19:M$68,13),Sheet1!D$75)-ROUND(VLOOKUP(A48,AlternativeA!A$110:M$159,13),Sheet1!D$75)&gt;0,1,0))," ")</f>
        <v>#VALUE!</v>
      </c>
      <c r="P48" s="263" t="str">
        <f>IF(AND(A48&lt;&gt;" ",Sheet1!D$192=1,Sheet1!D$193=1),IF(AND(OR(Sheet1!D$8=2,Sheet1!D$22=3),O48&gt;10),0,ROUND(VLOOKUP(A48,StatusQuo!A$19:M$68,13),Sheet1!D$75)),IF(NOT(Sheet1!D$192=1),"not feasible",IF(A48=" "," ", "Savings is  n/a=&gt;")))</f>
        <v xml:space="preserve"> </v>
      </c>
      <c r="Q48" s="263" t="str">
        <f>IF(AND(A48&lt;&gt;" ",Sheet1!D$192=1,Sheet1!D$193=1),IF(AND(OR(Sheet1!D$8=2,Sheet1!D$22=3),O48&gt;10),0,ROUND(VLOOKUP(A48,AlternativeA!A$110:M$159,13),Sheet1!D$75)),IF(NOT(Sheet1!D$193=1),"not feasible",IF(A48=" "," ","&lt;== Savings is n/a")))</f>
        <v>not feasible</v>
      </c>
      <c r="R48" s="263" t="str">
        <f>IF(AND(A48&lt;&gt;" ",Sheet1!D$192=1,Sheet1!D$193=1),IF(G$81&lt;&gt;" ","??????? ",P48-Q48)," ")</f>
        <v xml:space="preserve"> </v>
      </c>
      <c r="S48" s="263" t="str">
        <f>IF(AND(A48&lt;&gt;" ",Sheet1!D$192=1,Sheet1!D$193=1),ROUND(R48*G48,Sheet1!D$75)," ")</f>
        <v xml:space="preserve"> </v>
      </c>
      <c r="T48" s="263" t="str">
        <f>IF(AND(A48&lt;&gt;" ",Sheet1!D$192=1,Sheet1!D$193=1),ROUND((R48/I48)*J48,Sheet1!D$75)," ")</f>
        <v xml:space="preserve"> </v>
      </c>
      <c r="U48" s="265">
        <f>SUM(T$11:T48)</f>
        <v>0</v>
      </c>
      <c r="V48" s="254" t="str">
        <f t="shared" si="0"/>
        <v xml:space="preserve"> </v>
      </c>
      <c r="W48" s="268">
        <f t="shared" si="1"/>
        <v>38</v>
      </c>
      <c r="X48" s="171" t="str">
        <f t="shared" si="2"/>
        <v xml:space="preserve"> </v>
      </c>
      <c r="Y48" s="296"/>
      <c r="Z48" s="270"/>
      <c r="AA48" s="265">
        <f>SUM(K$11:K48)</f>
        <v>0</v>
      </c>
      <c r="AB48" s="271" t="str">
        <f>IF(OR(Sheet1!D$192=1,Sheet1!D$193=1),IF(OR((AB47&gt;=(Sheet1!D$148+$A$11)-1),AND(Sheet1!D$8=3,AB47&gt;=6))," ",AB47+1),NA())</f>
        <v xml:space="preserve"> </v>
      </c>
      <c r="AC48" s="271" t="str">
        <f>IF(OR(Sheet1!D$192=1,Sheet1!D$193=1),IF(OR((AC47&gt;=(Sheet1!D$148+$B$11)-1),AND(Sheet1!D$8=3,AB47&gt;=6))," ",AC47+1),NA())</f>
        <v xml:space="preserve"> </v>
      </c>
      <c r="AD48" s="262"/>
      <c r="AE48" s="263" t="str">
        <f>IF(AND(Sheet1!D$193=1,AB48&lt;&gt;" "),ROUND(VLOOKUP(AB48,AlternativeA!A$17:M$66,12),Sheet1!D$75),IF(Sheet1!D$193=1," ","Alt  'A'  not feasible"))</f>
        <v>Alt  'A'  not feasible</v>
      </c>
      <c r="AF48" s="264" t="str">
        <f>IF(AB48&lt;=Sheet1!D$148, (1/((1+$AF$10)^(AB48-0.5)))," ")</f>
        <v xml:space="preserve"> </v>
      </c>
      <c r="AG48" s="263" t="str">
        <f>IF(AND(Sheet1!D$193=1,AB48&lt;&gt;" "),ROUND(+AE48*AF48,Sheet1!D$75)," ")</f>
        <v xml:space="preserve"> </v>
      </c>
      <c r="AH48" s="264" t="str">
        <f>IF(AB48&lt;&gt;" ",ROUND(VLOOKUP(Sheet1!E$82,CHOOSE(Sheet1!D$212,Inflate1,Inflate2,Inflate3,Inflate4,Inflate5,Inflate6,Inflate7,Inflate8),2),4)," ")</f>
        <v xml:space="preserve"> </v>
      </c>
      <c r="AI48" s="264" t="str">
        <f>IF(AB48&lt;&gt;" ",ROUND(VLOOKUP(AC48,CHOOSE(Sheet1!D$212,Inflate1,Inflate2,Inflate3,Inflate4,Inflate5,Inflate6,Inflate7,Inflate8),3),4)," ")</f>
        <v xml:space="preserve"> </v>
      </c>
      <c r="AJ48" s="263" t="b">
        <f>IF(AND(Sheet1!D$193=1,AB48&lt;&gt;" "),IF(AND(O48&lt;=10,OR(Sheet1!D$8=2,Sheet1!D$8=3,Sheet1!D$22=3)),ROUND((AE48/AH48)*AI48,Sheet1!D$75),IF(AND(Sheet1!D$8&lt;&gt;2,Sheet1!D$8&lt;&gt;3,Sheet1!D$22&lt;&gt;3),ROUND((AE48/AH48)*AI48,Sheet1!D$75)," ")))</f>
        <v>0</v>
      </c>
    </row>
    <row r="49" spans="1:36" ht="12" customHeight="1" x14ac:dyDescent="0.2">
      <c r="A49" s="271" t="str">
        <f>IF(OR(Sheet1!D$192=1,Sheet1!D$193=1),IF(OR((A48&gt;=(Sheet1!D$148+$A$11)-1),AND(Sheet1!D$8=3,A48&gt;=6))," ",A48+1),NA())</f>
        <v xml:space="preserve"> </v>
      </c>
      <c r="B49" s="271" t="str">
        <f>IF(OR(Sheet1!D$192=1,Sheet1!D$193=1),IF(OR((B48&gt;=(Sheet1!D$148+$B$11)-1),AND(Sheet1!D$8=3,A48&gt;=6))," ",B48+1),NA())</f>
        <v xml:space="preserve"> </v>
      </c>
      <c r="C49" s="262"/>
      <c r="D49" s="263" t="str">
        <f>IF(AND(Sheet1!D$192=1,A49&lt;&gt;" "),ROUND(VLOOKUP(A49,StatusQuo!A$19:M$68,12),Sheet1!D$75),IF(Sheet1!D$192=1," ","SQ not feasible "))</f>
        <v xml:space="preserve"> </v>
      </c>
      <c r="E49" s="263" t="str">
        <f>IF(AND(Sheet1!D$193=1,A49&lt;&gt;" "),ROUND(VLOOKUP(A49,AlternativeA!A$110:M$159,12),Sheet1!D$75),IF(Sheet1!D$193=1," ","Alt  'A'  not feasible"))</f>
        <v>Alt  'A'  not feasible</v>
      </c>
      <c r="F49" s="263" t="str">
        <f>IF(AND(A49&lt;&gt;" ",Sheet1!D$192=1,Sheet1!D$193=1),D49-E49,IF(AND(Sheet1!D$193=1,A49&lt;&gt;" ")," "," "))</f>
        <v xml:space="preserve"> </v>
      </c>
      <c r="G49" s="264" t="str">
        <f>IF(A49&lt;=Sheet1!D$148, (1/((1+G10)^(A49-0.5)))," ")</f>
        <v xml:space="preserve"> </v>
      </c>
      <c r="H49" s="263" t="str">
        <f>IF(AND(A49&lt;&gt;" ",Sheet1!D$192=1,Sheet1!D$193=1),ROUND(F49*G49,Sheet1!D$75),IF(AND(A49&lt;&gt;" ",Sheet1!D$193=1),ROUND(E49*G49,Sheet1!D$75)," "))</f>
        <v xml:space="preserve"> </v>
      </c>
      <c r="I49" s="264" t="str">
        <f>IF(A49&lt;&gt;" ",ROUND(VLOOKUP(Sheet1!E$82,CHOOSE(Sheet1!D$232,Inflate7,Inflate2,Inflate3,Inflate4,Inflate5,Inflate6,Inflate1,Inflate8),2),4)," ")</f>
        <v xml:space="preserve"> </v>
      </c>
      <c r="J49" s="264" t="str">
        <f>IF(A49&lt;&gt;" ",ROUND(VLOOKUP(B49,CHOOSE(Sheet1!D$232,Inflate7,Inflate2,Inflate3,Inflate4,Inflate5,Inflate6,Inflate1,Inflate8),3),4)," ")</f>
        <v xml:space="preserve"> </v>
      </c>
      <c r="K49" s="265" t="str">
        <f>IF(AND(A49&lt;&gt;" ",Sheet1!D$192=1,Sheet1!D$193=1),ROUND((F49/I49)*J49,Sheet1!D$75),IF(AND(A49&lt;&gt;" ",Sheet1!D$193=1),ROUND((E49/I49)*J49,Sheet1!D$75)," "))</f>
        <v xml:space="preserve"> </v>
      </c>
      <c r="L49" s="254" t="str">
        <f>IF(Sheet1!D$192=1,IF(AND(AA49&gt;AJ$61,AA48&lt;=AJ$61),"&lt;-Payback"," ")," ")</f>
        <v xml:space="preserve"> </v>
      </c>
      <c r="M49" s="271" t="str">
        <f>IF(OR(Sheet1!D$192=1,Sheet1!D$193=1),IF(OR((A48&gt;=(Sheet1!D$148+$A$11)-1),AND(Sheet1!D$8=3,A48&gt;=6))," ",A48+1),NA())</f>
        <v xml:space="preserve"> </v>
      </c>
      <c r="N49" s="271" t="str">
        <f>IF(OR(Sheet1!D$192=1,Sheet1!D$193=1),IF(OR((B48&gt;=(Sheet1!D$148+$B$11)-1),AND(Sheet1!D$8=3,A48&gt;=6))," ",B48+1),NA())</f>
        <v xml:space="preserve"> </v>
      </c>
      <c r="O49" s="266" t="e">
        <f>IF(OR(Sheet1!D$192=1,Sheet1!D$193=1),IF(NOT(Sheet1!D$192=1),0,IF(ROUND(VLOOKUP(A49,StatusQuo!A$19:M$68,13),Sheet1!D$75)-ROUND(VLOOKUP(A49,AlternativeA!A$110:M$159,13),Sheet1!D$75)&gt;0,1,0))," ")</f>
        <v>#VALUE!</v>
      </c>
      <c r="P49" s="263" t="str">
        <f>IF(AND(A49&lt;&gt;" ",Sheet1!D$192=1,Sheet1!D$193=1),IF(AND(OR(Sheet1!D$8=2,Sheet1!D$22=3),O49&gt;10),0,ROUND(VLOOKUP(A49,StatusQuo!A$19:M$68,13),Sheet1!D$75)),IF(NOT(Sheet1!D$192=1),"not feasible",IF(A49=" "," ", "Savings is  n/a=&gt;")))</f>
        <v xml:space="preserve"> </v>
      </c>
      <c r="Q49" s="263" t="str">
        <f>IF(AND(A49&lt;&gt;" ",Sheet1!D$192=1,Sheet1!D$193=1),IF(AND(OR(Sheet1!D$8=2,Sheet1!D$22=3),O49&gt;10),0,ROUND(VLOOKUP(A49,AlternativeA!A$110:M$159,13),Sheet1!D$75)),IF(NOT(Sheet1!D$193=1),"not feasible",IF(A49=" "," ","&lt;== Savings is n/a")))</f>
        <v>not feasible</v>
      </c>
      <c r="R49" s="263" t="str">
        <f>IF(AND(A49&lt;&gt;" ",Sheet1!D$192=1,Sheet1!D$193=1),IF(G$81&lt;&gt;" ","??????? ",P49-Q49)," ")</f>
        <v xml:space="preserve"> </v>
      </c>
      <c r="S49" s="263" t="str">
        <f>IF(AND(A49&lt;&gt;" ",Sheet1!D$192=1,Sheet1!D$193=1),ROUND(R49*G49,Sheet1!D$75)," ")</f>
        <v xml:space="preserve"> </v>
      </c>
      <c r="T49" s="263" t="str">
        <f>IF(AND(A49&lt;&gt;" ",Sheet1!D$192=1,Sheet1!D$193=1),ROUND((R49/I49)*J49,Sheet1!D$75)," ")</f>
        <v xml:space="preserve"> </v>
      </c>
      <c r="U49" s="265">
        <f>SUM(T$11:T49)</f>
        <v>0</v>
      </c>
      <c r="V49" s="254" t="str">
        <f t="shared" si="0"/>
        <v xml:space="preserve"> </v>
      </c>
      <c r="W49" s="268">
        <f t="shared" si="1"/>
        <v>39</v>
      </c>
      <c r="X49" s="171" t="str">
        <f t="shared" si="2"/>
        <v xml:space="preserve"> </v>
      </c>
      <c r="Y49" s="296"/>
      <c r="Z49" s="270"/>
      <c r="AA49" s="265">
        <f>SUM(K$11:K49)</f>
        <v>0</v>
      </c>
      <c r="AB49" s="271" t="str">
        <f>IF(OR(Sheet1!D$192=1,Sheet1!D$193=1),IF(OR((AB48&gt;=(Sheet1!D$148+$A$11)-1),AND(Sheet1!D$8=3,AB48&gt;=6))," ",AB48+1),NA())</f>
        <v xml:space="preserve"> </v>
      </c>
      <c r="AC49" s="271" t="str">
        <f>IF(OR(Sheet1!D$192=1,Sheet1!D$193=1),IF(OR((AC48&gt;=(Sheet1!D$148+$B$11)-1),AND(Sheet1!D$8=3,AB48&gt;=6))," ",AC48+1),NA())</f>
        <v xml:space="preserve"> </v>
      </c>
      <c r="AD49" s="262"/>
      <c r="AE49" s="263" t="str">
        <f>IF(AND(Sheet1!D$193=1,AB49&lt;&gt;" "),ROUND(VLOOKUP(AB49,AlternativeA!A$17:M$66,12),Sheet1!D$75),IF(Sheet1!D$193=1," ","Alt  'A'  not feasible"))</f>
        <v>Alt  'A'  not feasible</v>
      </c>
      <c r="AF49" s="264" t="str">
        <f>IF(AB49&lt;=Sheet1!D$148, (1/((1+$AF$10)^(AB49-0.5)))," ")</f>
        <v xml:space="preserve"> </v>
      </c>
      <c r="AG49" s="263" t="str">
        <f>IF(AND(Sheet1!D$193=1,AB49&lt;&gt;" "),ROUND(+AE49*AF49,Sheet1!D$75)," ")</f>
        <v xml:space="preserve"> </v>
      </c>
      <c r="AH49" s="264" t="str">
        <f>IF(AB49&lt;&gt;" ",ROUND(VLOOKUP(Sheet1!E$82,CHOOSE(Sheet1!D$212,Inflate1,Inflate2,Inflate3,Inflate4,Inflate5,Inflate6,Inflate7,Inflate8),2),4)," ")</f>
        <v xml:space="preserve"> </v>
      </c>
      <c r="AI49" s="264" t="str">
        <f>IF(AB49&lt;&gt;" ",ROUND(VLOOKUP(AC49,CHOOSE(Sheet1!D$212,Inflate1,Inflate2,Inflate3,Inflate4,Inflate5,Inflate6,Inflate7,Inflate8),3),4)," ")</f>
        <v xml:space="preserve"> </v>
      </c>
      <c r="AJ49" s="263" t="b">
        <f>IF(AND(Sheet1!D$193=1,AB49&lt;&gt;" "),IF(AND(O49&lt;=10,OR(Sheet1!D$8=2,Sheet1!D$8=3,Sheet1!D$22=3)),ROUND((AE49/AH49)*AI49,Sheet1!D$75),IF(AND(Sheet1!D$8&lt;&gt;2,Sheet1!D$8&lt;&gt;3,Sheet1!D$22&lt;&gt;3),ROUND((AE49/AH49)*AI49,Sheet1!D$75)," ")))</f>
        <v>0</v>
      </c>
    </row>
    <row r="50" spans="1:36" ht="12" customHeight="1" x14ac:dyDescent="0.2">
      <c r="A50" s="271" t="str">
        <f>IF(OR(Sheet1!D$192=1,Sheet1!D$193=1),IF(OR((A49&gt;=(Sheet1!D$148+$A$11)-1),AND(Sheet1!D$8=3,A49&gt;=6))," ",A49+1),NA())</f>
        <v xml:space="preserve"> </v>
      </c>
      <c r="B50" s="271" t="str">
        <f>IF(OR(Sheet1!D$192=1,Sheet1!D$193=1),IF(OR((B49&gt;=(Sheet1!D$148+$B$11)-1),AND(Sheet1!D$8=3,A49&gt;=6))," ",B49+1),NA())</f>
        <v xml:space="preserve"> </v>
      </c>
      <c r="C50" s="262"/>
      <c r="D50" s="263" t="str">
        <f>IF(AND(Sheet1!D$192=1,A50&lt;&gt;" "),ROUND(VLOOKUP(A50,StatusQuo!A$19:M$68,12),Sheet1!D$75),IF(Sheet1!D$192=1," ","SQ not feasible "))</f>
        <v xml:space="preserve"> </v>
      </c>
      <c r="E50" s="263" t="str">
        <f>IF(AND(Sheet1!D$193=1,A50&lt;&gt;" "),ROUND(VLOOKUP(A50,AlternativeA!A$110:M$159,12),Sheet1!D$75),IF(Sheet1!D$193=1," ","Alt  'A'  not feasible"))</f>
        <v>Alt  'A'  not feasible</v>
      </c>
      <c r="F50" s="263" t="str">
        <f>IF(AND(A50&lt;&gt;" ",Sheet1!D$192=1,Sheet1!D$193=1),D50-E50,IF(AND(Sheet1!D$193=1,A50&lt;&gt;" ")," "," "))</f>
        <v xml:space="preserve"> </v>
      </c>
      <c r="G50" s="264" t="str">
        <f>IF(A50&lt;=Sheet1!D$148, (1/((1+G10)^(A50-0.5)))," ")</f>
        <v xml:space="preserve"> </v>
      </c>
      <c r="H50" s="263" t="str">
        <f>IF(AND(A50&lt;&gt;" ",Sheet1!D$192=1,Sheet1!D$193=1),ROUND(F50*G50,Sheet1!D$75),IF(AND(A50&lt;&gt;" ",Sheet1!D$193=1),ROUND(E50*G50,Sheet1!D$75)," "))</f>
        <v xml:space="preserve"> </v>
      </c>
      <c r="I50" s="264" t="str">
        <f>IF(A50&lt;&gt;" ",ROUND(VLOOKUP(Sheet1!E$82,CHOOSE(Sheet1!D$232,Inflate7,Inflate2,Inflate3,Inflate4,Inflate5,Inflate6,Inflate1,Inflate8),2),4)," ")</f>
        <v xml:space="preserve"> </v>
      </c>
      <c r="J50" s="264" t="str">
        <f>IF(A50&lt;&gt;" ",ROUND(VLOOKUP(B50,CHOOSE(Sheet1!D$232,Inflate7,Inflate2,Inflate3,Inflate4,Inflate5,Inflate6,Inflate1,Inflate8),3),4)," ")</f>
        <v xml:space="preserve"> </v>
      </c>
      <c r="K50" s="265" t="str">
        <f>IF(AND(A50&lt;&gt;" ",Sheet1!D$192=1,Sheet1!D$193=1),ROUND((F50/I50)*J50,Sheet1!D$75),IF(AND(A50&lt;&gt;" ",Sheet1!D$193=1),ROUND((E50/I50)*J50,Sheet1!D$75)," "))</f>
        <v xml:space="preserve"> </v>
      </c>
      <c r="L50" s="254" t="str">
        <f>IF(Sheet1!D$192=1,IF(AND(AA50&gt;AJ$61,AA49&lt;=AJ$61),"&lt;-Payback"," ")," ")</f>
        <v xml:space="preserve"> </v>
      </c>
      <c r="M50" s="271" t="str">
        <f>IF(OR(Sheet1!D$192=1,Sheet1!D$193=1),IF(OR((A49&gt;=(Sheet1!D$148+$A$11)-1),AND(Sheet1!D$8=3,A49&gt;=6))," ",A49+1),NA())</f>
        <v xml:space="preserve"> </v>
      </c>
      <c r="N50" s="271" t="str">
        <f>IF(OR(Sheet1!D$192=1,Sheet1!D$193=1),IF(OR((B49&gt;=(Sheet1!D$148+$B$11)-1),AND(Sheet1!D$8=3,A49&gt;=6))," ",B49+1),NA())</f>
        <v xml:space="preserve"> </v>
      </c>
      <c r="O50" s="266" t="e">
        <f>IF(OR(Sheet1!D$192=1,Sheet1!D$193=1),IF(NOT(Sheet1!D$192=1),0,IF(ROUND(VLOOKUP(A50,StatusQuo!A$19:M$68,13),Sheet1!D$75)-ROUND(VLOOKUP(A50,AlternativeA!A$110:M$159,13),Sheet1!D$75)&gt;0,1,0))," ")</f>
        <v>#VALUE!</v>
      </c>
      <c r="P50" s="263" t="str">
        <f>IF(AND(A50&lt;&gt;" ",Sheet1!D$192=1,Sheet1!D$193=1),IF(AND(OR(Sheet1!D$8=2,Sheet1!D$22=3),O50&gt;10),0,ROUND(VLOOKUP(A50,StatusQuo!A$19:M$68,13),Sheet1!D$75)),IF(NOT(Sheet1!D$192=1),"not feasible",IF(A50=" "," ", "Savings is  n/a=&gt;")))</f>
        <v xml:space="preserve"> </v>
      </c>
      <c r="Q50" s="263" t="str">
        <f>IF(AND(A50&lt;&gt;" ",Sheet1!D$192=1,Sheet1!D$193=1),IF(AND(OR(Sheet1!D$8=2,Sheet1!D$22=3),O50&gt;10),0,ROUND(VLOOKUP(A50,AlternativeA!A$110:M$159,13),Sheet1!D$75)),IF(NOT(Sheet1!D$193=1),"not feasible",IF(A50=" "," ","&lt;== Savings is n/a")))</f>
        <v>not feasible</v>
      </c>
      <c r="R50" s="263" t="str">
        <f>IF(AND(A50&lt;&gt;" ",Sheet1!D$192=1,Sheet1!D$193=1),IF(G$81&lt;&gt;" ","??????? ",P50-Q50)," ")</f>
        <v xml:space="preserve"> </v>
      </c>
      <c r="S50" s="263" t="str">
        <f>IF(AND(A50&lt;&gt;" ",Sheet1!D$192=1,Sheet1!D$193=1),ROUND(R50*G50,Sheet1!D$75)," ")</f>
        <v xml:space="preserve"> </v>
      </c>
      <c r="T50" s="263" t="str">
        <f>IF(AND(A50&lt;&gt;" ",Sheet1!D$192=1,Sheet1!D$193=1),ROUND((R50/I50)*J50,Sheet1!D$75)," ")</f>
        <v xml:space="preserve"> </v>
      </c>
      <c r="U50" s="265">
        <f>SUM(T$11:T50)</f>
        <v>0</v>
      </c>
      <c r="V50" s="254" t="str">
        <f t="shared" si="0"/>
        <v xml:space="preserve"> </v>
      </c>
      <c r="W50" s="268">
        <f t="shared" si="1"/>
        <v>40</v>
      </c>
      <c r="X50" s="171" t="str">
        <f t="shared" si="2"/>
        <v xml:space="preserve"> </v>
      </c>
      <c r="Y50" s="296"/>
      <c r="Z50" s="270"/>
      <c r="AA50" s="265">
        <f>SUM(K$11:K50)</f>
        <v>0</v>
      </c>
      <c r="AB50" s="271" t="str">
        <f>IF(OR(Sheet1!D$192=1,Sheet1!D$193=1),IF(OR((AB49&gt;=(Sheet1!D$148+$A$11)-1),AND(Sheet1!D$8=3,AB49&gt;=6))," ",AB49+1),NA())</f>
        <v xml:space="preserve"> </v>
      </c>
      <c r="AC50" s="271" t="str">
        <f>IF(OR(Sheet1!D$192=1,Sheet1!D$193=1),IF(OR((AC49&gt;=(Sheet1!D$148+$B$11)-1),AND(Sheet1!D$8=3,AB49&gt;=6))," ",AC49+1),NA())</f>
        <v xml:space="preserve"> </v>
      </c>
      <c r="AD50" s="262"/>
      <c r="AE50" s="263" t="str">
        <f>IF(AND(Sheet1!D$193=1,AB50&lt;&gt;" "),ROUND(VLOOKUP(AB50,AlternativeA!A$17:M$66,12),Sheet1!D$75),IF(Sheet1!D$193=1," ","Alt  'A'  not feasible"))</f>
        <v>Alt  'A'  not feasible</v>
      </c>
      <c r="AF50" s="264" t="str">
        <f>IF(AB50&lt;=Sheet1!D$148, (1/((1+$AF$10)^(AB50-0.5)))," ")</f>
        <v xml:space="preserve"> </v>
      </c>
      <c r="AG50" s="263" t="str">
        <f>IF(AND(Sheet1!D$193=1,AB50&lt;&gt;" "),ROUND(+AE50*AF50,Sheet1!D$75)," ")</f>
        <v xml:space="preserve"> </v>
      </c>
      <c r="AH50" s="264" t="str">
        <f>IF(AB50&lt;&gt;" ",ROUND(VLOOKUP(Sheet1!E$82,CHOOSE(Sheet1!D$212,Inflate1,Inflate2,Inflate3,Inflate4,Inflate5,Inflate6,Inflate7,Inflate8),2),4)," ")</f>
        <v xml:space="preserve"> </v>
      </c>
      <c r="AI50" s="264" t="str">
        <f>IF(AB50&lt;&gt;" ",ROUND(VLOOKUP(AC50,CHOOSE(Sheet1!D$212,Inflate1,Inflate2,Inflate3,Inflate4,Inflate5,Inflate6,Inflate7,Inflate8),3),4)," ")</f>
        <v xml:space="preserve"> </v>
      </c>
      <c r="AJ50" s="263" t="b">
        <f>IF(AND(Sheet1!D$193=1,AB50&lt;&gt;" "),IF(AND(O50&lt;=10,OR(Sheet1!D$8=2,Sheet1!D$8=3,Sheet1!D$22=3)),ROUND((AE50/AH50)*AI50,Sheet1!D$75),IF(AND(Sheet1!D$8&lt;&gt;2,Sheet1!D$8&lt;&gt;3,Sheet1!D$22&lt;&gt;3),ROUND((AE50/AH50)*AI50,Sheet1!D$75)," ")))</f>
        <v>0</v>
      </c>
    </row>
    <row r="51" spans="1:36" ht="12" customHeight="1" x14ac:dyDescent="0.2">
      <c r="A51" s="271" t="str">
        <f>IF(OR(Sheet1!D$192=1,Sheet1!D$193=1),IF(OR((A50&gt;=(Sheet1!D$148+$A$11)-1),AND(Sheet1!D$8=3,A50&gt;=6))," ",A50+1),NA())</f>
        <v xml:space="preserve"> </v>
      </c>
      <c r="B51" s="271" t="str">
        <f>IF(OR(Sheet1!D$192=1,Sheet1!D$193=1),IF(OR((B50&gt;=(Sheet1!D$148+$B$11)-1),AND(Sheet1!D$8=3,A50&gt;=6))," ",B50+1),NA())</f>
        <v xml:space="preserve"> </v>
      </c>
      <c r="C51" s="262"/>
      <c r="D51" s="263" t="str">
        <f>IF(AND(Sheet1!D$192=1,A51&lt;&gt;" "),ROUND(VLOOKUP(A51,StatusQuo!A$19:M$68,12),Sheet1!D$75),IF(Sheet1!D$192=1," ","SQ not feasible "))</f>
        <v xml:space="preserve"> </v>
      </c>
      <c r="E51" s="263" t="str">
        <f>IF(AND(Sheet1!D$193=1,A51&lt;&gt;" "),ROUND(VLOOKUP(A51,AlternativeA!A$110:M$159,12),Sheet1!D$75),IF(Sheet1!D$193=1," ","Alt  'A'  not feasible"))</f>
        <v>Alt  'A'  not feasible</v>
      </c>
      <c r="F51" s="263" t="str">
        <f>IF(AND(A51&lt;&gt;" ",Sheet1!D$192=1,Sheet1!D$193=1),D51-E51,IF(AND(Sheet1!D$193=1,A51&lt;&gt;" ")," "," "))</f>
        <v xml:space="preserve"> </v>
      </c>
      <c r="G51" s="264" t="str">
        <f>IF(A51&lt;=Sheet1!D$148, (1/((1+G10)^(A51-0.5)))," ")</f>
        <v xml:space="preserve"> </v>
      </c>
      <c r="H51" s="263" t="str">
        <f>IF(AND(A51&lt;&gt;" ",Sheet1!D$192=1,Sheet1!D$193=1),ROUND(F51*G51,Sheet1!D$75),IF(AND(A51&lt;&gt;" ",Sheet1!D$193=1),ROUND(E51*G51,Sheet1!D$75)," "))</f>
        <v xml:space="preserve"> </v>
      </c>
      <c r="I51" s="264" t="str">
        <f>IF(A51&lt;&gt;" ",ROUND(VLOOKUP(Sheet1!E$82,CHOOSE(Sheet1!D$232,Inflate7,Inflate2,Inflate3,Inflate4,Inflate5,Inflate6,Inflate1,Inflate8),2),4)," ")</f>
        <v xml:space="preserve"> </v>
      </c>
      <c r="J51" s="264" t="str">
        <f>IF(A51&lt;&gt;" ",ROUND(VLOOKUP(B51,CHOOSE(Sheet1!D$232,Inflate7,Inflate2,Inflate3,Inflate4,Inflate5,Inflate6,Inflate1,Inflate8),3),4)," ")</f>
        <v xml:space="preserve"> </v>
      </c>
      <c r="K51" s="265" t="str">
        <f>IF(AND(A51&lt;&gt;" ",Sheet1!D$192=1,Sheet1!D$193=1),ROUND((F51/I51)*J51,Sheet1!D$75),IF(AND(A51&lt;&gt;" ",Sheet1!D$193=1),ROUND((E51/I51)*J51,Sheet1!D$75)," "))</f>
        <v xml:space="preserve"> </v>
      </c>
      <c r="L51" s="254" t="str">
        <f>IF(Sheet1!D$192=1,IF(AND(AA51&gt;AJ$61,AA50&lt;=AJ$61),"&lt;-Payback"," ")," ")</f>
        <v xml:space="preserve"> </v>
      </c>
      <c r="M51" s="271" t="str">
        <f>IF(OR(Sheet1!D$192=1,Sheet1!D$193=1),IF(OR((A50&gt;=(Sheet1!D$148+$A$11)-1),AND(Sheet1!D$8=3,A50&gt;=6))," ",A50+1),NA())</f>
        <v xml:space="preserve"> </v>
      </c>
      <c r="N51" s="271" t="str">
        <f>IF(OR(Sheet1!D$192=1,Sheet1!D$193=1),IF(OR((B50&gt;=(Sheet1!D$148+$B$11)-1),AND(Sheet1!D$8=3,A50&gt;=6))," ",B50+1),NA())</f>
        <v xml:space="preserve"> </v>
      </c>
      <c r="O51" s="266" t="e">
        <f>IF(OR(Sheet1!D$192=1,Sheet1!D$193=1),IF(NOT(Sheet1!D$192=1),0,IF(ROUND(VLOOKUP(A51,StatusQuo!A$19:M$68,13),Sheet1!D$75)-ROUND(VLOOKUP(A51,AlternativeA!A$110:M$159,13),Sheet1!D$75)&gt;0,1,0))," ")</f>
        <v>#VALUE!</v>
      </c>
      <c r="P51" s="263" t="str">
        <f>IF(AND(A51&lt;&gt;" ",Sheet1!D$192=1,Sheet1!D$193=1),IF(AND(OR(Sheet1!D$8=2,Sheet1!D$22=3),O51&gt;10),0,ROUND(VLOOKUP(A51,StatusQuo!A$19:M$68,13),Sheet1!D$75)),IF(NOT(Sheet1!D$192=1),"not feasible",IF(A51=" "," ", "Savings is  n/a=&gt;")))</f>
        <v xml:space="preserve"> </v>
      </c>
      <c r="Q51" s="263" t="str">
        <f>IF(AND(A51&lt;&gt;" ",Sheet1!D$192=1,Sheet1!D$193=1),IF(AND(OR(Sheet1!D$8=2,Sheet1!D$22=3),O51&gt;10),0,ROUND(VLOOKUP(A51,AlternativeA!A$110:M$159,13),Sheet1!D$75)),IF(NOT(Sheet1!D$193=1),"not feasible",IF(A51=" "," ","&lt;== Savings is n/a")))</f>
        <v>not feasible</v>
      </c>
      <c r="R51" s="263" t="str">
        <f>IF(AND(A51&lt;&gt;" ",Sheet1!D$192=1,Sheet1!D$193=1),IF(G$81&lt;&gt;" ","??????? ",P51-Q51)," ")</f>
        <v xml:space="preserve"> </v>
      </c>
      <c r="S51" s="263" t="str">
        <f>IF(AND(A51&lt;&gt;" ",Sheet1!D$192=1,Sheet1!D$193=1),ROUND(R51*G51,Sheet1!D$75)," ")</f>
        <v xml:space="preserve"> </v>
      </c>
      <c r="T51" s="263" t="str">
        <f>IF(AND(A51&lt;&gt;" ",Sheet1!D$192=1,Sheet1!D$193=1),ROUND((R51/I51)*J51,Sheet1!D$75)," ")</f>
        <v xml:space="preserve"> </v>
      </c>
      <c r="U51" s="265">
        <f>SUM(T$11:T51)</f>
        <v>0</v>
      </c>
      <c r="V51" s="254" t="str">
        <f t="shared" si="0"/>
        <v xml:space="preserve"> </v>
      </c>
      <c r="W51" s="268">
        <f t="shared" si="1"/>
        <v>41</v>
      </c>
      <c r="X51" s="171" t="str">
        <f t="shared" si="2"/>
        <v xml:space="preserve"> </v>
      </c>
      <c r="Y51" s="296"/>
      <c r="Z51" s="270"/>
      <c r="AA51" s="265">
        <f>SUM(K$11:K51)</f>
        <v>0</v>
      </c>
      <c r="AB51" s="271" t="str">
        <f>IF(OR(Sheet1!D$192=1,Sheet1!D$193=1),IF(OR((AB50&gt;=(Sheet1!D$148+$A$11)-1),AND(Sheet1!D$8=3,AB50&gt;=6))," ",AB50+1),NA())</f>
        <v xml:space="preserve"> </v>
      </c>
      <c r="AC51" s="271" t="str">
        <f>IF(OR(Sheet1!D$192=1,Sheet1!D$193=1),IF(OR((AC50&gt;=(Sheet1!D$148+$B$11)-1),AND(Sheet1!D$8=3,AB50&gt;=6))," ",AC50+1),NA())</f>
        <v xml:space="preserve"> </v>
      </c>
      <c r="AD51" s="262"/>
      <c r="AE51" s="263" t="str">
        <f>IF(AND(Sheet1!D$193=1,AB51&lt;&gt;" "),ROUND(VLOOKUP(AB51,AlternativeA!A$17:M$66,12),Sheet1!D$75),IF(Sheet1!D$193=1," ","Alt  'A'  not feasible"))</f>
        <v>Alt  'A'  not feasible</v>
      </c>
      <c r="AF51" s="264" t="str">
        <f>IF(AB51&lt;=Sheet1!D$148, (1/((1+$AF$10)^(AB51-0.5)))," ")</f>
        <v xml:space="preserve"> </v>
      </c>
      <c r="AG51" s="263" t="str">
        <f>IF(AND(Sheet1!D$193=1,AB51&lt;&gt;" "),ROUND(+AE51*AF51,Sheet1!D$75)," ")</f>
        <v xml:space="preserve"> </v>
      </c>
      <c r="AH51" s="264" t="str">
        <f>IF(AB51&lt;&gt;" ",ROUND(VLOOKUP(Sheet1!E$82,CHOOSE(Sheet1!D$212,Inflate1,Inflate2,Inflate3,Inflate4,Inflate5,Inflate6,Inflate7,Inflate8),2),4)," ")</f>
        <v xml:space="preserve"> </v>
      </c>
      <c r="AI51" s="264" t="str">
        <f>IF(AB51&lt;&gt;" ",ROUND(VLOOKUP(AC51,CHOOSE(Sheet1!D$212,Inflate1,Inflate2,Inflate3,Inflate4,Inflate5,Inflate6,Inflate7,Inflate8),3),4)," ")</f>
        <v xml:space="preserve"> </v>
      </c>
      <c r="AJ51" s="263" t="b">
        <f>IF(AND(Sheet1!D$193=1,AB51&lt;&gt;" "),IF(AND(O51&lt;=10,OR(Sheet1!D$8=2,Sheet1!D$8=3,Sheet1!D$22=3)),ROUND((AE51/AH51)*AI51,Sheet1!D$75),IF(AND(Sheet1!D$8&lt;&gt;2,Sheet1!D$8&lt;&gt;3,Sheet1!D$22&lt;&gt;3),ROUND((AE51/AH51)*AI51,Sheet1!D$75)," ")))</f>
        <v>0</v>
      </c>
    </row>
    <row r="52" spans="1:36" ht="12" customHeight="1" x14ac:dyDescent="0.2">
      <c r="A52" s="271" t="str">
        <f>IF(OR(Sheet1!D$192=1,Sheet1!D$193=1),IF(OR((A51&gt;=(Sheet1!D$148+$A$11)-1),AND(Sheet1!D$8=3,A51&gt;=6))," ",A51+1),NA())</f>
        <v xml:space="preserve"> </v>
      </c>
      <c r="B52" s="271" t="str">
        <f>IF(OR(Sheet1!D$192=1,Sheet1!D$193=1),IF(OR((B51&gt;=(Sheet1!D$148+$B$11)-1),AND(Sheet1!D$8=3,A51&gt;=6))," ",B51+1),NA())</f>
        <v xml:space="preserve"> </v>
      </c>
      <c r="C52" s="262"/>
      <c r="D52" s="263" t="str">
        <f>IF(AND(Sheet1!D$192=1,A52&lt;&gt;" "),ROUND(VLOOKUP(A52,StatusQuo!A$19:M$68,12),Sheet1!D$75),IF(Sheet1!D$192=1," ","SQ not feasible "))</f>
        <v xml:space="preserve"> </v>
      </c>
      <c r="E52" s="263" t="str">
        <f>IF(AND(Sheet1!D$193=1,A52&lt;&gt;" "),ROUND(VLOOKUP(A52,AlternativeA!A$110:M$159,12),Sheet1!D$75),IF(Sheet1!D$193=1," ","Alt  'A'  not feasible"))</f>
        <v>Alt  'A'  not feasible</v>
      </c>
      <c r="F52" s="263" t="str">
        <f>IF(AND(A52&lt;&gt;" ",Sheet1!D$192=1,Sheet1!D$193=1),D52-E52,IF(AND(Sheet1!D$193=1,A52&lt;&gt;" ")," "," "))</f>
        <v xml:space="preserve"> </v>
      </c>
      <c r="G52" s="264" t="str">
        <f>IF(A52&lt;=Sheet1!D$148, (1/((1+G10)^(A52-0.5)))," ")</f>
        <v xml:space="preserve"> </v>
      </c>
      <c r="H52" s="263" t="str">
        <f>IF(AND(A52&lt;&gt;" ",Sheet1!D$192=1,Sheet1!D$193=1),ROUND(F52*G52,Sheet1!D$75),IF(AND(A52&lt;&gt;" ",Sheet1!D$193=1),ROUND(E52*G52,Sheet1!D$75)," "))</f>
        <v xml:space="preserve"> </v>
      </c>
      <c r="I52" s="264" t="str">
        <f>IF(A52&lt;&gt;" ",ROUND(VLOOKUP(Sheet1!E$82,CHOOSE(Sheet1!D$232,Inflate7,Inflate2,Inflate3,Inflate4,Inflate5,Inflate6,Inflate1,Inflate8),2),4)," ")</f>
        <v xml:space="preserve"> </v>
      </c>
      <c r="J52" s="264" t="str">
        <f>IF(A52&lt;&gt;" ",ROUND(VLOOKUP(B52,CHOOSE(Sheet1!D$232,Inflate7,Inflate2,Inflate3,Inflate4,Inflate5,Inflate6,Inflate1,Inflate8),3),4)," ")</f>
        <v xml:space="preserve"> </v>
      </c>
      <c r="K52" s="265" t="str">
        <f>IF(AND(A52&lt;&gt;" ",Sheet1!D$192=1,Sheet1!D$193=1),ROUND((F52/I52)*J52,Sheet1!D$75),IF(AND(A52&lt;&gt;" ",Sheet1!D$193=1),ROUND((E52/I52)*J52,Sheet1!D$75)," "))</f>
        <v xml:space="preserve"> </v>
      </c>
      <c r="L52" s="254" t="str">
        <f>IF(Sheet1!D$192=1,IF(AND(AA52&gt;AJ$61,AA51&lt;=AJ$61),"&lt;-Payback"," ")," ")</f>
        <v xml:space="preserve"> </v>
      </c>
      <c r="M52" s="271" t="str">
        <f>IF(OR(Sheet1!D$192=1,Sheet1!D$193=1),IF(OR((A51&gt;=(Sheet1!D$148+$A$11)-1),AND(Sheet1!D$8=3,A51&gt;=6))," ",A51+1),NA())</f>
        <v xml:space="preserve"> </v>
      </c>
      <c r="N52" s="271" t="str">
        <f>IF(OR(Sheet1!D$192=1,Sheet1!D$193=1),IF(OR((B51&gt;=(Sheet1!D$148+$B$11)-1),AND(Sheet1!D$8=3,A51&gt;=6))," ",B51+1),NA())</f>
        <v xml:space="preserve"> </v>
      </c>
      <c r="O52" s="266" t="e">
        <f>IF(OR(Sheet1!D$192=1,Sheet1!D$193=1),IF(NOT(Sheet1!D$192=1),0,IF(ROUND(VLOOKUP(A52,StatusQuo!A$19:M$68,13),Sheet1!D$75)-ROUND(VLOOKUP(A52,AlternativeA!A$110:M$159,13),Sheet1!D$75)&gt;0,1,0))," ")</f>
        <v>#VALUE!</v>
      </c>
      <c r="P52" s="263" t="str">
        <f>IF(AND(A52&lt;&gt;" ",Sheet1!D$192=1,Sheet1!D$193=1),IF(AND(OR(Sheet1!D$8=2,Sheet1!D$22=3),O52&gt;10),0,ROUND(VLOOKUP(A52,StatusQuo!A$19:M$68,13),Sheet1!D$75)),IF(NOT(Sheet1!D$192=1),"not feasible",IF(A52=" "," ", "Savings is  n/a=&gt;")))</f>
        <v xml:space="preserve"> </v>
      </c>
      <c r="Q52" s="263" t="str">
        <f>IF(AND(A52&lt;&gt;" ",Sheet1!D$192=1,Sheet1!D$193=1),IF(AND(OR(Sheet1!D$8=2,Sheet1!D$22=3),O52&gt;10),0,ROUND(VLOOKUP(A52,AlternativeA!A$110:M$159,13),Sheet1!D$75)),IF(NOT(Sheet1!D$193=1),"not feasible",IF(A52=" "," ","&lt;== Savings is n/a")))</f>
        <v>not feasible</v>
      </c>
      <c r="R52" s="263" t="str">
        <f>IF(AND(A52&lt;&gt;" ",Sheet1!D$192=1,Sheet1!D$193=1),IF(G$81&lt;&gt;" ","??????? ",P52-Q52)," ")</f>
        <v xml:space="preserve"> </v>
      </c>
      <c r="S52" s="263" t="str">
        <f>IF(AND(A52&lt;&gt;" ",Sheet1!D$192=1,Sheet1!D$193=1),ROUND(R52*G52,Sheet1!D$75)," ")</f>
        <v xml:space="preserve"> </v>
      </c>
      <c r="T52" s="263" t="str">
        <f>IF(AND(A52&lt;&gt;" ",Sheet1!D$192=1,Sheet1!D$193=1),ROUND((R52/I52)*J52,Sheet1!D$75)," ")</f>
        <v xml:space="preserve"> </v>
      </c>
      <c r="U52" s="265">
        <f>SUM(T$11:T52)</f>
        <v>0</v>
      </c>
      <c r="V52" s="254" t="str">
        <f t="shared" si="0"/>
        <v xml:space="preserve"> </v>
      </c>
      <c r="W52" s="268">
        <f t="shared" si="1"/>
        <v>42</v>
      </c>
      <c r="X52" s="171" t="str">
        <f t="shared" si="2"/>
        <v xml:space="preserve"> </v>
      </c>
      <c r="Y52" s="296"/>
      <c r="Z52" s="270"/>
      <c r="AA52" s="265">
        <f>SUM(K$11:K52)</f>
        <v>0</v>
      </c>
      <c r="AB52" s="271" t="str">
        <f>IF(OR(Sheet1!D$192=1,Sheet1!D$193=1),IF(OR((AB51&gt;=(Sheet1!D$148+$A$11)-1),AND(Sheet1!D$8=3,AB51&gt;=6))," ",AB51+1),NA())</f>
        <v xml:space="preserve"> </v>
      </c>
      <c r="AC52" s="271" t="str">
        <f>IF(OR(Sheet1!D$192=1,Sheet1!D$193=1),IF(OR((AC51&gt;=(Sheet1!D$148+$B$11)-1),AND(Sheet1!D$8=3,AB51&gt;=6))," ",AC51+1),NA())</f>
        <v xml:space="preserve"> </v>
      </c>
      <c r="AD52" s="262"/>
      <c r="AE52" s="263" t="str">
        <f>IF(AND(Sheet1!D$193=1,AB52&lt;&gt;" "),ROUND(VLOOKUP(AB52,AlternativeA!A$17:M$66,12),Sheet1!D$75),IF(Sheet1!D$193=1," ","Alt  'A'  not feasible"))</f>
        <v>Alt  'A'  not feasible</v>
      </c>
      <c r="AF52" s="264" t="str">
        <f>IF(AB52&lt;=Sheet1!D$148, (1/((1+$AF$10)^(AB52-0.5)))," ")</f>
        <v xml:space="preserve"> </v>
      </c>
      <c r="AG52" s="263" t="str">
        <f>IF(AND(Sheet1!D$193=1,AB52&lt;&gt;" "),ROUND(+AE52*AF52,Sheet1!D$75)," ")</f>
        <v xml:space="preserve"> </v>
      </c>
      <c r="AH52" s="264" t="str">
        <f>IF(AB52&lt;&gt;" ",ROUND(VLOOKUP(Sheet1!E$82,CHOOSE(Sheet1!D$212,Inflate1,Inflate2,Inflate3,Inflate4,Inflate5,Inflate6,Inflate7,Inflate8),2),4)," ")</f>
        <v xml:space="preserve"> </v>
      </c>
      <c r="AI52" s="264" t="str">
        <f>IF(AB52&lt;&gt;" ",ROUND(VLOOKUP(AC52,CHOOSE(Sheet1!D$212,Inflate1,Inflate2,Inflate3,Inflate4,Inflate5,Inflate6,Inflate7,Inflate8),3),4)," ")</f>
        <v xml:space="preserve"> </v>
      </c>
      <c r="AJ52" s="263" t="b">
        <f>IF(AND(Sheet1!D$193=1,AB52&lt;&gt;" "),IF(AND(O52&lt;=10,OR(Sheet1!D$8=2,Sheet1!D$8=3,Sheet1!D$22=3)),ROUND((AE52/AH52)*AI52,Sheet1!D$75),IF(AND(Sheet1!D$8&lt;&gt;2,Sheet1!D$8&lt;&gt;3,Sheet1!D$22&lt;&gt;3),ROUND((AE52/AH52)*AI52,Sheet1!D$75)," ")))</f>
        <v>0</v>
      </c>
    </row>
    <row r="53" spans="1:36" ht="12" customHeight="1" x14ac:dyDescent="0.2">
      <c r="A53" s="271" t="str">
        <f>IF(OR(Sheet1!D$192=1,Sheet1!D$193=1),IF(OR((A52&gt;=(Sheet1!D$148+$A$11)-1),AND(Sheet1!D$8=3,A52&gt;=6))," ",A52+1),NA())</f>
        <v xml:space="preserve"> </v>
      </c>
      <c r="B53" s="271" t="str">
        <f>IF(OR(Sheet1!D$192=1,Sheet1!D$193=1),IF(OR((B52&gt;=(Sheet1!D$148+$B$11)-1),AND(Sheet1!D$8=3,A52&gt;=6))," ",B52+1),NA())</f>
        <v xml:space="preserve"> </v>
      </c>
      <c r="C53" s="262"/>
      <c r="D53" s="263" t="str">
        <f>IF(AND(Sheet1!D$192=1,A53&lt;&gt;" "),ROUND(VLOOKUP(A53,StatusQuo!A$19:M$68,12),Sheet1!D$75),IF(Sheet1!D$192=1," ","SQ not feasible "))</f>
        <v xml:space="preserve"> </v>
      </c>
      <c r="E53" s="263" t="str">
        <f>IF(AND(Sheet1!D$193=1,A53&lt;&gt;" "),ROUND(VLOOKUP(A53,AlternativeA!A$110:M$159,12),Sheet1!D$75),IF(Sheet1!D$193=1," ","Alt  'A'  not feasible"))</f>
        <v>Alt  'A'  not feasible</v>
      </c>
      <c r="F53" s="263" t="str">
        <f>IF(AND(A53&lt;&gt;" ",Sheet1!D$192=1,Sheet1!D$193=1),D53-E53,IF(AND(Sheet1!D$193=1,A53&lt;&gt;" ")," "," "))</f>
        <v xml:space="preserve"> </v>
      </c>
      <c r="G53" s="264" t="str">
        <f>IF(A53&lt;=Sheet1!D$148, (1/((1+G10)^(A53-0.5)))," ")</f>
        <v xml:space="preserve"> </v>
      </c>
      <c r="H53" s="263" t="str">
        <f>IF(AND(A53&lt;&gt;" ",Sheet1!D$192=1,Sheet1!D$193=1),ROUND(F53*G53,Sheet1!D$75),IF(AND(A53&lt;&gt;" ",Sheet1!D$193=1),ROUND(E53*G53,Sheet1!D$75)," "))</f>
        <v xml:space="preserve"> </v>
      </c>
      <c r="I53" s="264" t="str">
        <f>IF(A53&lt;&gt;" ",ROUND(VLOOKUP(Sheet1!E$82,CHOOSE(Sheet1!D$232,Inflate7,Inflate2,Inflate3,Inflate4,Inflate5,Inflate6,Inflate1,Inflate8),2),4)," ")</f>
        <v xml:space="preserve"> </v>
      </c>
      <c r="J53" s="264" t="str">
        <f>IF(A53&lt;&gt;" ",ROUND(VLOOKUP(B53,CHOOSE(Sheet1!D$232,Inflate7,Inflate2,Inflate3,Inflate4,Inflate5,Inflate6,Inflate1,Inflate8),3),4)," ")</f>
        <v xml:space="preserve"> </v>
      </c>
      <c r="K53" s="265" t="str">
        <f>IF(AND(A53&lt;&gt;" ",Sheet1!D$192=1,Sheet1!D$193=1),ROUND((F53/I53)*J53,Sheet1!D$75),IF(AND(A53&lt;&gt;" ",Sheet1!D$193=1),ROUND((E53/I53)*J53,Sheet1!D$75)," "))</f>
        <v xml:space="preserve"> </v>
      </c>
      <c r="L53" s="254" t="str">
        <f>IF(Sheet1!D$192=1,IF(AND(AA53&gt;AJ$61,AA52&lt;=AJ$61),"&lt;-Payback"," ")," ")</f>
        <v xml:space="preserve"> </v>
      </c>
      <c r="M53" s="271" t="str">
        <f>IF(OR(Sheet1!D$192=1,Sheet1!D$193=1),IF(OR((A52&gt;=(Sheet1!D$148+$A$11)-1),AND(Sheet1!D$8=3,A52&gt;=6))," ",A52+1),NA())</f>
        <v xml:space="preserve"> </v>
      </c>
      <c r="N53" s="271" t="str">
        <f>IF(OR(Sheet1!D$192=1,Sheet1!D$193=1),IF(OR((B52&gt;=(Sheet1!D$148+$B$11)-1),AND(Sheet1!D$8=3,A52&gt;=6))," ",B52+1),NA())</f>
        <v xml:space="preserve"> </v>
      </c>
      <c r="O53" s="266" t="e">
        <f>IF(OR(Sheet1!D$192=1,Sheet1!D$193=1),IF(NOT(Sheet1!D$192=1),0,IF(ROUND(VLOOKUP(A53,StatusQuo!A$19:M$68,13),Sheet1!D$75)-ROUND(VLOOKUP(A53,AlternativeA!A$110:M$159,13),Sheet1!D$75)&gt;0,1,0))," ")</f>
        <v>#VALUE!</v>
      </c>
      <c r="P53" s="263" t="str">
        <f>IF(AND(A53&lt;&gt;" ",Sheet1!D$192=1,Sheet1!D$193=1),IF(AND(OR(Sheet1!D$8=2,Sheet1!D$22=3),O53&gt;10),0,ROUND(VLOOKUP(A53,StatusQuo!A$19:M$68,13),Sheet1!D$75)),IF(NOT(Sheet1!D$192=1),"not feasible",IF(A53=" "," ", "Savings is  n/a=&gt;")))</f>
        <v xml:space="preserve"> </v>
      </c>
      <c r="Q53" s="263" t="str">
        <f>IF(AND(A53&lt;&gt;" ",Sheet1!D$192=1,Sheet1!D$193=1),IF(AND(OR(Sheet1!D$8=2,Sheet1!D$22=3),O53&gt;10),0,ROUND(VLOOKUP(A53,AlternativeA!A$110:M$159,13),Sheet1!D$75)),IF(NOT(Sheet1!D$193=1),"not feasible",IF(A53=" "," ","&lt;== Savings is n/a")))</f>
        <v>not feasible</v>
      </c>
      <c r="R53" s="263" t="str">
        <f>IF(AND(A53&lt;&gt;" ",Sheet1!D$192=1,Sheet1!D$193=1),IF(G$81&lt;&gt;" ","??????? ",P53-Q53)," ")</f>
        <v xml:space="preserve"> </v>
      </c>
      <c r="S53" s="263" t="str">
        <f>IF(AND(A53&lt;&gt;" ",Sheet1!D$192=1,Sheet1!D$193=1),ROUND(R53*G53,Sheet1!D$75)," ")</f>
        <v xml:space="preserve"> </v>
      </c>
      <c r="T53" s="263" t="str">
        <f>IF(AND(A53&lt;&gt;" ",Sheet1!D$192=1,Sheet1!D$193=1),ROUND((R53/I53)*J53,Sheet1!D$75)," ")</f>
        <v xml:space="preserve"> </v>
      </c>
      <c r="U53" s="265">
        <f>SUM(T$11:T53)</f>
        <v>0</v>
      </c>
      <c r="V53" s="254" t="str">
        <f t="shared" si="0"/>
        <v xml:space="preserve"> </v>
      </c>
      <c r="W53" s="268">
        <f t="shared" si="1"/>
        <v>43</v>
      </c>
      <c r="X53" s="171" t="str">
        <f t="shared" si="2"/>
        <v xml:space="preserve"> </v>
      </c>
      <c r="Y53" s="296"/>
      <c r="Z53" s="270"/>
      <c r="AA53" s="265">
        <f>SUM(K$11:K53)</f>
        <v>0</v>
      </c>
      <c r="AB53" s="271" t="str">
        <f>IF(OR(Sheet1!D$192=1,Sheet1!D$193=1),IF(OR((AB52&gt;=(Sheet1!D$148+$A$11)-1),AND(Sheet1!D$8=3,AB52&gt;=6))," ",AB52+1),NA())</f>
        <v xml:space="preserve"> </v>
      </c>
      <c r="AC53" s="271" t="str">
        <f>IF(OR(Sheet1!D$192=1,Sheet1!D$193=1),IF(OR((AC52&gt;=(Sheet1!D$148+$B$11)-1),AND(Sheet1!D$8=3,AB52&gt;=6))," ",AC52+1),NA())</f>
        <v xml:space="preserve"> </v>
      </c>
      <c r="AD53" s="262"/>
      <c r="AE53" s="263" t="str">
        <f>IF(AND(Sheet1!D$193=1,AB53&lt;&gt;" "),ROUND(VLOOKUP(AB53,AlternativeA!A$17:M$66,12),Sheet1!D$75),IF(Sheet1!D$193=1," ","Alt  'A'  not feasible"))</f>
        <v>Alt  'A'  not feasible</v>
      </c>
      <c r="AF53" s="264" t="str">
        <f>IF(AB53&lt;=Sheet1!D$148, (1/((1+$AF$10)^(AB53-0.5)))," ")</f>
        <v xml:space="preserve"> </v>
      </c>
      <c r="AG53" s="263" t="str">
        <f>IF(AND(Sheet1!D$193=1,AB53&lt;&gt;" "),ROUND(+AE53*AF53,Sheet1!D$75)," ")</f>
        <v xml:space="preserve"> </v>
      </c>
      <c r="AH53" s="264" t="str">
        <f>IF(AB53&lt;&gt;" ",ROUND(VLOOKUP(Sheet1!E$82,CHOOSE(Sheet1!D$212,Inflate1,Inflate2,Inflate3,Inflate4,Inflate5,Inflate6,Inflate7,Inflate8),2),4)," ")</f>
        <v xml:space="preserve"> </v>
      </c>
      <c r="AI53" s="264" t="str">
        <f>IF(AB53&lt;&gt;" ",ROUND(VLOOKUP(AC53,CHOOSE(Sheet1!D$212,Inflate1,Inflate2,Inflate3,Inflate4,Inflate5,Inflate6,Inflate7,Inflate8),3),4)," ")</f>
        <v xml:space="preserve"> </v>
      </c>
      <c r="AJ53" s="263" t="b">
        <f>IF(AND(Sheet1!D$193=1,AB53&lt;&gt;" "),IF(AND(O53&lt;=10,OR(Sheet1!D$8=2,Sheet1!D$8=3,Sheet1!D$22=3)),ROUND((AE53/AH53)*AI53,Sheet1!D$75),IF(AND(Sheet1!D$8&lt;&gt;2,Sheet1!D$8&lt;&gt;3,Sheet1!D$22&lt;&gt;3),ROUND((AE53/AH53)*AI53,Sheet1!D$75)," ")))</f>
        <v>0</v>
      </c>
    </row>
    <row r="54" spans="1:36" ht="12" customHeight="1" x14ac:dyDescent="0.2">
      <c r="A54" s="271" t="str">
        <f>IF(OR(Sheet1!D$192=1,Sheet1!D$193=1),IF(OR((A53&gt;=(Sheet1!D$148+$A$11)-1),AND(Sheet1!D$8=3,A53&gt;=6))," ",A53+1),NA())</f>
        <v xml:space="preserve"> </v>
      </c>
      <c r="B54" s="271" t="str">
        <f>IF(OR(Sheet1!D$192=1,Sheet1!D$193=1),IF(OR((B53&gt;=(Sheet1!D$148+$B$11)-1),AND(Sheet1!D$8=3,A53&gt;=6))," ",B53+1),NA())</f>
        <v xml:space="preserve"> </v>
      </c>
      <c r="C54" s="262"/>
      <c r="D54" s="263" t="str">
        <f>IF(AND(Sheet1!D$192=1,A54&lt;&gt;" "),ROUND(VLOOKUP(A54,StatusQuo!A$19:M$68,12),Sheet1!D$75),IF(Sheet1!D$192=1," ","SQ not feasible "))</f>
        <v xml:space="preserve"> </v>
      </c>
      <c r="E54" s="263" t="str">
        <f>IF(AND(Sheet1!D$193=1,A54&lt;&gt;" "),ROUND(VLOOKUP(A54,AlternativeA!A$110:M$159,12),Sheet1!D$75),IF(Sheet1!D$193=1," ","Alt  'A'  not feasible"))</f>
        <v>Alt  'A'  not feasible</v>
      </c>
      <c r="F54" s="263" t="str">
        <f>IF(AND(A54&lt;&gt;" ",Sheet1!D$192=1,Sheet1!D$193=1),D54-E54,IF(AND(Sheet1!D$193=1,A54&lt;&gt;" ")," "," "))</f>
        <v xml:space="preserve"> </v>
      </c>
      <c r="G54" s="264" t="str">
        <f>IF(A54&lt;=Sheet1!D$148, (1/((1+G10)^(A54-0.5)))," ")</f>
        <v xml:space="preserve"> </v>
      </c>
      <c r="H54" s="263" t="str">
        <f>IF(AND(A54&lt;&gt;" ",Sheet1!D$192=1,Sheet1!D$193=1),ROUND(F54*G54,Sheet1!D$75),IF(AND(A54&lt;&gt;" ",Sheet1!D$193=1),ROUND(E54*G54,Sheet1!D$75)," "))</f>
        <v xml:space="preserve"> </v>
      </c>
      <c r="I54" s="264" t="str">
        <f>IF(A54&lt;&gt;" ",ROUND(VLOOKUP(Sheet1!E$82,CHOOSE(Sheet1!D$232,Inflate7,Inflate2,Inflate3,Inflate4,Inflate5,Inflate6,Inflate1,Inflate8),2),4)," ")</f>
        <v xml:space="preserve"> </v>
      </c>
      <c r="J54" s="264" t="str">
        <f>IF(A54&lt;&gt;" ",ROUND(VLOOKUP(B54,CHOOSE(Sheet1!D$232,Inflate7,Inflate2,Inflate3,Inflate4,Inflate5,Inflate6,Inflate1,Inflate8),3),4)," ")</f>
        <v xml:space="preserve"> </v>
      </c>
      <c r="K54" s="265" t="str">
        <f>IF(AND(A54&lt;&gt;" ",Sheet1!D$192=1,Sheet1!D$193=1),ROUND((F54/I54)*J54,Sheet1!D$75),IF(AND(A54&lt;&gt;" ",Sheet1!D$193=1),ROUND((E54/I54)*J54,Sheet1!D$75)," "))</f>
        <v xml:space="preserve"> </v>
      </c>
      <c r="L54" s="254" t="str">
        <f>IF(Sheet1!D$192=1,IF(AND(AA54&gt;AJ$61,AA53&lt;=AJ$61),"&lt;-Payback"," ")," ")</f>
        <v xml:space="preserve"> </v>
      </c>
      <c r="M54" s="271" t="str">
        <f>IF(OR(Sheet1!D$192=1,Sheet1!D$193=1),IF(OR((A53&gt;=(Sheet1!D$148+$A$11)-1),AND(Sheet1!D$8=3,A53&gt;=6))," ",A53+1),NA())</f>
        <v xml:space="preserve"> </v>
      </c>
      <c r="N54" s="271" t="str">
        <f>IF(OR(Sheet1!D$192=1,Sheet1!D$193=1),IF(OR((B53&gt;=(Sheet1!D$148+$B$11)-1),AND(Sheet1!D$8=3,A53&gt;=6))," ",B53+1),NA())</f>
        <v xml:space="preserve"> </v>
      </c>
      <c r="O54" s="266" t="e">
        <f>IF(OR(Sheet1!D$192=1,Sheet1!D$193=1),IF(NOT(Sheet1!D$192=1),0,IF(ROUND(VLOOKUP(A54,StatusQuo!A$19:M$68,13),Sheet1!D$75)-ROUND(VLOOKUP(A54,AlternativeA!A$110:M$159,13),Sheet1!D$75)&gt;0,1,0))," ")</f>
        <v>#VALUE!</v>
      </c>
      <c r="P54" s="263" t="str">
        <f>IF(AND(A54&lt;&gt;" ",Sheet1!D$192=1,Sheet1!D$193=1),IF(AND(OR(Sheet1!D$8=2,Sheet1!D$22=3),O54&gt;10),0,ROUND(VLOOKUP(A54,StatusQuo!A$19:M$68,13),Sheet1!D$75)),IF(NOT(Sheet1!D$192=1),"not feasible",IF(A54=" "," ", "Savings is  n/a=&gt;")))</f>
        <v xml:space="preserve"> </v>
      </c>
      <c r="Q54" s="263" t="str">
        <f>IF(AND(A54&lt;&gt;" ",Sheet1!D$192=1,Sheet1!D$193=1),IF(AND(OR(Sheet1!D$8=2,Sheet1!D$22=3),O54&gt;10),0,ROUND(VLOOKUP(A54,AlternativeA!A$110:M$159,13),Sheet1!D$75)),IF(NOT(Sheet1!D$193=1),"not feasible",IF(A54=" "," ","&lt;== Savings is n/a")))</f>
        <v>not feasible</v>
      </c>
      <c r="R54" s="263" t="str">
        <f>IF(AND(A54&lt;&gt;" ",Sheet1!D$192=1,Sheet1!D$193=1),IF(G$81&lt;&gt;" ","??????? ",P54-Q54)," ")</f>
        <v xml:space="preserve"> </v>
      </c>
      <c r="S54" s="263" t="str">
        <f>IF(AND(A54&lt;&gt;" ",Sheet1!D$192=1,Sheet1!D$193=1),ROUND(R54*G54,Sheet1!D$75)," ")</f>
        <v xml:space="preserve"> </v>
      </c>
      <c r="T54" s="263" t="str">
        <f>IF(AND(A54&lt;&gt;" ",Sheet1!D$192=1,Sheet1!D$193=1),ROUND((R54/I54)*J54,Sheet1!D$75)," ")</f>
        <v xml:space="preserve"> </v>
      </c>
      <c r="U54" s="265">
        <f>SUM(T$11:T54)</f>
        <v>0</v>
      </c>
      <c r="V54" s="254" t="str">
        <f t="shared" si="0"/>
        <v xml:space="preserve"> </v>
      </c>
      <c r="W54" s="268">
        <f t="shared" si="1"/>
        <v>44</v>
      </c>
      <c r="X54" s="171" t="str">
        <f t="shared" si="2"/>
        <v xml:space="preserve"> </v>
      </c>
      <c r="Y54" s="296"/>
      <c r="Z54" s="270"/>
      <c r="AA54" s="265">
        <f>SUM(K$11:K54)</f>
        <v>0</v>
      </c>
      <c r="AB54" s="271" t="str">
        <f>IF(OR(Sheet1!D$192=1,Sheet1!D$193=1),IF(OR((AB53&gt;=(Sheet1!D$148+$A$11)-1),AND(Sheet1!D$8=3,AB53&gt;=6))," ",AB53+1),NA())</f>
        <v xml:space="preserve"> </v>
      </c>
      <c r="AC54" s="271" t="str">
        <f>IF(OR(Sheet1!D$192=1,Sheet1!D$193=1),IF(OR((AC53&gt;=(Sheet1!D$148+$B$11)-1),AND(Sheet1!D$8=3,AB53&gt;=6))," ",AC53+1),NA())</f>
        <v xml:space="preserve"> </v>
      </c>
      <c r="AD54" s="262"/>
      <c r="AE54" s="263" t="str">
        <f>IF(AND(Sheet1!D$193=1,AB54&lt;&gt;" "),ROUND(VLOOKUP(AB54,AlternativeA!A$17:M$66,12),Sheet1!D$75),IF(Sheet1!D$193=1," ","Alt  'A'  not feasible"))</f>
        <v>Alt  'A'  not feasible</v>
      </c>
      <c r="AF54" s="264" t="str">
        <f>IF(AB54&lt;=Sheet1!D$148, (1/((1+$AF$10)^(AB54-0.5)))," ")</f>
        <v xml:space="preserve"> </v>
      </c>
      <c r="AG54" s="263" t="str">
        <f>IF(AND(Sheet1!D$193=1,AB54&lt;&gt;" "),ROUND(+AE54*AF54,Sheet1!D$75)," ")</f>
        <v xml:space="preserve"> </v>
      </c>
      <c r="AH54" s="264" t="str">
        <f>IF(AB54&lt;&gt;" ",ROUND(VLOOKUP(Sheet1!E$82,CHOOSE(Sheet1!D$212,Inflate1,Inflate2,Inflate3,Inflate4,Inflate5,Inflate6,Inflate7,Inflate8),2),4)," ")</f>
        <v xml:space="preserve"> </v>
      </c>
      <c r="AI54" s="264" t="str">
        <f>IF(AB54&lt;&gt;" ",ROUND(VLOOKUP(AC54,CHOOSE(Sheet1!D$212,Inflate1,Inflate2,Inflate3,Inflate4,Inflate5,Inflate6,Inflate7,Inflate8),3),4)," ")</f>
        <v xml:space="preserve"> </v>
      </c>
      <c r="AJ54" s="263" t="b">
        <f>IF(AND(Sheet1!D$193=1,AB54&lt;&gt;" "),IF(AND(O54&lt;=10,OR(Sheet1!D$8=2,Sheet1!D$8=3,Sheet1!D$22=3)),ROUND((AE54/AH54)*AI54,Sheet1!D$75),IF(AND(Sheet1!D$8&lt;&gt;2,Sheet1!D$8&lt;&gt;3,Sheet1!D$22&lt;&gt;3),ROUND((AE54/AH54)*AI54,Sheet1!D$75)," ")))</f>
        <v>0</v>
      </c>
    </row>
    <row r="55" spans="1:36" ht="12" customHeight="1" x14ac:dyDescent="0.2">
      <c r="A55" s="271" t="str">
        <f>IF(OR(Sheet1!D$192=1,Sheet1!D$193=1),IF(OR((A54&gt;=(Sheet1!D$148+$A$11)-1),AND(Sheet1!D$8=3,A54&gt;=6))," ",A54+1),NA())</f>
        <v xml:space="preserve"> </v>
      </c>
      <c r="B55" s="271" t="str">
        <f>IF(OR(Sheet1!D$192=1,Sheet1!D$193=1),IF(OR((B54&gt;=(Sheet1!D$148+$B$11)-1),AND(Sheet1!D$8=3,A54&gt;=6))," ",B54+1),NA())</f>
        <v xml:space="preserve"> </v>
      </c>
      <c r="C55" s="262"/>
      <c r="D55" s="263" t="str">
        <f>IF(AND(Sheet1!D$192=1,A55&lt;&gt;" "),ROUND(VLOOKUP(A55,StatusQuo!A$19:M$68,12),Sheet1!D$75),IF(Sheet1!D$192=1," ","SQ not feasible "))</f>
        <v xml:space="preserve"> </v>
      </c>
      <c r="E55" s="263" t="str">
        <f>IF(AND(Sheet1!D$193=1,A55&lt;&gt;" "),ROUND(VLOOKUP(A55,AlternativeA!A$110:M$159,12),Sheet1!D$75),IF(Sheet1!D$193=1," ","Alt  'A'  not feasible"))</f>
        <v>Alt  'A'  not feasible</v>
      </c>
      <c r="F55" s="263" t="str">
        <f>IF(AND(A55&lt;&gt;" ",Sheet1!D$192=1,Sheet1!D$193=1),D55-E55,IF(AND(Sheet1!D$193=1,A55&lt;&gt;" ")," "," "))</f>
        <v xml:space="preserve"> </v>
      </c>
      <c r="G55" s="264" t="str">
        <f>IF(A55&lt;=Sheet1!D$148, (1/((1+G10)^(A55-0.5)))," ")</f>
        <v xml:space="preserve"> </v>
      </c>
      <c r="H55" s="263" t="str">
        <f>IF(AND(A55&lt;&gt;" ",Sheet1!D$192=1,Sheet1!D$193=1),ROUND(F55*G55,Sheet1!D$75),IF(AND(A55&lt;&gt;" ",Sheet1!D$193=1),ROUND(E55*G55,Sheet1!D$75)," "))</f>
        <v xml:space="preserve"> </v>
      </c>
      <c r="I55" s="264" t="str">
        <f>IF(A55&lt;&gt;" ",ROUND(VLOOKUP(Sheet1!E$82,CHOOSE(Sheet1!D$232,Inflate7,Inflate2,Inflate3,Inflate4,Inflate5,Inflate6,Inflate1,Inflate8),2),4)," ")</f>
        <v xml:space="preserve"> </v>
      </c>
      <c r="J55" s="264" t="str">
        <f>IF(A55&lt;&gt;" ",ROUND(VLOOKUP(B55,CHOOSE(Sheet1!D$232,Inflate7,Inflate2,Inflate3,Inflate4,Inflate5,Inflate6,Inflate1,Inflate8),3),4)," ")</f>
        <v xml:space="preserve"> </v>
      </c>
      <c r="K55" s="265" t="str">
        <f>IF(AND(A55&lt;&gt;" ",Sheet1!D$192=1,Sheet1!D$193=1),ROUND((F55/I55)*J55,Sheet1!D$75),IF(AND(A55&lt;&gt;" ",Sheet1!D$193=1),ROUND((E55/I55)*J55,Sheet1!D$75)," "))</f>
        <v xml:space="preserve"> </v>
      </c>
      <c r="L55" s="254" t="str">
        <f>IF(Sheet1!D$192=1,IF(AND(AA55&gt;AJ$61,AA54&lt;=AJ$61),"&lt;-Payback"," ")," ")</f>
        <v xml:space="preserve"> </v>
      </c>
      <c r="M55" s="271" t="str">
        <f>IF(OR(Sheet1!D$192=1,Sheet1!D$193=1),IF(OR((A54&gt;=(Sheet1!D$148+$A$11)-1),AND(Sheet1!D$8=3,A54&gt;=6))," ",A54+1),NA())</f>
        <v xml:space="preserve"> </v>
      </c>
      <c r="N55" s="271" t="str">
        <f>IF(OR(Sheet1!D$192=1,Sheet1!D$193=1),IF(OR((B54&gt;=(Sheet1!D$148+$B$11)-1),AND(Sheet1!D$8=3,A54&gt;=6))," ",B54+1),NA())</f>
        <v xml:space="preserve"> </v>
      </c>
      <c r="O55" s="266" t="e">
        <f>IF(OR(Sheet1!D$192=1,Sheet1!D$193=1),IF(NOT(Sheet1!D$192=1),0,IF(ROUND(VLOOKUP(A55,StatusQuo!A$19:M$68,13),Sheet1!D$75)-ROUND(VLOOKUP(A55,AlternativeA!A$110:M$159,13),Sheet1!D$75)&gt;0,1,0))," ")</f>
        <v>#VALUE!</v>
      </c>
      <c r="P55" s="263" t="str">
        <f>IF(AND(A55&lt;&gt;" ",Sheet1!D$192=1,Sheet1!D$193=1),IF(AND(OR(Sheet1!D$8=2,Sheet1!D$22=3),O55&gt;10),0,ROUND(VLOOKUP(A55,StatusQuo!A$19:M$68,13),Sheet1!D$75)),IF(NOT(Sheet1!D$192=1),"not feasible",IF(A55=" "," ", "Savings is  n/a=&gt;")))</f>
        <v xml:space="preserve"> </v>
      </c>
      <c r="Q55" s="263" t="str">
        <f>IF(AND(A55&lt;&gt;" ",Sheet1!D$192=1,Sheet1!D$193=1),IF(AND(OR(Sheet1!D$8=2,Sheet1!D$22=3),O55&gt;10),0,ROUND(VLOOKUP(A55,AlternativeA!A$110:M$159,13),Sheet1!D$75)),IF(NOT(Sheet1!D$193=1),"not feasible",IF(A55=" "," ","&lt;== Savings is n/a")))</f>
        <v>not feasible</v>
      </c>
      <c r="R55" s="263" t="str">
        <f>IF(AND(A55&lt;&gt;" ",Sheet1!D$192=1,Sheet1!D$193=1),IF(G$81&lt;&gt;" ","??????? ",P55-Q55)," ")</f>
        <v xml:space="preserve"> </v>
      </c>
      <c r="S55" s="263" t="str">
        <f>IF(AND(A55&lt;&gt;" ",Sheet1!D$192=1,Sheet1!D$193=1),ROUND(R55*G55,Sheet1!D$75)," ")</f>
        <v xml:space="preserve"> </v>
      </c>
      <c r="T55" s="263" t="str">
        <f>IF(AND(A55&lt;&gt;" ",Sheet1!D$192=1,Sheet1!D$193=1),ROUND((R55/I55)*J55,Sheet1!D$75)," ")</f>
        <v xml:space="preserve"> </v>
      </c>
      <c r="U55" s="265">
        <f>SUM(T$11:T55)</f>
        <v>0</v>
      </c>
      <c r="V55" s="254" t="str">
        <f t="shared" si="0"/>
        <v xml:space="preserve"> </v>
      </c>
      <c r="W55" s="268">
        <f t="shared" si="1"/>
        <v>45</v>
      </c>
      <c r="X55" s="171" t="str">
        <f t="shared" si="2"/>
        <v xml:space="preserve"> </v>
      </c>
      <c r="Y55" s="296"/>
      <c r="Z55" s="270"/>
      <c r="AA55" s="265">
        <f>SUM(K$11:K55)</f>
        <v>0</v>
      </c>
      <c r="AB55" s="271" t="str">
        <f>IF(OR(Sheet1!D$192=1,Sheet1!D$193=1),IF(OR((AB54&gt;=(Sheet1!D$148+$A$11)-1),AND(Sheet1!D$8=3,AB54&gt;=6))," ",AB54+1),NA())</f>
        <v xml:space="preserve"> </v>
      </c>
      <c r="AC55" s="271" t="str">
        <f>IF(OR(Sheet1!D$192=1,Sheet1!D$193=1),IF(OR((AC54&gt;=(Sheet1!D$148+$B$11)-1),AND(Sheet1!D$8=3,AB54&gt;=6))," ",AC54+1),NA())</f>
        <v xml:space="preserve"> </v>
      </c>
      <c r="AD55" s="262"/>
      <c r="AE55" s="263" t="str">
        <f>IF(AND(Sheet1!D$193=1,AB55&lt;&gt;" "),ROUND(VLOOKUP(AB55,AlternativeA!A$17:M$66,12),Sheet1!D$75),IF(Sheet1!D$193=1," ","Alt  'A'  not feasible"))</f>
        <v>Alt  'A'  not feasible</v>
      </c>
      <c r="AF55" s="264" t="str">
        <f>IF(AB55&lt;=Sheet1!D$148, (1/((1+$AF$10)^(AB55-0.5)))," ")</f>
        <v xml:space="preserve"> </v>
      </c>
      <c r="AG55" s="263" t="str">
        <f>IF(AND(Sheet1!D$193=1,AB55&lt;&gt;" "),ROUND(+AE55*AF55,Sheet1!D$75)," ")</f>
        <v xml:space="preserve"> </v>
      </c>
      <c r="AH55" s="264" t="str">
        <f>IF(AB55&lt;&gt;" ",ROUND(VLOOKUP(Sheet1!E$82,CHOOSE(Sheet1!D$212,Inflate1,Inflate2,Inflate3,Inflate4,Inflate5,Inflate6,Inflate7,Inflate8),2),4)," ")</f>
        <v xml:space="preserve"> </v>
      </c>
      <c r="AI55" s="264" t="str">
        <f>IF(AB55&lt;&gt;" ",ROUND(VLOOKUP(AC55,CHOOSE(Sheet1!D$212,Inflate1,Inflate2,Inflate3,Inflate4,Inflate5,Inflate6,Inflate7,Inflate8),3),4)," ")</f>
        <v xml:space="preserve"> </v>
      </c>
      <c r="AJ55" s="263" t="b">
        <f>IF(AND(Sheet1!D$193=1,AB55&lt;&gt;" "),IF(AND(O55&lt;=10,OR(Sheet1!D$8=2,Sheet1!D$8=3,Sheet1!D$22=3)),ROUND((AE55/AH55)*AI55,Sheet1!D$75),IF(AND(Sheet1!D$8&lt;&gt;2,Sheet1!D$8&lt;&gt;3,Sheet1!D$22&lt;&gt;3),ROUND((AE55/AH55)*AI55,Sheet1!D$75)," ")))</f>
        <v>0</v>
      </c>
    </row>
    <row r="56" spans="1:36" ht="12" customHeight="1" x14ac:dyDescent="0.2">
      <c r="A56" s="271" t="str">
        <f>IF(OR(Sheet1!D$192=1,Sheet1!D$193=1),IF(OR((A55&gt;=(Sheet1!D$148+$A$11)-1),AND(Sheet1!D$8=3,A55&gt;=6))," ",A55+1),NA())</f>
        <v xml:space="preserve"> </v>
      </c>
      <c r="B56" s="271" t="str">
        <f>IF(OR(Sheet1!D$192=1,Sheet1!D$193=1),IF(OR((B55&gt;=(Sheet1!D$148+$B$11)-1),AND(Sheet1!D$8=3,A55&gt;=6))," ",B55+1),NA())</f>
        <v xml:space="preserve"> </v>
      </c>
      <c r="C56" s="262"/>
      <c r="D56" s="263" t="str">
        <f>IF(AND(Sheet1!D$192=1,A56&lt;&gt;" "),ROUND(VLOOKUP(A56,StatusQuo!A$19:M$68,12),Sheet1!D$75),IF(Sheet1!D$192=1," ","SQ not feasible "))</f>
        <v xml:space="preserve"> </v>
      </c>
      <c r="E56" s="263" t="str">
        <f>IF(AND(Sheet1!D$193=1,A56&lt;&gt;" "),ROUND(VLOOKUP(A56,AlternativeA!A$110:M$159,12),Sheet1!D$75),IF(Sheet1!D$193=1," ","Alt  'A'  not feasible"))</f>
        <v>Alt  'A'  not feasible</v>
      </c>
      <c r="F56" s="263" t="str">
        <f>IF(AND(A56&lt;&gt;" ",Sheet1!D$192=1,Sheet1!D$193=1),D56-E56,IF(AND(Sheet1!D$193=1,A56&lt;&gt;" ")," "," "))</f>
        <v xml:space="preserve"> </v>
      </c>
      <c r="G56" s="264" t="str">
        <f>IF(A56&lt;=Sheet1!D$148, (1/((1+G10)^(A56-0.5)))," ")</f>
        <v xml:space="preserve"> </v>
      </c>
      <c r="H56" s="263" t="str">
        <f>IF(AND(A56&lt;&gt;" ",Sheet1!D$192=1,Sheet1!D$193=1),ROUND(F56*G56,Sheet1!D$75),IF(AND(A56&lt;&gt;" ",Sheet1!D$193=1),ROUND(E56*G56,Sheet1!D$75)," "))</f>
        <v xml:space="preserve"> </v>
      </c>
      <c r="I56" s="264" t="str">
        <f>IF(A56&lt;&gt;" ",ROUND(VLOOKUP(Sheet1!E$82,CHOOSE(Sheet1!D$232,Inflate7,Inflate2,Inflate3,Inflate4,Inflate5,Inflate6,Inflate1,Inflate8),2),4)," ")</f>
        <v xml:space="preserve"> </v>
      </c>
      <c r="J56" s="264" t="str">
        <f>IF(A56&lt;&gt;" ",ROUND(VLOOKUP(B56,CHOOSE(Sheet1!D$232,Inflate7,Inflate2,Inflate3,Inflate4,Inflate5,Inflate6,Inflate1,Inflate8),3),4)," ")</f>
        <v xml:space="preserve"> </v>
      </c>
      <c r="K56" s="265" t="str">
        <f>IF(AND(A56&lt;&gt;" ",Sheet1!D$192=1,Sheet1!D$193=1),ROUND((F56/I56)*J56,Sheet1!D$75),IF(AND(A56&lt;&gt;" ",Sheet1!D$193=1),ROUND((E56/I56)*J56,Sheet1!D$75)," "))</f>
        <v xml:space="preserve"> </v>
      </c>
      <c r="L56" s="254" t="str">
        <f>IF(Sheet1!D$192=1,IF(AND(AA56&gt;AJ$61,AA55&lt;=AJ$61),"&lt;-Payback"," ")," ")</f>
        <v xml:space="preserve"> </v>
      </c>
      <c r="M56" s="271" t="str">
        <f>IF(OR(Sheet1!D$192=1,Sheet1!D$193=1),IF(OR((A55&gt;=(Sheet1!D$148+$A$11)-1),AND(Sheet1!D$8=3,A55&gt;=6))," ",A55+1),NA())</f>
        <v xml:space="preserve"> </v>
      </c>
      <c r="N56" s="271" t="str">
        <f>IF(OR(Sheet1!D$192=1,Sheet1!D$193=1),IF(OR((B55&gt;=(Sheet1!D$148+$B$11)-1),AND(Sheet1!D$8=3,A55&gt;=6))," ",B55+1),NA())</f>
        <v xml:space="preserve"> </v>
      </c>
      <c r="O56" s="266" t="e">
        <f>IF(OR(Sheet1!D$192=1,Sheet1!D$193=1),IF(NOT(Sheet1!D$192=1),0,IF(ROUND(VLOOKUP(A56,StatusQuo!A$19:M$68,13),Sheet1!D$75)-ROUND(VLOOKUP(A56,AlternativeA!A$110:M$159,13),Sheet1!D$75)&gt;0,1,0))," ")</f>
        <v>#VALUE!</v>
      </c>
      <c r="P56" s="263" t="str">
        <f>IF(AND(A56&lt;&gt;" ",Sheet1!D$192=1,Sheet1!D$193=1),IF(AND(OR(Sheet1!D$8=2,Sheet1!D$22=3),O56&gt;10),0,ROUND(VLOOKUP(A56,StatusQuo!A$19:M$68,13),Sheet1!D$75)),IF(NOT(Sheet1!D$192=1),"not feasible",IF(A56=" "," ", "Savings is  n/a=&gt;")))</f>
        <v xml:space="preserve"> </v>
      </c>
      <c r="Q56" s="263" t="str">
        <f>IF(AND(A56&lt;&gt;" ",Sheet1!D$192=1,Sheet1!D$193=1),IF(AND(OR(Sheet1!D$8=2,Sheet1!D$22=3),O56&gt;10),0,ROUND(VLOOKUP(A56,AlternativeA!A$110:M$159,13),Sheet1!D$75)),IF(NOT(Sheet1!D$193=1),"not feasible",IF(A56=" "," ","&lt;== Savings is n/a")))</f>
        <v>not feasible</v>
      </c>
      <c r="R56" s="263" t="str">
        <f>IF(AND(A56&lt;&gt;" ",Sheet1!D$192=1,Sheet1!D$193=1),IF(G$81&lt;&gt;" ","??????? ",P56-Q56)," ")</f>
        <v xml:space="preserve"> </v>
      </c>
      <c r="S56" s="263" t="str">
        <f>IF(AND(A56&lt;&gt;" ",Sheet1!D$192=1,Sheet1!D$193=1),ROUND(R56*G56,Sheet1!D$75)," ")</f>
        <v xml:space="preserve"> </v>
      </c>
      <c r="T56" s="263" t="str">
        <f>IF(AND(A56&lt;&gt;" ",Sheet1!D$192=1,Sheet1!D$193=1),ROUND((R56/I56)*J56,Sheet1!D$75)," ")</f>
        <v xml:space="preserve"> </v>
      </c>
      <c r="U56" s="265">
        <f>SUM(T$11:T56)</f>
        <v>0</v>
      </c>
      <c r="V56" s="254" t="str">
        <f t="shared" si="0"/>
        <v xml:space="preserve"> </v>
      </c>
      <c r="W56" s="268">
        <f t="shared" si="1"/>
        <v>46</v>
      </c>
      <c r="X56" s="171" t="str">
        <f t="shared" si="2"/>
        <v xml:space="preserve"> </v>
      </c>
      <c r="Y56" s="296"/>
      <c r="Z56" s="270"/>
      <c r="AA56" s="265">
        <f>SUM(K$11:K56)</f>
        <v>0</v>
      </c>
      <c r="AB56" s="271" t="str">
        <f>IF(OR(Sheet1!D$192=1,Sheet1!D$193=1),IF(OR((AB55&gt;=(Sheet1!D$148+$A$11)-1),AND(Sheet1!D$8=3,AB55&gt;=6))," ",AB55+1),NA())</f>
        <v xml:space="preserve"> </v>
      </c>
      <c r="AC56" s="271" t="str">
        <f>IF(OR(Sheet1!D$192=1,Sheet1!D$193=1),IF(OR((AC55&gt;=(Sheet1!D$148+$B$11)-1),AND(Sheet1!D$8=3,AB55&gt;=6))," ",AC55+1),NA())</f>
        <v xml:space="preserve"> </v>
      </c>
      <c r="AD56" s="262"/>
      <c r="AE56" s="263" t="str">
        <f>IF(AND(Sheet1!D$193=1,AB56&lt;&gt;" "),ROUND(VLOOKUP(AB56,AlternativeA!A$17:M$66,12),Sheet1!D$75),IF(Sheet1!D$193=1," ","Alt  'A'  not feasible"))</f>
        <v>Alt  'A'  not feasible</v>
      </c>
      <c r="AF56" s="264" t="str">
        <f>IF(AB56&lt;=Sheet1!D$148, (1/((1+$AF$10)^(AB56-0.5)))," ")</f>
        <v xml:space="preserve"> </v>
      </c>
      <c r="AG56" s="263" t="str">
        <f>IF(AND(Sheet1!D$193=1,AB56&lt;&gt;" "),ROUND(+AE56*AF56,Sheet1!D$75)," ")</f>
        <v xml:space="preserve"> </v>
      </c>
      <c r="AH56" s="264" t="str">
        <f>IF(AB56&lt;&gt;" ",ROUND(VLOOKUP(Sheet1!E$82,CHOOSE(Sheet1!D$212,Inflate1,Inflate2,Inflate3,Inflate4,Inflate5,Inflate6,Inflate7,Inflate8),2),4)," ")</f>
        <v xml:space="preserve"> </v>
      </c>
      <c r="AI56" s="264" t="str">
        <f>IF(AB56&lt;&gt;" ",ROUND(VLOOKUP(AC56,CHOOSE(Sheet1!D$212,Inflate1,Inflate2,Inflate3,Inflate4,Inflate5,Inflate6,Inflate7,Inflate8),3),4)," ")</f>
        <v xml:space="preserve"> </v>
      </c>
      <c r="AJ56" s="263" t="b">
        <f>IF(AND(Sheet1!D$193=1,AB56&lt;&gt;" "),IF(AND(O56&lt;=10,OR(Sheet1!D$8=2,Sheet1!D$8=3,Sheet1!D$22=3)),ROUND((AE56/AH56)*AI56,Sheet1!D$75),IF(AND(Sheet1!D$8&lt;&gt;2,Sheet1!D$8&lt;&gt;3,Sheet1!D$22&lt;&gt;3),ROUND((AE56/AH56)*AI56,Sheet1!D$75)," ")))</f>
        <v>0</v>
      </c>
    </row>
    <row r="57" spans="1:36" ht="12" customHeight="1" thickBot="1" x14ac:dyDescent="0.25">
      <c r="A57" s="271" t="str">
        <f>IF(OR(Sheet1!D$192=1,Sheet1!D$193=1),IF(OR((A56&gt;=(Sheet1!D$148+$A$11)-1),AND(Sheet1!D$8=3,A56&gt;=6))," ",A56+1),NA())</f>
        <v xml:space="preserve"> </v>
      </c>
      <c r="B57" s="271" t="str">
        <f>IF(OR(Sheet1!D$192=1,Sheet1!D$193=1),IF(OR((B56&gt;=(Sheet1!D$148+$B$11)-1),AND(Sheet1!D$8=3,A56&gt;=6))," ",B56+1),NA())</f>
        <v xml:space="preserve"> </v>
      </c>
      <c r="C57" s="262"/>
      <c r="D57" s="263" t="str">
        <f>IF(AND(Sheet1!D$192=1,A57&lt;&gt;" "),ROUND(VLOOKUP(A57,StatusQuo!A$19:M$68,12),Sheet1!D$75),IF(Sheet1!D$192=1," ","SQ not feasible "))</f>
        <v xml:space="preserve"> </v>
      </c>
      <c r="E57" s="263" t="str">
        <f>IF(AND(Sheet1!D$193=1,A57&lt;&gt;" "),ROUND(VLOOKUP(A57,AlternativeA!A$110:M$159,12),Sheet1!D$75),IF(Sheet1!D$193=1," ","Alt  'A'  not feasible"))</f>
        <v>Alt  'A'  not feasible</v>
      </c>
      <c r="F57" s="263" t="str">
        <f>IF(AND(A57&lt;&gt;" ",Sheet1!D$192=1,Sheet1!D$193=1),D57-E57,IF(AND(Sheet1!D$193=1,A57&lt;&gt;" ")," "," "))</f>
        <v xml:space="preserve"> </v>
      </c>
      <c r="G57" s="264" t="str">
        <f>IF(A57&lt;=Sheet1!D$148, (1/((1+G10)^(A57-0.5)))," ")</f>
        <v xml:space="preserve"> </v>
      </c>
      <c r="H57" s="263" t="str">
        <f>IF(AND(A57&lt;&gt;" ",Sheet1!D$192=1,Sheet1!D$193=1),ROUND(F57*G57,Sheet1!D$75),IF(AND(A57&lt;&gt;" ",Sheet1!D$193=1),ROUND(E57*G57,Sheet1!D$75)," "))</f>
        <v xml:space="preserve"> </v>
      </c>
      <c r="I57" s="264" t="str">
        <f>IF(A57&lt;&gt;" ",ROUND(VLOOKUP(Sheet1!E$82,CHOOSE(Sheet1!D$232,Inflate7,Inflate2,Inflate3,Inflate4,Inflate5,Inflate6,Inflate1,Inflate8),2),4)," ")</f>
        <v xml:space="preserve"> </v>
      </c>
      <c r="J57" s="264" t="str">
        <f>IF(A57&lt;&gt;" ",ROUND(VLOOKUP(B57,CHOOSE(Sheet1!D$232,Inflate7,Inflate2,Inflate3,Inflate4,Inflate5,Inflate6,Inflate1,Inflate8),3),4)," ")</f>
        <v xml:space="preserve"> </v>
      </c>
      <c r="K57" s="265" t="str">
        <f>IF(AND(A57&lt;&gt;" ",Sheet1!D$192=1,Sheet1!D$193=1),ROUND((F57/I57)*J57,Sheet1!D$75),IF(AND(A57&lt;&gt;" ",Sheet1!D$193=1),ROUND((E57/I57)*J57,Sheet1!D$75)," "))</f>
        <v xml:space="preserve"> </v>
      </c>
      <c r="L57" s="254" t="str">
        <f>IF(Sheet1!D$192=1,IF(AND(AA57&gt;AJ$61,AA56&lt;=AJ$61),"&lt;-Payback"," ")," ")</f>
        <v xml:space="preserve"> </v>
      </c>
      <c r="M57" s="271" t="str">
        <f>IF(OR(Sheet1!D$192=1,Sheet1!D$193=1),IF(OR((A56&gt;=(Sheet1!D$148+$A$11)-1),AND(Sheet1!D$8=3,A56&gt;=6))," ",A56+1),NA())</f>
        <v xml:space="preserve"> </v>
      </c>
      <c r="N57" s="271" t="str">
        <f>IF(OR(Sheet1!D$192=1,Sheet1!D$193=1),IF(OR((B56&gt;=(Sheet1!D$148+$B$11)-1),AND(Sheet1!D$8=3,A56&gt;=6))," ",B56+1),NA())</f>
        <v xml:space="preserve"> </v>
      </c>
      <c r="O57" s="266" t="e">
        <f>IF(OR(Sheet1!D$192=1,Sheet1!D$193=1),IF(NOT(Sheet1!D$192=1),0,IF(ROUND(VLOOKUP(A57,StatusQuo!A$19:M$68,13),Sheet1!D$75)-ROUND(VLOOKUP(A57,AlternativeA!A$110:M$159,13),Sheet1!D$75)&gt;0,1,0))," ")</f>
        <v>#VALUE!</v>
      </c>
      <c r="P57" s="263" t="str">
        <f>IF(AND(A57&lt;&gt;" ",Sheet1!D$192=1,Sheet1!D$193=1),IF(AND(OR(Sheet1!D$8=2,Sheet1!D$22=3),O57&gt;10),0,ROUND(VLOOKUP(A57,StatusQuo!A$19:M$68,13),Sheet1!D$75)),IF(NOT(Sheet1!D$192=1),"not feasible",IF(A57=" "," ", "Savings is  n/a=&gt;")))</f>
        <v xml:space="preserve"> </v>
      </c>
      <c r="Q57" s="263" t="str">
        <f>IF(AND(A57&lt;&gt;" ",Sheet1!D$192=1,Sheet1!D$193=1),IF(AND(OR(Sheet1!D$8=2,Sheet1!D$22=3),O57&gt;10),0,ROUND(VLOOKUP(A57,AlternativeA!A$110:M$159,13),Sheet1!D$75)),IF(NOT(Sheet1!D$193=1),"not feasible",IF(A57=" "," ","&lt;== Savings is n/a")))</f>
        <v>not feasible</v>
      </c>
      <c r="R57" s="263" t="str">
        <f>IF(AND(A57&lt;&gt;" ",Sheet1!D$192=1,Sheet1!D$193=1),IF(G$81&lt;&gt;" ","??????? ",P57-Q57)," ")</f>
        <v xml:space="preserve"> </v>
      </c>
      <c r="S57" s="263" t="str">
        <f>IF(AND(A57&lt;&gt;" ",Sheet1!D$192=1,Sheet1!D$193=1),ROUND(R57*G57,Sheet1!D$75)," ")</f>
        <v xml:space="preserve"> </v>
      </c>
      <c r="T57" s="263" t="str">
        <f>IF(AND(A57&lt;&gt;" ",Sheet1!D$192=1,Sheet1!D$193=1),ROUND((R57/I57)*J57,Sheet1!D$75)," ")</f>
        <v xml:space="preserve"> </v>
      </c>
      <c r="U57" s="265">
        <f>SUM(T$11:T57)</f>
        <v>0</v>
      </c>
      <c r="V57" s="254" t="str">
        <f t="shared" si="0"/>
        <v xml:space="preserve"> </v>
      </c>
      <c r="W57" s="268">
        <f t="shared" si="1"/>
        <v>47</v>
      </c>
      <c r="X57" s="171" t="str">
        <f t="shared" si="2"/>
        <v xml:space="preserve"> </v>
      </c>
      <c r="Y57" s="296"/>
      <c r="Z57" s="270"/>
      <c r="AA57" s="265">
        <f>SUM(K$11:K57)</f>
        <v>0</v>
      </c>
      <c r="AB57" s="271" t="str">
        <f>IF(OR(Sheet1!D$192=1,Sheet1!D$193=1),IF(OR((AB56&gt;=(Sheet1!D$148+$A$11)-1),AND(Sheet1!D$8=3,AB56&gt;=6))," ",AB56+1),NA())</f>
        <v xml:space="preserve"> </v>
      </c>
      <c r="AC57" s="271" t="str">
        <f>IF(OR(Sheet1!D$192=1,Sheet1!D$193=1),IF(OR((AC56&gt;=(Sheet1!D$148+$B$11)-1),AND(Sheet1!D$8=3,AB56&gt;=6))," ",AC56+1),NA())</f>
        <v xml:space="preserve"> </v>
      </c>
      <c r="AD57" s="262"/>
      <c r="AE57" s="263" t="str">
        <f>IF(AND(Sheet1!D$193=1,AB57&lt;&gt;" "),ROUND(VLOOKUP(AB57,AlternativeA!A$17:M$66,12),Sheet1!D$75),IF(Sheet1!D$193=1," ","Alt  'A'  not feasible"))</f>
        <v>Alt  'A'  not feasible</v>
      </c>
      <c r="AF57" s="264" t="str">
        <f>IF(AB57&lt;=Sheet1!D$148, (1/((1+$AF$10)^(AB57-0.5)))," ")</f>
        <v xml:space="preserve"> </v>
      </c>
      <c r="AG57" s="263" t="str">
        <f>IF(AND(Sheet1!D$193=1,AB57&lt;&gt;" "),ROUND(+AE57*AF57,Sheet1!D$75)," ")</f>
        <v xml:space="preserve"> </v>
      </c>
      <c r="AH57" s="264" t="str">
        <f>IF(AB57&lt;&gt;" ",ROUND(VLOOKUP(Sheet1!E$82,CHOOSE(Sheet1!D$212,Inflate1,Inflate2,Inflate3,Inflate4,Inflate5,Inflate6,Inflate7,Inflate8),2),4)," ")</f>
        <v xml:space="preserve"> </v>
      </c>
      <c r="AI57" s="264" t="str">
        <f>IF(AB57&lt;&gt;" ",ROUND(VLOOKUP(AC57,CHOOSE(Sheet1!D$212,Inflate1,Inflate2,Inflate3,Inflate4,Inflate5,Inflate6,Inflate7,Inflate8),3),4)," ")</f>
        <v xml:space="preserve"> </v>
      </c>
      <c r="AJ57" s="263" t="b">
        <f>IF(AND(Sheet1!D$193=1,AB57&lt;&gt;" "),IF(AND(O57&lt;=10,OR(Sheet1!D$8=2,Sheet1!D$8=3,Sheet1!D$22=3)),ROUND((AE57/AH57)*AI57,Sheet1!D$75),IF(AND(Sheet1!D$8&lt;&gt;2,Sheet1!D$8&lt;&gt;3,Sheet1!D$22&lt;&gt;3),ROUND((AE57/AH57)*AI57,Sheet1!D$75)," ")))</f>
        <v>0</v>
      </c>
    </row>
    <row r="58" spans="1:36" ht="12" hidden="1" customHeight="1" thickBot="1" x14ac:dyDescent="0.25">
      <c r="A58" s="271" t="str">
        <f>IF(OR(Sheet1!D$192=1,Sheet1!D$193=1),IF(OR((A57&gt;=(Sheet1!D$148+$A$11)-1),AND(Sheet1!D$8=3,A57&gt;=6))," ",A57+1),NA())</f>
        <v xml:space="preserve"> </v>
      </c>
      <c r="B58" s="271" t="str">
        <f>IF(OR(Sheet1!D$192=1,Sheet1!D$193=1),IF(OR((B57&gt;=(Sheet1!D$148+$B$11)-1),AND(Sheet1!D$8=3,A57&gt;=6))," ",B57+1),NA())</f>
        <v xml:space="preserve"> </v>
      </c>
      <c r="C58" s="262"/>
      <c r="D58" s="263" t="str">
        <f>IF(AND(Sheet1!D$192=1,A58&lt;&gt;" "),ROUND(VLOOKUP(A58,StatusQuo!A$19:M$68,12),Sheet1!D$75),IF(Sheet1!D$192=1," ","SQ not feasible "))</f>
        <v xml:space="preserve"> </v>
      </c>
      <c r="E58" s="263" t="str">
        <f>IF(AND(Sheet1!D$193=1,A58&lt;&gt;" "),ROUND(VLOOKUP(A58,AlternativeA!A$110:M$159,12),Sheet1!D$75),IF(Sheet1!D$193=1," ","Alt  'A'  not feasible"))</f>
        <v>Alt  'A'  not feasible</v>
      </c>
      <c r="F58" s="263" t="str">
        <f>IF(AND(A58&lt;&gt;" ",Sheet1!D$192=1,Sheet1!D$193=1),D58-E58,IF(AND(Sheet1!D$193=1,A58&lt;&gt;" ")," "," "))</f>
        <v xml:space="preserve"> </v>
      </c>
      <c r="G58" s="264" t="str">
        <f>IF(A58&lt;=Sheet1!D$148, (1/((1+G10)^(A58-0.5)))," ")</f>
        <v xml:space="preserve"> </v>
      </c>
      <c r="H58" s="263" t="str">
        <f>IF(AND(A58&lt;&gt;" ",Sheet1!D$192=1,Sheet1!D$193=1),ROUND(F58*G58,Sheet1!D$75),IF(AND(A58&lt;&gt;" ",Sheet1!D$193=1),ROUND(E58*G58,Sheet1!D$75)," "))</f>
        <v xml:space="preserve"> </v>
      </c>
      <c r="I58" s="264" t="str">
        <f>IF(A58&lt;&gt;" ",ROUND(VLOOKUP(Sheet1!E$82,CHOOSE(Sheet1!D$232,Inflate7,Inflate2,Inflate3,Inflate4,Inflate5,Inflate6,Inflate1,Inflate8),2),4)," ")</f>
        <v xml:space="preserve"> </v>
      </c>
      <c r="J58" s="264" t="str">
        <f>IF(A58&lt;&gt;" ",ROUND(VLOOKUP(B58,CHOOSE(Sheet1!D$232,Inflate7,Inflate2,Inflate3,Inflate4,Inflate5,Inflate6,Inflate1,Inflate8),3),4)," ")</f>
        <v xml:space="preserve"> </v>
      </c>
      <c r="K58" s="265" t="str">
        <f>IF(AND(A58&lt;&gt;" ",Sheet1!D$192=1,Sheet1!D$193=1),ROUND((F58/I58)*J58,Sheet1!D$75),IF(AND(A58&lt;&gt;" ",Sheet1!D$193=1),ROUND((E58/I58)*J58,Sheet1!D$75)," "))</f>
        <v xml:space="preserve"> </v>
      </c>
      <c r="L58" s="254" t="str">
        <f>IF(Sheet1!D$192=1,IF(AND(AA58&gt;AJ$61,AA57&lt;=AJ$61),"&lt;-Payback"," ")," ")</f>
        <v xml:space="preserve"> </v>
      </c>
      <c r="M58" s="271" t="str">
        <f>IF(OR(Sheet1!D$192=1,Sheet1!D$193=1),IF(OR((A57&gt;=(Sheet1!D$148+$A$11)-1),AND(Sheet1!D$8=3,A57&gt;=6))," ",A57+1),NA())</f>
        <v xml:space="preserve"> </v>
      </c>
      <c r="N58" s="271" t="str">
        <f>IF(OR(Sheet1!D$192=1,Sheet1!D$193=1),IF(OR((B57&gt;=(Sheet1!D$148+$B$11)-1),AND(Sheet1!D$8=3,A57&gt;=6))," ",B57+1),NA())</f>
        <v xml:space="preserve"> </v>
      </c>
      <c r="O58" s="266" t="e">
        <f>IF(AND(Sheet1!D$8=3,M58=" ")," ",IF(OR(Sheet1!D$192=1,Sheet1!D$193=1),IF(O57&gt;0,IF(AND(OR(Sheet1!D$8=2,Sheet1!D$22=3),O57&gt;=10)," ",O57+1),IF(NOT(Sheet1!D$192=1),0,IF(ROUND(VLOOKUP(A58,StatusQuo!A$19:M$68,13),Sheet1!D$75)-ROUND(VLOOKUP(A58,AlternativeA!A$110:M$159,13),Sheet1!D$75)&gt;0,1,0)))," "))</f>
        <v>#VALUE!</v>
      </c>
      <c r="P58" s="263" t="str">
        <f>IF(AND(A58&lt;&gt;" ",Sheet1!D$192=1,Sheet1!D$193=1),IF(AND(OR(Sheet1!D$8=2,Sheet1!D$22=3),O58&gt;10),0,ROUND(VLOOKUP(A58,StatusQuo!A$19:M$50,13),Sheet1!D$75)),IF(NOT(Sheet1!D$192=1),"not feasible",IF(A58=" "," ", "Savings is  n/a=&gt;")))</f>
        <v xml:space="preserve"> </v>
      </c>
      <c r="Q58" s="263" t="str">
        <f>IF(AND(A58&lt;&gt;" ",Sheet1!D$192=1,Sheet1!D$193=1),IF(AND(OR(Sheet1!D$8=2,Sheet1!D$22=3),O58&gt;10),0,ROUND(VLOOKUP(A58,AlternativeA!A$110:M$159,13),Sheet1!D$75)),IF(NOT(Sheet1!D$193=1),"not feasible",IF(A58=" "," ","&lt;== Savings is n/a")))</f>
        <v>not feasible</v>
      </c>
      <c r="R58" s="263" t="str">
        <f>IF(AND(A58&lt;&gt;" ",Sheet1!D$192=1,Sheet1!D$193=1),IF(G$81&lt;&gt;" ","??????? ",P58-Q58)," ")</f>
        <v xml:space="preserve"> </v>
      </c>
      <c r="S58" s="263" t="str">
        <f>IF(AND(A58&lt;&gt;" ",Sheet1!D$192=1,Sheet1!D$193=1),ROUND(R58*G58,Sheet1!D$75)," ")</f>
        <v xml:space="preserve"> </v>
      </c>
      <c r="T58" s="263" t="str">
        <f>IF(AND(A58&lt;&gt;" ",Sheet1!D$192=1,Sheet1!D$193=1),ROUND((R58/I58)*J58,Sheet1!D$75)," ")</f>
        <v xml:space="preserve"> </v>
      </c>
      <c r="U58" s="265">
        <f>SUM(T$11:T58)</f>
        <v>0</v>
      </c>
      <c r="V58" s="254" t="str">
        <f t="shared" si="0"/>
        <v xml:space="preserve"> </v>
      </c>
      <c r="W58" s="268">
        <f t="shared" si="1"/>
        <v>48</v>
      </c>
      <c r="X58" s="171" t="str">
        <f t="shared" si="2"/>
        <v xml:space="preserve"> </v>
      </c>
      <c r="AA58" s="265">
        <f>SUM(K$11:K58)</f>
        <v>0</v>
      </c>
      <c r="AB58" s="271" t="str">
        <f>IF(OR(Sheet1!D$192=1,Sheet1!D$193=1),IF(OR((AB57&gt;=(Sheet1!D$148+$A$11)-1),AND(Sheet1!D$8=3,AB57&gt;=6))," ",AB57+1),NA())</f>
        <v xml:space="preserve"> </v>
      </c>
      <c r="AC58" s="271" t="str">
        <f>IF(OR(Sheet1!D$192=1,Sheet1!D$193=1),IF(OR((AC57&gt;=(Sheet1!D$148+$B$11)-1),AND(Sheet1!D$8=3,AB57&gt;=6))," ",AC57+1),NA())</f>
        <v xml:space="preserve"> </v>
      </c>
      <c r="AD58" s="272"/>
      <c r="AE58" s="263" t="str">
        <f>IF(AND(Sheet1!D$193=1,AB58&lt;&gt;" "),ROUND(VLOOKUP(AB58,AlternativeA!A$17:M$66,12),Sheet1!D$75),IF(Sheet1!D$193=1," ","Alt  'A'  not feasible"))</f>
        <v>Alt  'A'  not feasible</v>
      </c>
      <c r="AF58" s="264" t="str">
        <f>IF(AB58&lt;=Sheet1!D$148, (1/((1+$AF$10)^(AB58-0.5)))," ")</f>
        <v xml:space="preserve"> </v>
      </c>
      <c r="AG58" s="263" t="str">
        <f>IF(AND(Sheet1!D$193=1,AB58&lt;&gt;" "),ROUND(+AE58*AF58,Sheet1!D$75)," ")</f>
        <v xml:space="preserve"> </v>
      </c>
      <c r="AH58" s="264" t="str">
        <f>IF(AB58&lt;&gt;" ",ROUND(VLOOKUP(Sheet1!E$82,CHOOSE(Sheet1!D$212,Inflate1,Inflate2,Inflate3,Inflate4,Inflate5,Inflate6,Inflate7,Inflate8),2),4)," ")</f>
        <v xml:space="preserve"> </v>
      </c>
      <c r="AI58" s="264" t="str">
        <f>IF(AB58&lt;&gt;" ",ROUND(VLOOKUP(AC58,CHOOSE(Sheet1!D$212,Inflate1,Inflate2,Inflate3,Inflate4,Inflate5,Inflate6,Inflate7,Inflate8),3),4)," ")</f>
        <v xml:space="preserve"> </v>
      </c>
      <c r="AJ58" s="263" t="b">
        <f>IF(AND(Sheet1!D$193=1,AB58&lt;&gt;" "),IF(AND(O58&lt;=10,OR(Sheet1!D$8=2,Sheet1!D$8=3,Sheet1!D$22=3)),ROUND((AE58/AH58)*AI58,Sheet1!D$75),IF(AND(Sheet1!D$8&lt;&gt;2,Sheet1!D$8&lt;&gt;3,Sheet1!D$22&lt;&gt;3),ROUND((AE58/AH58)*AI58,Sheet1!D$75)," ")))</f>
        <v>0</v>
      </c>
    </row>
    <row r="59" spans="1:36" ht="12" hidden="1" customHeight="1" x14ac:dyDescent="0.2">
      <c r="A59" s="271" t="str">
        <f>IF(OR(Sheet1!D$192=1,Sheet1!D$193=1),IF(OR((A58&gt;=(Sheet1!D$148+$A$11)-1),AND(Sheet1!D$8=3,A58&gt;=6))," ",A58+1),NA())</f>
        <v xml:space="preserve"> </v>
      </c>
      <c r="B59" s="271" t="str">
        <f>IF(OR(Sheet1!D$192=1,Sheet1!D$193=1),IF(OR((B58&gt;=(Sheet1!D$148+$B$11)-1),AND(Sheet1!D$8=3,A58&gt;=6))," ",B58+1),NA())</f>
        <v xml:space="preserve"> </v>
      </c>
      <c r="C59" s="273"/>
      <c r="D59" s="263" t="str">
        <f>IF(AND(Sheet1!D$192=1,A59&lt;&gt;" "),ROUND(VLOOKUP(A59,StatusQuo!A$19:M$68,12),Sheet1!D$75),IF(Sheet1!D$192=1," ","SQ not feasible "))</f>
        <v xml:space="preserve"> </v>
      </c>
      <c r="E59" s="263" t="str">
        <f>IF(AND(Sheet1!D$193=1,A59&lt;&gt;" "),ROUND(VLOOKUP(A59,AlternativeA!A$110:M$159,12),Sheet1!D$75),IF(Sheet1!D$193=1," ","Alt  'A'  not feasible"))</f>
        <v>Alt  'A'  not feasible</v>
      </c>
      <c r="F59" s="263" t="str">
        <f>IF(AND(A59&lt;&gt;" ",Sheet1!D$192=1,Sheet1!D$193=1),D59-E59,IF(AND(Sheet1!D$193=1,A59&lt;&gt;" ")," "," "))</f>
        <v xml:space="preserve"> </v>
      </c>
      <c r="G59" s="264" t="str">
        <f>IF(A59&lt;=Sheet1!D$148, (1/((1+G10)^(A59-0.5)))," ")</f>
        <v xml:space="preserve"> </v>
      </c>
      <c r="H59" s="263" t="str">
        <f>IF(AND(A59&lt;&gt;" ",Sheet1!D$192=1,Sheet1!D$193=1),ROUND(F59*G59,Sheet1!D$75),IF(AND(A59&lt;&gt;" ",Sheet1!D$193=1),ROUND(E59*G59,Sheet1!D$75)," "))</f>
        <v xml:space="preserve"> </v>
      </c>
      <c r="I59" s="264" t="str">
        <f>IF(A59&lt;&gt;" ",ROUND(VLOOKUP(Sheet1!E$82,CHOOSE(Sheet1!D$232,Inflate7,Inflate2,Inflate3,Inflate4,Inflate5,Inflate6,Inflate1,Inflate8),2),4)," ")</f>
        <v xml:space="preserve"> </v>
      </c>
      <c r="J59" s="264" t="str">
        <f>IF(A59&lt;&gt;" ",ROUND(VLOOKUP(B59,CHOOSE(Sheet1!D$232,Inflate7,Inflate2,Inflate3,Inflate4,Inflate5,Inflate6,Inflate1,Inflate8),3),4)," ")</f>
        <v xml:space="preserve"> </v>
      </c>
      <c r="K59" s="265" t="str">
        <f>IF(AND(A59&lt;&gt;" ",Sheet1!D$192=1,Sheet1!D$193=1),ROUND((F59/I59)*J59,Sheet1!D$75),IF(AND(A59&lt;&gt;" ",Sheet1!D$193=1),ROUND((E59/I59)*J59,Sheet1!D$75)," "))</f>
        <v xml:space="preserve"> </v>
      </c>
      <c r="L59" s="254" t="str">
        <f>IF(Sheet1!D$192=1,IF(AND(AA59&gt;AJ$61,AA58&lt;=AJ$61),"&lt;-Payback"," ")," ")</f>
        <v xml:space="preserve"> </v>
      </c>
      <c r="M59" s="271" t="str">
        <f>IF(OR(Sheet1!D$192=1,Sheet1!D$193=1),IF(OR((A58&gt;=(Sheet1!D$148+$A$11)-1),AND(Sheet1!D$8=3,A58&gt;=6))," ",A58+1),NA())</f>
        <v xml:space="preserve"> </v>
      </c>
      <c r="N59" s="271" t="str">
        <f>IF(OR(Sheet1!D$192=1,Sheet1!D$193=1),IF(OR((B58&gt;=(Sheet1!D$148+$B$11)-1),AND(Sheet1!D$8=3,A58&gt;=6))," ",B58+1),NA())</f>
        <v xml:space="preserve"> </v>
      </c>
      <c r="O59" s="266" t="e">
        <f>IF(AND(Sheet1!D$8=3,M59=" ")," ",IF(OR(Sheet1!D$192=1,Sheet1!D$193=1),IF(O58&gt;0,IF(AND(OR(Sheet1!D$8=2,Sheet1!D$22=3),O58&gt;=10)," ",O58+1),IF(NOT(Sheet1!D$192=1),0,IF(ROUND(VLOOKUP(A59,StatusQuo!A$19:M$68,13),Sheet1!D$75)-ROUND(VLOOKUP(A59,AlternativeA!A$110:M$159,13),Sheet1!D$75)&gt;0,1,0)))," "))</f>
        <v>#VALUE!</v>
      </c>
      <c r="P59" s="263" t="str">
        <f>IF(AND(A59&lt;&gt;" ",Sheet1!D$192=1,Sheet1!D$193=1),IF(AND(OR(Sheet1!D$8=2,Sheet1!D$22=3),O59&gt;10),0,ROUND(VLOOKUP(A59,StatusQuo!A$19:M$50,13),Sheet1!D$75)),IF(NOT(Sheet1!D$192=1),"not feasible",IF(A59=" "," ", "Savings is  n/a=&gt;")))</f>
        <v xml:space="preserve"> </v>
      </c>
      <c r="Q59" s="263" t="str">
        <f>IF(AND(A59&lt;&gt;" ",Sheet1!D$192=1,Sheet1!D$193=1),IF(AND(OR(Sheet1!D$8=2,Sheet1!D$22=3),O59&gt;10),0,ROUND(VLOOKUP(A59,AlternativeA!A$110:M$159,13),Sheet1!D$75)),IF(NOT(Sheet1!D$193=1),"not feasible",IF(A59=" "," ","&lt;== Savings is n/a")))</f>
        <v>not feasible</v>
      </c>
      <c r="R59" s="263" t="str">
        <f>IF(AND(A59&lt;&gt;" ",Sheet1!D$192=1,Sheet1!D$193=1),IF(G$81&lt;&gt;" ","??????? ",P59-Q59)," ")</f>
        <v xml:space="preserve"> </v>
      </c>
      <c r="S59" s="263" t="str">
        <f>IF(AND(A59&lt;&gt;" ",Sheet1!D$192=1,Sheet1!D$193=1),ROUND(R59*G59,Sheet1!D$75)," ")</f>
        <v xml:space="preserve"> </v>
      </c>
      <c r="T59" s="263" t="str">
        <f>IF(AND(A59&lt;&gt;" ",Sheet1!D$192=1,Sheet1!D$193=1),ROUND((R59/I59)*J59,Sheet1!D$75)," ")</f>
        <v xml:space="preserve"> </v>
      </c>
      <c r="U59" s="265">
        <f>SUM(T$11:T59)</f>
        <v>0</v>
      </c>
      <c r="V59" s="254" t="str">
        <f t="shared" si="0"/>
        <v xml:space="preserve"> </v>
      </c>
      <c r="W59" s="268">
        <f t="shared" si="1"/>
        <v>49</v>
      </c>
      <c r="X59" s="171" t="str">
        <f t="shared" si="2"/>
        <v xml:space="preserve"> </v>
      </c>
      <c r="AA59" s="265">
        <f>SUM(K$11:K59)</f>
        <v>0</v>
      </c>
      <c r="AB59" s="271" t="str">
        <f>IF(OR(Sheet1!D$192=1,Sheet1!D$193=1),IF(OR((AB58&gt;=(Sheet1!D$148+$A$11)-1),AND(Sheet1!D$8=3,AB58&gt;=6))," ",AB58+1),NA())</f>
        <v xml:space="preserve"> </v>
      </c>
      <c r="AC59" s="271" t="str">
        <f>IF(OR(Sheet1!D$192=1,Sheet1!D$193=1),IF(OR((AC58&gt;=(Sheet1!D$148+$B$11)-1),AND(Sheet1!D$8=3,AB58&gt;=6))," ",AC58+1),NA())</f>
        <v xml:space="preserve"> </v>
      </c>
      <c r="AD59" s="272"/>
      <c r="AE59" s="263" t="str">
        <f>IF(AND(Sheet1!D$193=1,AB59&lt;&gt;" "),ROUND(VLOOKUP(AB59,AlternativeA!A$17:M$66,12),Sheet1!D$75),IF(Sheet1!D$193=1," ","Alt  'A'  not feasible"))</f>
        <v>Alt  'A'  not feasible</v>
      </c>
      <c r="AF59" s="264" t="str">
        <f>IF(AB59&lt;=Sheet1!D$148, (1/((1+$AF$10)^(AB59-0.5)))," ")</f>
        <v xml:space="preserve"> </v>
      </c>
      <c r="AG59" s="263" t="str">
        <f>IF(AND(Sheet1!D$193=1,AB59&lt;&gt;" "),ROUND(+AE59*AF59,Sheet1!D$75)," ")</f>
        <v xml:space="preserve"> </v>
      </c>
      <c r="AH59" s="264" t="str">
        <f>IF(AB59&lt;&gt;" ",ROUND(VLOOKUP(Sheet1!E$82,CHOOSE(Sheet1!D$212,Inflate1,Inflate2,Inflate3,Inflate4,Inflate5,Inflate6,Inflate7,Inflate8),2),4)," ")</f>
        <v xml:space="preserve"> </v>
      </c>
      <c r="AI59" s="264" t="str">
        <f>IF(AB59&lt;&gt;" ",ROUND(VLOOKUP(AC59,CHOOSE(Sheet1!D$212,Inflate1,Inflate2,Inflate3,Inflate4,Inflate5,Inflate6,Inflate7,Inflate8),3),4)," ")</f>
        <v xml:space="preserve"> </v>
      </c>
      <c r="AJ59" s="263" t="b">
        <f>IF(AND(Sheet1!D$193=1,AB59&lt;&gt;" "),IF(AND(O59&lt;=10,OR(Sheet1!D$8=2,Sheet1!D$8=3,Sheet1!D$22=3)),ROUND((AE59/AH59)*AI59,Sheet1!D$75),IF(AND(Sheet1!D$8&lt;&gt;2,Sheet1!D$8&lt;&gt;3,Sheet1!D$22&lt;&gt;3),ROUND((AE59/AH59)*AI59,Sheet1!D$75)," ")))</f>
        <v>0</v>
      </c>
    </row>
    <row r="60" spans="1:36" ht="12" hidden="1" customHeight="1" thickBot="1" x14ac:dyDescent="0.25">
      <c r="A60" s="271" t="str">
        <f>IF(OR(Sheet1!D$192=1,Sheet1!D$193=1),IF(OR((A59&gt;=(Sheet1!D$148+$A$11)-1),AND(Sheet1!D$8=3,A59&gt;=6))," ",A59+1),NA())</f>
        <v xml:space="preserve"> </v>
      </c>
      <c r="B60" s="271" t="str">
        <f>IF(OR(Sheet1!D$192=1,Sheet1!D$193=1),IF(OR((B59&gt;=(Sheet1!D$148+$B$11)-1),AND(Sheet1!D$8=3,A59&gt;=6))," ",B59+1),NA())</f>
        <v xml:space="preserve"> </v>
      </c>
      <c r="C60" s="273"/>
      <c r="D60" s="263" t="str">
        <f>IF(AND(Sheet1!D$192=1,A60&lt;&gt;" "),ROUND(VLOOKUP(A60,StatusQuo!A$19:M$68,12),Sheet1!D$75),IF(Sheet1!D$192=1," ","SQ not feasible "))</f>
        <v xml:space="preserve"> </v>
      </c>
      <c r="E60" s="263" t="str">
        <f>IF(AND(Sheet1!D$193=1,A60&lt;&gt;" "),ROUND(VLOOKUP(A60,AlternativeA!A$110:M$159,12),Sheet1!D$75),IF(Sheet1!D$193=1," ","Alt  'A'  not feasible"))</f>
        <v>Alt  'A'  not feasible</v>
      </c>
      <c r="F60" s="263" t="str">
        <f>IF(AND(A60&lt;&gt;" ",Sheet1!D$192=1,Sheet1!D$193=1),D60-E60,IF(AND(Sheet1!D$193=1,A60&lt;&gt;" ")," "," "))</f>
        <v xml:space="preserve"> </v>
      </c>
      <c r="G60" s="264" t="str">
        <f>IF(A60&lt;=Sheet1!D$148, (1/((1+G10)^(A60-0.5)))," ")</f>
        <v xml:space="preserve"> </v>
      </c>
      <c r="H60" s="263" t="str">
        <f>IF(AND(A60&lt;&gt;" ",Sheet1!D$192=1,Sheet1!D$193=1),ROUND(F60*G60,Sheet1!D$75),IF(AND(A60&lt;&gt;" ",Sheet1!D$193=1),ROUND(E60*G60,Sheet1!D$75)," "))</f>
        <v xml:space="preserve"> </v>
      </c>
      <c r="I60" s="264" t="str">
        <f>IF(A60&lt;&gt;" ",ROUND(VLOOKUP(Sheet1!E$82,CHOOSE(Sheet1!D$232,Inflate7,Inflate2,Inflate3,Inflate4,Inflate5,Inflate6,Inflate1,Inflate8),2),4)," ")</f>
        <v xml:space="preserve"> </v>
      </c>
      <c r="J60" s="264" t="str">
        <f>IF(A60&lt;&gt;" ",ROUND(VLOOKUP(B60,CHOOSE(Sheet1!D$232,Inflate7,Inflate2,Inflate3,Inflate4,Inflate5,Inflate6,Inflate1,Inflate8),3),4)," ")</f>
        <v xml:space="preserve"> </v>
      </c>
      <c r="K60" s="265" t="str">
        <f>IF(AND(A60&lt;&gt;" ",Sheet1!D$192=1,Sheet1!D$193=1),ROUND((F60/I60)*J60,Sheet1!D$75),IF(AND(A60&lt;&gt;" ",Sheet1!D$193=1),ROUND((E60/I60)*J60,Sheet1!D$75)," "))</f>
        <v xml:space="preserve"> </v>
      </c>
      <c r="L60" s="254" t="str">
        <f>IF(Sheet1!D$192=1,IF(AND(AA60&gt;AJ$61,AA59&lt;=AJ$61),"&lt;-Payback"," ")," ")</f>
        <v xml:space="preserve"> </v>
      </c>
      <c r="M60" s="271" t="str">
        <f>IF(OR(Sheet1!D$192=1,Sheet1!D$193=1),IF(OR((A59&gt;=(Sheet1!D$148+$A$11)-1),AND(Sheet1!D$8=3,A59&gt;=6))," ",A59+1),NA())</f>
        <v xml:space="preserve"> </v>
      </c>
      <c r="N60" s="271" t="str">
        <f>IF(OR(Sheet1!D$192=1,Sheet1!D$193=1),IF(OR((B59&gt;=(Sheet1!D$148+$B$11)-1),AND(Sheet1!D$8=3,A59&gt;=6))," ",B59+1),NA())</f>
        <v xml:space="preserve"> </v>
      </c>
      <c r="O60" s="266" t="e">
        <f>IF(AND(Sheet1!D$8=3,M60=" ")," ",IF(OR(Sheet1!D$192=1,Sheet1!D$193=1),IF(O59&gt;0,IF(AND(OR(Sheet1!D$8=2,Sheet1!D$22=3),O59&gt;=10)," ",O59+1),IF(NOT(Sheet1!D$192=1),0,IF(ROUND(VLOOKUP(A60,StatusQuo!A$19:M$68,13),Sheet1!D$75)-ROUND(VLOOKUP(A60,AlternativeA!A$110:M$159,13),Sheet1!D$75)&gt;0,1,0)))," "))</f>
        <v>#VALUE!</v>
      </c>
      <c r="P60" s="263" t="str">
        <f>IF(AND(A60&lt;&gt;" ",Sheet1!D$192=1,Sheet1!D$193=1),IF(AND(OR(Sheet1!D$8=2,Sheet1!D$22=3),O60&gt;10),0,ROUND(VLOOKUP(A60,StatusQuo!A$19:M$50,13),Sheet1!D$75)),IF(NOT(Sheet1!D$192=1),"not feasible",IF(A60=" "," ", "Savings is  n/a=&gt;")))</f>
        <v xml:space="preserve"> </v>
      </c>
      <c r="Q60" s="263" t="str">
        <f>IF(AND(A60&lt;&gt;" ",Sheet1!D$192=1,Sheet1!D$193=1),IF(AND(OR(Sheet1!D$8=2,Sheet1!D$22=3),O60&gt;10),0,ROUND(VLOOKUP(A60,AlternativeA!A$110:M$159,13),Sheet1!D$75)),IF(NOT(Sheet1!D$193=1),"not feasible",IF(A60=" "," ","&lt;== Savings is n/a")))</f>
        <v>not feasible</v>
      </c>
      <c r="R60" s="263" t="str">
        <f>IF(AND(A60&lt;&gt;" ",Sheet1!D$192=1,Sheet1!D$193=1),IF(G$81&lt;&gt;" ","??????? ",P60-Q60)," ")</f>
        <v xml:space="preserve"> </v>
      </c>
      <c r="S60" s="263" t="str">
        <f>IF(AND(A60&lt;&gt;" ",Sheet1!D$192=1,Sheet1!D$193=1),ROUND(R60*G60,Sheet1!D$75)," ")</f>
        <v xml:space="preserve"> </v>
      </c>
      <c r="T60" s="263" t="str">
        <f>IF(AND(A60&lt;&gt;" ",Sheet1!D$192=1,Sheet1!D$193=1),ROUND((R60/I60)*J60,Sheet1!D$75)," ")</f>
        <v xml:space="preserve"> </v>
      </c>
      <c r="U60" s="265">
        <f>SUM(T$11:T60)</f>
        <v>0</v>
      </c>
      <c r="V60" s="254" t="str">
        <f t="shared" si="0"/>
        <v xml:space="preserve"> </v>
      </c>
      <c r="W60" s="268">
        <f t="shared" si="1"/>
        <v>50</v>
      </c>
      <c r="X60" s="171" t="str">
        <f t="shared" si="2"/>
        <v xml:space="preserve"> </v>
      </c>
      <c r="AA60" s="265">
        <f>SUM(K$11:K60)</f>
        <v>0</v>
      </c>
      <c r="AB60" s="271" t="str">
        <f>IF(OR(Sheet1!D$192=1,Sheet1!D$193=1),IF(OR((AB59&gt;=(Sheet1!D$148+$A$11)-1),AND(Sheet1!D$8=3,AB59&gt;=6))," ",AB59+1),NA())</f>
        <v xml:space="preserve"> </v>
      </c>
      <c r="AC60" s="271" t="str">
        <f>IF(OR(Sheet1!D$192=1,Sheet1!D$193=1),IF(OR((AC59&gt;=(Sheet1!D$148+$B$11)-1),AND(Sheet1!D$8=3,AB59&gt;=6))," ",AC59+1),NA())</f>
        <v xml:space="preserve"> </v>
      </c>
      <c r="AD60" s="272"/>
      <c r="AE60" s="263" t="str">
        <f>IF(AND(Sheet1!D$193=1,AB60&lt;&gt;" "),ROUND(VLOOKUP(AB60,AlternativeA!A$17:M$66,12),Sheet1!D$75),IF(Sheet1!D$193=1," ","Alt  'A'  not feasible"))</f>
        <v>Alt  'A'  not feasible</v>
      </c>
      <c r="AF60" s="264" t="str">
        <f>IF(AB60&lt;=Sheet1!D$148, (1/((1+$AF$10)^(AB60-0.5)))," ")</f>
        <v xml:space="preserve"> </v>
      </c>
      <c r="AG60" s="263" t="str">
        <f>IF(AND(Sheet1!D$193=1,AB60&lt;&gt;" "),ROUND(+AE60*AF60,Sheet1!D$75)," ")</f>
        <v xml:space="preserve"> </v>
      </c>
      <c r="AH60" s="264" t="str">
        <f>IF(AB60&lt;&gt;" ",ROUND(VLOOKUP(Sheet1!E$82,CHOOSE(Sheet1!D$212,Inflate1,Inflate2,Inflate3,Inflate4,Inflate5,Inflate6,Inflate7,Inflate8),2),4)," ")</f>
        <v xml:space="preserve"> </v>
      </c>
      <c r="AI60" s="264" t="str">
        <f>IF(AB60&lt;&gt;" ",ROUND(VLOOKUP(AC60,CHOOSE(Sheet1!D$212,Inflate1,Inflate2,Inflate3,Inflate4,Inflate5,Inflate6,Inflate7,Inflate8),3),4)," ")</f>
        <v xml:space="preserve"> </v>
      </c>
      <c r="AJ60" s="263" t="b">
        <f>IF(AND(Sheet1!D$193=1,AB60&lt;&gt;" "),IF(AND(O60&lt;=10,OR(Sheet1!D$8=2,Sheet1!D$8=3,Sheet1!D$22=3)),ROUND((AE60/AH60)*AI60,Sheet1!D$75),IF(AND(Sheet1!D$8&lt;&gt;2,Sheet1!D$8&lt;&gt;3,Sheet1!D$22&lt;&gt;3),ROUND((AE60/AH60)*AI60,Sheet1!D$75)," ")))</f>
        <v>0</v>
      </c>
    </row>
    <row r="61" spans="1:36" ht="21.6" thickTop="1" thickBot="1" x14ac:dyDescent="0.25">
      <c r="A61" s="274" t="s">
        <v>311</v>
      </c>
      <c r="B61" s="275"/>
      <c r="C61" s="276"/>
      <c r="D61" s="277">
        <f>IF(Sheet1!D$192=1,SUM(D11:D60),"SQ not feasible")</f>
        <v>0</v>
      </c>
      <c r="E61" s="277" t="str">
        <f>IF(Sheet1!D$193=1,SUM(E11:E60),"Alt  'A'  not feasible")</f>
        <v>Alt  'A'  not feasible</v>
      </c>
      <c r="F61" s="277">
        <f>SUM(F11:F60)</f>
        <v>0</v>
      </c>
      <c r="G61" s="278"/>
      <c r="H61" s="277">
        <f>SUM(H11:H60)</f>
        <v>0</v>
      </c>
      <c r="I61" s="279"/>
      <c r="J61" s="280" t="str">
        <f>CHOOSE(Sheet1!D$212,"RDTE weighted","APA weighted","MIPA weighted","WTCV weighted","AMMO weighted","OPA weighted","OMA weighted","MCA weighted")</f>
        <v>RDTE weighted</v>
      </c>
      <c r="K61" s="277">
        <f>SUM(K11:K60)</f>
        <v>0</v>
      </c>
      <c r="L61" s="281"/>
      <c r="M61" s="282"/>
      <c r="N61" s="275" t="s">
        <v>252</v>
      </c>
      <c r="O61" s="275"/>
      <c r="P61" s="283">
        <f>SUM(P11:P60)</f>
        <v>0</v>
      </c>
      <c r="Q61" s="283">
        <f>SUM(Q11:Q60)</f>
        <v>0</v>
      </c>
      <c r="R61" s="283">
        <f>IF(G$81&lt;&gt;" ","???????",SUM(R11:R60))</f>
        <v>0</v>
      </c>
      <c r="S61" s="283">
        <f>SUM(S11:S60)</f>
        <v>0</v>
      </c>
      <c r="T61" s="283">
        <f>SUM(T11:T60)</f>
        <v>0</v>
      </c>
      <c r="U61" s="284"/>
      <c r="V61" s="260"/>
      <c r="AB61" s="285" t="s">
        <v>312</v>
      </c>
      <c r="AC61" s="286"/>
      <c r="AD61" s="287"/>
      <c r="AE61" s="288" t="str">
        <f>IF(Sheet1!D$193=1,SUM(AE11:AE60),"Alt  'A'  not feasible")</f>
        <v>Alt  'A'  not feasible</v>
      </c>
      <c r="AF61" s="289"/>
      <c r="AG61" s="288">
        <f>SUM(AG11:AG60)</f>
        <v>0</v>
      </c>
      <c r="AH61" s="289"/>
      <c r="AI61" s="289"/>
      <c r="AJ61" s="288">
        <f>IF(Sheet1!D193=1,SUM(AJ11:AJ60),0)</f>
        <v>0</v>
      </c>
    </row>
    <row r="62" spans="1:36" ht="21" thickBot="1" x14ac:dyDescent="0.25">
      <c r="A62" s="290" t="s">
        <v>313</v>
      </c>
      <c r="B62" s="291">
        <f>IF(Sheet1!D$192=1,IF(AND(Sheet1!D$8=3,StatusQuo!A$77&gt;7)," ",StatusQuo!B$77),IF(Sheet1!D$193=1,IF(AND(Sheet1!D$8=3,AlternativeA!A$168&gt;7)," ",AlternativeA!B$168)," "))</f>
        <v>2025</v>
      </c>
      <c r="C62" s="292" t="str">
        <f>IF(Sheet1!D$192=1,"(+)","(+) ")</f>
        <v>(+)</v>
      </c>
      <c r="D62" s="293">
        <f>IF(Sheet1!D$192=1,IF(AND(Sheet1!D$8=3,StatusQuo!A$77&gt;7),0,ROUND((StatusQuo!L$77),Sheet1!D$75)*-1),"SQ not feasible ")</f>
        <v>0</v>
      </c>
      <c r="E62" s="293" t="str">
        <f>IF(Sheet1!D$193=1,IF(AND(Sheet1!D$8=3,AlternativeA!A$168&gt;7),0,ROUND((AlternativeA!L$168),Sheet1!D$75)*-1),"Alt  'A'  not feasible ")</f>
        <v xml:space="preserve">Alt  'A'  not feasible </v>
      </c>
      <c r="F62" s="293" t="e">
        <f>IF(Sheet1!D$192=1,D62-E62," ")</f>
        <v>#VALUE!</v>
      </c>
      <c r="G62" s="294" t="str">
        <f>IF(AND(Sheet1!D$192=1,Sheet1!D$193=1),IF(OR(Sheet1!D$8=2,Sheet1!D$8=3),1,ROUND(VLOOKUP(StatusQuo!A$77,DiscFactorsLinInterp,HLOOKUP(Sheet1!D$148,DiscLinearInterp,1)),4)),IF(Sheet1!D$193=1,IF(OR(Sheet1!D$8=2,Sheet1!D$8=3),1,ROUND(VLOOKUP(AlternativeA!A$168,DiscFactorsLinInterp,HLOOKUP(Sheet1!D$148,DiscLinearInterp,1)),4))," "))</f>
        <v xml:space="preserve"> </v>
      </c>
      <c r="H62" s="293" t="str">
        <f>IF(AND(Sheet1!D$192=1,Sheet1!D$193=1),ROUND(+F62*G62,Sheet1!D$75),IF(Sheet1!D$193=1,ROUND(E62*G62,Sheet1!D$75)," "))</f>
        <v xml:space="preserve"> </v>
      </c>
      <c r="I62" s="294">
        <f>ROUND(VLOOKUP(Sheet1!E$82,CHOOSE(Sheet1!D$212,Inflate1,Inflate2,Inflate3,Inflate4,Inflate5,Inflate6,Inflate7,Inflate8),2),4)</f>
        <v>1</v>
      </c>
      <c r="J62" s="294">
        <f>IF(B62&lt;&gt;" ",ROUND(VLOOKUP(B62,CHOOSE(Sheet1!D$212,Inflate1,Inflate2,Inflate3,Inflate4,Inflate5,Inflate6,Inflate7,Inflate8),3),4),0)</f>
        <v>1.0443</v>
      </c>
      <c r="K62" s="295" t="str">
        <f>IF(AND(Sheet1!D$192=1,Sheet1!D$193=1),ROUND((F62/I62)*J62,Sheet1!D$75),IF(Sheet1!D$193=1,ROUND((E62/I62)*J62,Sheet1!D$75)," "))</f>
        <v xml:space="preserve"> </v>
      </c>
      <c r="L62" s="177"/>
      <c r="P62" s="296"/>
      <c r="Q62" s="296"/>
      <c r="R62" s="296"/>
      <c r="S62" s="296"/>
      <c r="T62" s="296"/>
      <c r="AB62" s="297" t="s">
        <v>314</v>
      </c>
      <c r="AC62" s="298"/>
      <c r="AD62" s="299"/>
      <c r="AE62" s="263"/>
      <c r="AF62" s="300"/>
      <c r="AG62" s="263"/>
      <c r="AH62" s="300"/>
      <c r="AI62" s="300"/>
      <c r="AJ62" s="263"/>
    </row>
    <row r="63" spans="1:36" ht="12" thickTop="1" x14ac:dyDescent="0.2">
      <c r="A63" s="301" t="s">
        <v>315</v>
      </c>
      <c r="B63" s="298"/>
      <c r="C63" s="299"/>
      <c r="D63" s="302">
        <f>IF(Sheet1!D$192=1,SUM(D61:D62),"SQ not feasible")</f>
        <v>0</v>
      </c>
      <c r="E63" s="277">
        <f>IF(Sheet1!$D$193,SUM(E61:E62),"Alt  'A' not feasible")</f>
        <v>0</v>
      </c>
      <c r="F63" s="302" t="e">
        <f>SUM(F61:F62)</f>
        <v>#VALUE!</v>
      </c>
      <c r="G63" s="278"/>
      <c r="H63" s="277">
        <f>SUM(H61:H62)</f>
        <v>0</v>
      </c>
      <c r="I63" s="303" t="str">
        <f>IF(Sheet1!D$192=1,"         Total Benefits===&gt;","  Total Operating Cost=&gt;")</f>
        <v xml:space="preserve">         Total Benefits===&gt;</v>
      </c>
      <c r="J63" s="304"/>
      <c r="K63" s="277">
        <f>SUM(K61:K62)</f>
        <v>0</v>
      </c>
      <c r="L63" s="177"/>
      <c r="P63" s="296"/>
      <c r="Q63" s="296"/>
      <c r="R63" s="296"/>
      <c r="S63" s="296"/>
      <c r="T63" s="260"/>
      <c r="AB63" s="305" t="s">
        <v>316</v>
      </c>
      <c r="AD63" s="306"/>
      <c r="AE63" s="265"/>
      <c r="AF63" s="300"/>
      <c r="AG63" s="265"/>
      <c r="AH63" s="300"/>
      <c r="AI63" s="300"/>
      <c r="AJ63" s="265"/>
    </row>
    <row r="64" spans="1:36" ht="12.6" thickBot="1" x14ac:dyDescent="0.25">
      <c r="A64" s="274" t="str">
        <f>IF(Sheet1!D$192=1,"Adjusted  Invest Cost ","Adjusted Invest Cost (+)")</f>
        <v xml:space="preserve">Adjusted  Invest Cost </v>
      </c>
      <c r="B64" s="307"/>
      <c r="C64" s="308"/>
      <c r="D64" s="309" t="str">
        <f>IF(Sheet1!D$192=1,"(+)"," ")</f>
        <v>(+)</v>
      </c>
      <c r="E64" s="293" t="str">
        <f>IF(Sheet1!D$193=1,AE81,"Alt  'A'  not feasible")</f>
        <v>Alt  'A'  not feasible</v>
      </c>
      <c r="F64" s="270"/>
      <c r="G64" s="309" t="str">
        <f>IF(Sheet1!D$192=1,"(-)","(+) ")</f>
        <v>(-)</v>
      </c>
      <c r="H64" s="293" t="str">
        <f>IF(Sheet1!D$193=1,AG81,"Alt  'A'  not feasible")</f>
        <v>Alt  'A'  not feasible</v>
      </c>
      <c r="I64" s="310"/>
      <c r="J64" s="309" t="str">
        <f>IF(Sheet1!D$192=1,"(-)","(+) ")</f>
        <v>(-)</v>
      </c>
      <c r="K64" s="293" t="str">
        <f>IF(Sheet1!D$193=1,AJ81,"Alt  'A' not feasible")</f>
        <v>Alt  'A' not feasible</v>
      </c>
      <c r="L64" s="177"/>
      <c r="P64" s="296"/>
      <c r="Q64" s="296"/>
      <c r="R64" s="296"/>
      <c r="S64" s="296"/>
      <c r="T64" s="296"/>
      <c r="AB64" s="311" t="s">
        <v>317</v>
      </c>
      <c r="AC64" s="312"/>
      <c r="AD64" s="313"/>
      <c r="AE64" s="265"/>
      <c r="AF64" s="314"/>
      <c r="AG64" s="265"/>
      <c r="AH64" s="314"/>
      <c r="AI64" s="314"/>
      <c r="AJ64" s="265"/>
    </row>
    <row r="65" spans="1:36" ht="14.4" thickTop="1" thickBot="1" x14ac:dyDescent="0.3">
      <c r="A65" s="274" t="str">
        <f>IF(Sheet1!D$192=1,"Project Total Cost   =&gt;","Project Total Cost  =&gt;")</f>
        <v>Project Total Cost   =&gt;</v>
      </c>
      <c r="B65" s="307"/>
      <c r="C65" s="308"/>
      <c r="D65" s="296"/>
      <c r="E65" s="315" t="str">
        <f>IF(Sheet1!D$193=1,+E63+E64,"Alt  'A'  not feasible")</f>
        <v>Alt  'A'  not feasible</v>
      </c>
      <c r="F65" s="316"/>
      <c r="G65" s="303" t="str">
        <f>IF(Sheet1!D$192=1,IF(OR(Sheet1!D$8=2,Sheet1!D$8=3)," ","      NPV =&gt;"),"  ")</f>
        <v xml:space="preserve">      NPV =&gt;</v>
      </c>
      <c r="H65" s="315" t="str">
        <f>IF(Sheet1!D193=2,H64,IF(Sheet1!D$192=1,H63-H64,H63+H64))</f>
        <v>Alt  'A'  not feasible</v>
      </c>
      <c r="I65" s="303" t="str">
        <f>IF(Sheet1!D$192=1,"              Net Benefits =&gt;","     Project Total Cost=&gt;")</f>
        <v xml:space="preserve">              Net Benefits =&gt;</v>
      </c>
      <c r="J65" s="304"/>
      <c r="K65" s="315" t="e">
        <f>IF(Sheet1!D$192=1,K63-K64,K63+K64)</f>
        <v>#VALUE!</v>
      </c>
      <c r="L65" s="177"/>
      <c r="P65" s="296"/>
      <c r="Q65" s="296"/>
      <c r="R65" s="296"/>
      <c r="S65" s="296"/>
      <c r="T65" s="296"/>
      <c r="AB65" s="261">
        <f>IF(OR(Sheet1!D$192=1,Sheet1!D$193=1),VLOOKUP(1,Sheet1!A148:B197,2),NA())</f>
        <v>1</v>
      </c>
      <c r="AC65" s="261">
        <f>IF(OR(Sheet1!D$192=1,Sheet1!D$193=1),VLOOKUP(Sheet1!D$86,Sheet1!A80:B147,2),NA())</f>
        <v>2024</v>
      </c>
      <c r="AD65" s="317"/>
      <c r="AE65" s="263" t="str">
        <f>IF(AND(Sheet1!D$193=1,AB65&lt;&gt;" "),ROUND(VLOOKUP(AB65,AlternativeA!A$76:M$82,12),Sheet1!D$75),IF(Sheet1!D$193=1," ","Alt  'A'  not feasible"))</f>
        <v>Alt  'A'  not feasible</v>
      </c>
      <c r="AF65" s="264">
        <f>IF(AB65&lt;=Sheet1!D$148,IF(OR(Sheet1!D$8=2,Sheet1!D$8=3),1,ROUND(VLOOKUP(AB65,DiscFactorsLinInterp,HLOOKUP(Sheet1!D$148,DiscLinearInterp,1)),4))," ")</f>
        <v>1</v>
      </c>
      <c r="AG65" s="263" t="str">
        <f>IF(AND(Sheet1!D$193=1,AB65&lt;&gt;" "),ROUND(+AE65*AF65,Sheet1!D$75)," ")</f>
        <v xml:space="preserve"> </v>
      </c>
      <c r="AH65" s="264">
        <f>IF(AB65&lt;&gt;" ",ROUND(VLOOKUP(Sheet1!E$82,CHOOSE(Sheet1!D$212,Inflate1,Inflate2,Inflate3,Inflate4,Inflate5,Inflate6,Inflate7,Inflate8),2),4)," ")</f>
        <v>1</v>
      </c>
      <c r="AI65" s="264">
        <f>IF(AB65&lt;&gt;" ",ROUND(VLOOKUP(AC65,CHOOSE(Sheet1!D$212,Inflate1,Inflate2,Inflate3,Inflate4,Inflate5,Inflate6,Inflate7,Inflate8),3),4)," ")</f>
        <v>1.0225</v>
      </c>
      <c r="AJ65" s="263" t="str">
        <f>IF(AND(Sheet1!D$193=1,AB65&lt;&gt;" "),ROUND((AE65/AH65)*AI65,Sheet1!D$75)," ")</f>
        <v xml:space="preserve"> </v>
      </c>
    </row>
    <row r="66" spans="1:36" ht="12" thickTop="1" x14ac:dyDescent="0.2">
      <c r="A66" s="270"/>
      <c r="B66" s="270"/>
      <c r="D66" s="296"/>
      <c r="E66" s="296"/>
      <c r="F66" s="270"/>
      <c r="G66" s="304"/>
      <c r="H66" s="303" t="str">
        <f>IF(Sheet1!D$192=1,IF(OR(Sheet1!D$8=2,Sheet1!D$8=3),"  ^  Net Benefits  ^","^ Net Present Value^"),"^Project Total Cost^")</f>
        <v>^ Net Present Value^</v>
      </c>
      <c r="I66" s="310"/>
      <c r="J66" s="304"/>
      <c r="K66" s="260"/>
      <c r="L66" s="177"/>
      <c r="P66" s="296"/>
      <c r="Q66" s="296"/>
      <c r="R66" s="296"/>
      <c r="S66" s="296"/>
      <c r="T66" s="296"/>
      <c r="AB66" s="271" t="str">
        <f>IF(OR(Sheet1!D$192=1,Sheet1!D$193=1),IF(OR((AB65&gt;=(Sheet1!D$148+$A$11)-1),AND(Sheet1!D$8=3,AB65&gt;=6))," ",AB65+1),NA())</f>
        <v xml:space="preserve"> </v>
      </c>
      <c r="AC66" s="271" t="str">
        <f>IF(OR(Sheet1!D$192=1,Sheet1!D$193=1),IF(OR((AC65&gt;=(Sheet1!D$148+$B$11)-1),AND(Sheet1!D$8=3,AB65&gt;=6))," ",AC65+1),NA())</f>
        <v xml:space="preserve"> </v>
      </c>
      <c r="AD66" s="262"/>
      <c r="AE66" s="263" t="str">
        <f>IF(AND(Sheet1!D$193=1,AB66&lt;&gt;" "),ROUND(VLOOKUP(AB66,AlternativeA!A$76:M$82,12),Sheet1!D$75),IF(Sheet1!D$193=1," ","Alt  'A'  not feasible"))</f>
        <v>Alt  'A'  not feasible</v>
      </c>
      <c r="AF66" s="264" t="str">
        <f>IF(AB66&lt;=Sheet1!D$148,IF(OR(Sheet1!D$8=2,Sheet1!D$8=3),1,ROUND(VLOOKUP(AB66,DiscFactorsLinInterp,HLOOKUP(Sheet1!D$148,DiscLinearInterp,1)),4))," ")</f>
        <v xml:space="preserve"> </v>
      </c>
      <c r="AG66" s="263" t="str">
        <f>IF(AND(Sheet1!D$193=1,AB66&lt;&gt;" "),ROUND(+AE66*AF66,Sheet1!D$75)," ")</f>
        <v xml:space="preserve"> </v>
      </c>
      <c r="AH66" s="264" t="str">
        <f>IF(AB66&lt;&gt;" ",ROUND(VLOOKUP(Sheet1!E$82,CHOOSE(Sheet1!D$212,Inflate1,Inflate2,Inflate3,Inflate4,Inflate5,Inflate6,Inflate7,Inflate8),2),4)," ")</f>
        <v xml:space="preserve"> </v>
      </c>
      <c r="AI66" s="264" t="str">
        <f>IF(AB66&lt;&gt;" ",ROUND(VLOOKUP(AC66,CHOOSE(Sheet1!D$212,Inflate1,Inflate2,Inflate3,Inflate4,Inflate5,Inflate6,Inflate7,Inflate8),3),4)," ")</f>
        <v xml:space="preserve"> </v>
      </c>
      <c r="AJ66" s="263" t="str">
        <f>IF(AND(Sheet1!D$193=1,AB66&lt;&gt;" "),ROUND((AE66/AH66)*AI66,Sheet1!D$75)," ")</f>
        <v xml:space="preserve"> </v>
      </c>
    </row>
    <row r="67" spans="1:36" ht="11.4" x14ac:dyDescent="0.2">
      <c r="A67" s="270"/>
      <c r="B67" s="270"/>
      <c r="D67" s="296"/>
      <c r="E67" s="296"/>
      <c r="F67" s="270"/>
      <c r="G67" s="304"/>
      <c r="H67" s="296"/>
      <c r="I67" s="310"/>
      <c r="J67" s="304"/>
      <c r="K67" s="260"/>
      <c r="L67" s="177"/>
      <c r="P67" s="296"/>
      <c r="Q67" s="296"/>
      <c r="R67" s="296"/>
      <c r="S67" s="296"/>
      <c r="T67" s="296"/>
      <c r="AB67" s="271" t="str">
        <f>IF(OR(Sheet1!D$192=1,Sheet1!D$193=1),IF(OR((AB66&gt;=(Sheet1!D$148+$A$11)-1),AND(Sheet1!D$8=3,AB66&gt;=6))," ",AB66+1),NA())</f>
        <v xml:space="preserve"> </v>
      </c>
      <c r="AC67" s="271" t="str">
        <f>IF(OR(Sheet1!D$192=1,Sheet1!D$193=1),IF(OR((AC66&gt;=(Sheet1!D$148+$B$11)-1),AND(Sheet1!D$8=3,AB66&gt;=6))," ",AC66+1),NA())</f>
        <v xml:space="preserve"> </v>
      </c>
      <c r="AD67" s="262"/>
      <c r="AE67" s="263" t="str">
        <f>IF(AND(Sheet1!D$193=1,AB67&lt;&gt;" "),ROUND(VLOOKUP(AB67,AlternativeA!A$76:M$82,12),Sheet1!D$75),IF(Sheet1!D$193=1," ","Alt  'A'  not feasible"))</f>
        <v>Alt  'A'  not feasible</v>
      </c>
      <c r="AF67" s="264" t="str">
        <f>IF(AB67&lt;=Sheet1!D$148,IF(OR(Sheet1!D$8=2,Sheet1!D$8=3),1,ROUND(VLOOKUP(AB67,DiscFactorsLinInterp,HLOOKUP(Sheet1!D$148,DiscLinearInterp,1)),4))," ")</f>
        <v xml:space="preserve"> </v>
      </c>
      <c r="AG67" s="263" t="str">
        <f>IF(AND(Sheet1!D$193=1,AB67&lt;&gt;" "),ROUND(+AE67*AF67,Sheet1!D$75)," ")</f>
        <v xml:space="preserve"> </v>
      </c>
      <c r="AH67" s="264" t="str">
        <f>IF(AB67&lt;&gt;" ",ROUND(VLOOKUP(Sheet1!E$82,CHOOSE(Sheet1!D$212,Inflate1,Inflate2,Inflate3,Inflate4,Inflate5,Inflate6,Inflate7,Inflate8),2),4)," ")</f>
        <v xml:space="preserve"> </v>
      </c>
      <c r="AI67" s="264" t="str">
        <f>IF(AB67&lt;&gt;" ",ROUND(VLOOKUP(AC67,CHOOSE(Sheet1!D$212,Inflate1,Inflate2,Inflate3,Inflate4,Inflate5,Inflate6,Inflate7,Inflate8),3),4)," ")</f>
        <v xml:space="preserve"> </v>
      </c>
      <c r="AJ67" s="263" t="str">
        <f>IF(AND(Sheet1!D$193=1,AB67&lt;&gt;" "),ROUND((AE67/AH67)*AI67,Sheet1!D$75)," ")</f>
        <v xml:space="preserve"> </v>
      </c>
    </row>
    <row r="68" spans="1:36" ht="13.2" x14ac:dyDescent="0.25">
      <c r="A68" s="316"/>
      <c r="B68" s="316"/>
      <c r="C68" s="316"/>
      <c r="D68" s="316"/>
      <c r="E68" s="316"/>
      <c r="F68" s="316"/>
      <c r="G68" s="316"/>
      <c r="H68" s="316"/>
      <c r="I68" s="316"/>
      <c r="J68" s="316"/>
      <c r="K68" s="316"/>
      <c r="L68" s="177"/>
      <c r="P68" s="296"/>
      <c r="Q68" s="296"/>
      <c r="R68" s="296"/>
      <c r="S68" s="296"/>
      <c r="T68" s="296"/>
      <c r="AB68" s="271" t="str">
        <f>IF(OR(Sheet1!D$192=1,Sheet1!D$193=1),IF(OR((AB67&gt;=(Sheet1!D$148+$A$11)-1),AND(Sheet1!D$8=3,AB67&gt;=6))," ",AB67+1),NA())</f>
        <v xml:space="preserve"> </v>
      </c>
      <c r="AC68" s="271" t="str">
        <f>IF(OR(Sheet1!D$192=1,Sheet1!D$193=1),IF(OR((AC67&gt;=(Sheet1!D$148+$B$11)-1),AND(Sheet1!D$8=3,AB67&gt;=6))," ",AC67+1),NA())</f>
        <v xml:space="preserve"> </v>
      </c>
      <c r="AD68" s="262"/>
      <c r="AE68" s="263" t="str">
        <f>IF(AND(Sheet1!D$193=1,AB68&lt;&gt;" "),ROUND(VLOOKUP(AB68,AlternativeA!A$76:M$82,12),Sheet1!D$75),IF(Sheet1!D$193=1," ","Alt  'A'  not feasible"))</f>
        <v>Alt  'A'  not feasible</v>
      </c>
      <c r="AF68" s="264" t="str">
        <f>IF(AB68&lt;=Sheet1!D$148,IF(OR(Sheet1!D$8=2,Sheet1!D$8=3),1,ROUND(VLOOKUP(AB68,DiscFactorsLinInterp,HLOOKUP(Sheet1!D$148,DiscLinearInterp,1)),4))," ")</f>
        <v xml:space="preserve"> </v>
      </c>
      <c r="AG68" s="263" t="str">
        <f>IF(AND(Sheet1!D$193=1,AB68&lt;&gt;" "),ROUND(+AE68*AF68,Sheet1!D$75)," ")</f>
        <v xml:space="preserve"> </v>
      </c>
      <c r="AH68" s="264" t="str">
        <f>IF(AB68&lt;&gt;" ",ROUND(VLOOKUP(Sheet1!E$82,CHOOSE(Sheet1!D$212,Inflate1,Inflate2,Inflate3,Inflate4,Inflate5,Inflate6,Inflate7,Inflate8),2),4)," ")</f>
        <v xml:space="preserve"> </v>
      </c>
      <c r="AI68" s="264" t="str">
        <f>IF(AB68&lt;&gt;" ",ROUND(VLOOKUP(AC68,CHOOSE(Sheet1!D$212,Inflate1,Inflate2,Inflate3,Inflate4,Inflate5,Inflate6,Inflate7,Inflate8),3),4)," ")</f>
        <v xml:space="preserve"> </v>
      </c>
      <c r="AJ68" s="263" t="str">
        <f>IF(AND(Sheet1!D$193=1,AB68&lt;&gt;" "),ROUND((AE68/AH68)*AI68,Sheet1!D$75)," ")</f>
        <v xml:space="preserve"> </v>
      </c>
    </row>
    <row r="69" spans="1:36" ht="13.8" thickBot="1" x14ac:dyDescent="0.3">
      <c r="A69" s="316"/>
      <c r="B69" s="316"/>
      <c r="C69" s="316"/>
      <c r="D69" s="316"/>
      <c r="E69" s="316"/>
      <c r="F69" s="316"/>
      <c r="G69" s="316"/>
      <c r="H69" s="316"/>
      <c r="I69" s="316"/>
      <c r="J69" s="316"/>
      <c r="K69" s="316"/>
      <c r="L69" s="177"/>
      <c r="P69" s="296"/>
      <c r="Q69" s="296"/>
      <c r="R69" s="296"/>
      <c r="S69" s="296"/>
      <c r="T69" s="296"/>
      <c r="AB69" s="271" t="str">
        <f>IF(OR(Sheet1!D$192=1,Sheet1!D$193=1),IF(OR((AB68&gt;=(Sheet1!D$148+$A$11)-1),AND(Sheet1!D$8=3,AB68&gt;=6))," ",AB68+1),NA())</f>
        <v xml:space="preserve"> </v>
      </c>
      <c r="AC69" s="271" t="str">
        <f>IF(OR(Sheet1!D$192=1,Sheet1!D$193=1),IF(OR((AC68&gt;=(Sheet1!D$148+$B$11)-1),AND(Sheet1!D$8=3,AB68&gt;=6))," ",AC68+1),NA())</f>
        <v xml:space="preserve"> </v>
      </c>
      <c r="AD69" s="262"/>
      <c r="AE69" s="263" t="str">
        <f>IF(AND(Sheet1!D$193=1,AB69&lt;&gt;" "),ROUND(VLOOKUP(AB69,AlternativeA!A$76:M$82,12),Sheet1!D$75),IF(Sheet1!D$193=1," ","Alt  'A'  not feasible"))</f>
        <v>Alt  'A'  not feasible</v>
      </c>
      <c r="AF69" s="264" t="str">
        <f>IF(AB69&lt;=Sheet1!D$148,IF(OR(Sheet1!D$8=2,Sheet1!D$8=3),1,ROUND(VLOOKUP(AB69,DiscFactorsLinInterp,HLOOKUP(Sheet1!D$148,DiscLinearInterp,1)),4))," ")</f>
        <v xml:space="preserve"> </v>
      </c>
      <c r="AG69" s="263" t="str">
        <f>IF(AND(Sheet1!D$193=1,AB69&lt;&gt;" "),ROUND(+AE69*AF69,Sheet1!D$75)," ")</f>
        <v xml:space="preserve"> </v>
      </c>
      <c r="AH69" s="264" t="str">
        <f>IF(AB69&lt;&gt;" ",ROUND(VLOOKUP(Sheet1!E$82,CHOOSE(Sheet1!D$212,Inflate1,Inflate2,Inflate3,Inflate4,Inflate5,Inflate6,Inflate7,Inflate8),2),4)," ")</f>
        <v xml:space="preserve"> </v>
      </c>
      <c r="AI69" s="264" t="str">
        <f>IF(AB69&lt;&gt;" ",ROUND(VLOOKUP(AC69,CHOOSE(Sheet1!D$212,Inflate1,Inflate2,Inflate3,Inflate4,Inflate5,Inflate6,Inflate7,Inflate8),3),4)," ")</f>
        <v xml:space="preserve"> </v>
      </c>
      <c r="AJ69" s="263" t="str">
        <f>IF(AND(Sheet1!D$193=1,AB69&lt;&gt;" "),ROUND((AE69/AH69)*AI69,Sheet1!D$75)," ")</f>
        <v xml:space="preserve"> </v>
      </c>
    </row>
    <row r="70" spans="1:36" ht="13.8" thickTop="1" x14ac:dyDescent="0.25">
      <c r="A70" s="318" t="str">
        <f>IF(Sheet1!D$192=1,"7.  Summary Information (Status Quo versus Alternative A)","7.  Summary Information (Alternative A)")</f>
        <v>7.  Summary Information (Status Quo versus Alternative A)</v>
      </c>
      <c r="B70" s="319"/>
      <c r="C70" s="320"/>
      <c r="D70" s="321"/>
      <c r="E70" s="321"/>
      <c r="F70" s="319"/>
      <c r="G70" s="322"/>
      <c r="H70" s="321"/>
      <c r="I70" s="323"/>
      <c r="J70" s="322"/>
      <c r="K70" s="324"/>
      <c r="L70" s="325"/>
      <c r="P70" s="296"/>
      <c r="Q70" s="296"/>
      <c r="R70" s="296"/>
      <c r="S70" s="296"/>
      <c r="T70" s="296"/>
      <c r="AB70" s="271" t="str">
        <f>IF(OR(Sheet1!D$192=1,Sheet1!D$193=1),IF(OR((AB69&gt;=(Sheet1!D$148+$A$11)-1),AND(Sheet1!D$8=3,AB69&gt;=6))," ",AB69+1),NA())</f>
        <v xml:space="preserve"> </v>
      </c>
      <c r="AC70" s="271" t="str">
        <f>IF(OR(Sheet1!D$192=1,Sheet1!D$193=1),IF(OR((AC69&gt;=(Sheet1!D$148+$B$11)-1),AND(Sheet1!D$8=3,AB69&gt;=6))," ",AC69+1),NA())</f>
        <v xml:space="preserve"> </v>
      </c>
      <c r="AD70" s="262"/>
      <c r="AE70" s="263" t="str">
        <f>IF(AND(Sheet1!D$193=1,AB70&lt;&gt;" "),ROUND(VLOOKUP(AB70,AlternativeA!A$76:M$82,12),Sheet1!D$75),IF(Sheet1!D$193=1," ","Alt  'A'  not feasible"))</f>
        <v>Alt  'A'  not feasible</v>
      </c>
      <c r="AF70" s="264" t="str">
        <f>IF(AB70&lt;=Sheet1!D$148,IF(OR(Sheet1!D$8=2,Sheet1!D$8=3),1,ROUND(VLOOKUP(AB70,DiscFactorsLinInterp,HLOOKUP(Sheet1!D$148,DiscLinearInterp,1)),4))," ")</f>
        <v xml:space="preserve"> </v>
      </c>
      <c r="AG70" s="263" t="str">
        <f>IF(AND(Sheet1!D$193=1,AB70&lt;&gt;" "),ROUND(+AE70*AF70,Sheet1!D$75)," ")</f>
        <v xml:space="preserve"> </v>
      </c>
      <c r="AH70" s="264" t="str">
        <f>IF(AB70&lt;&gt;" ",ROUND(VLOOKUP(Sheet1!E$82,CHOOSE(Sheet1!D$212,Inflate1,Inflate2,Inflate3,Inflate4,Inflate5,Inflate6,Inflate7,Inflate8),2),4)," ")</f>
        <v xml:space="preserve"> </v>
      </c>
      <c r="AI70" s="264" t="str">
        <f>IF(AB70&lt;&gt;" ",ROUND(VLOOKUP(AC70,CHOOSE(Sheet1!D$212,Inflate1,Inflate2,Inflate3,Inflate4,Inflate5,Inflate6,Inflate7,Inflate8),3),4)," ")</f>
        <v xml:space="preserve"> </v>
      </c>
      <c r="AJ70" s="263" t="str">
        <f>IF(AND(Sheet1!D$193=1,AB70&lt;&gt;" "),ROUND((AE70/AH70)*AI70,Sheet1!D$75)," ")</f>
        <v xml:space="preserve"> </v>
      </c>
    </row>
    <row r="71" spans="1:36" ht="13.2" x14ac:dyDescent="0.25">
      <c r="A71" s="326"/>
      <c r="B71" s="270"/>
      <c r="D71" s="296"/>
      <c r="E71" s="296"/>
      <c r="F71" s="270"/>
      <c r="G71" s="304"/>
      <c r="H71" s="296"/>
      <c r="I71" s="310"/>
      <c r="J71" s="304"/>
      <c r="K71" s="327"/>
      <c r="L71" s="325"/>
      <c r="P71" s="296"/>
      <c r="Q71" s="296"/>
      <c r="R71" s="296"/>
      <c r="S71" s="296"/>
      <c r="T71" s="296"/>
      <c r="AB71" s="271" t="str">
        <f>IF(OR(Sheet1!D$192=1,Sheet1!D$193=1),IF(OR((AB70&gt;=(Sheet1!D$148+$A$11)-1),AND(Sheet1!D$8=3,AB70&gt;=6))," ",AB70+1),NA())</f>
        <v xml:space="preserve"> </v>
      </c>
      <c r="AC71" s="271" t="str">
        <f>IF(OR(Sheet1!D$192=1,Sheet1!D$193=1),IF(OR((AC70&gt;=(Sheet1!D$148+$B$11)-1),AND(Sheet1!D$8=3,AB70&gt;=6))," ",AC70+1),NA())</f>
        <v xml:space="preserve"> </v>
      </c>
      <c r="AD71" s="328"/>
      <c r="AE71" s="263" t="str">
        <f>IF(AND(Sheet1!D$193=1,AB71&lt;&gt;" "),ROUND(VLOOKUP(AB71,AlternativeA!A$76:M$82,12),Sheet1!D$75),IF(Sheet1!D$193=1," ","Alt  'A'  not feasible"))</f>
        <v>Alt  'A'  not feasible</v>
      </c>
      <c r="AF71" s="264" t="str">
        <f>IF(AB71&lt;=Sheet1!D$148,IF(OR(Sheet1!D$8=2,Sheet1!D$8=3),1,ROUND(VLOOKUP(AB71,DiscFactorsLinInterp,HLOOKUP(Sheet1!D$148,DiscLinearInterp,1)),4))," ")</f>
        <v xml:space="preserve"> </v>
      </c>
      <c r="AG71" s="263" t="str">
        <f>IF(AND(Sheet1!D$193=1,AB71&lt;&gt;" "),ROUND(+AE71*AF71,Sheet1!D$75)," ")</f>
        <v xml:space="preserve"> </v>
      </c>
      <c r="AH71" s="264" t="str">
        <f>IF(AB71&lt;&gt;" ",ROUND(VLOOKUP(Sheet1!E$82,CHOOSE(Sheet1!D$212,Inflate1,Inflate2,Inflate3,Inflate4,Inflate5,Inflate6,Inflate7,Inflate8),2),4)," ")</f>
        <v xml:space="preserve"> </v>
      </c>
      <c r="AI71" s="264" t="str">
        <f>IF(AB71&lt;&gt;" ",ROUND(VLOOKUP(AC71,CHOOSE(Sheet1!D$212,Inflate1,Inflate2,Inflate3,Inflate4,Inflate5,Inflate6,Inflate7,Inflate8),3),4)," ")</f>
        <v xml:space="preserve"> </v>
      </c>
      <c r="AJ71" s="263" t="str">
        <f>IF(AND(Sheet1!D$193=1,AB71&lt;&gt;" "),ROUND((AE71/AH71)*AI71,Sheet1!D$75)," ")</f>
        <v xml:space="preserve"> </v>
      </c>
    </row>
    <row r="72" spans="1:36" ht="13.2" x14ac:dyDescent="0.25">
      <c r="A72" s="329"/>
      <c r="B72" s="316"/>
      <c r="C72" s="330" t="str">
        <f>IF(Sheet1!D$192=1,"o    TOTAL BENEFITS  "," ")</f>
        <v xml:space="preserve">o    TOTAL BENEFITS  </v>
      </c>
      <c r="D72" s="316"/>
      <c r="E72" s="296"/>
      <c r="F72" s="270"/>
      <c r="G72" s="304"/>
      <c r="H72" s="260">
        <f>IF(Sheet1!D$192=1,K63," ")</f>
        <v>0</v>
      </c>
      <c r="I72" s="310" t="str">
        <f>IF(Sheet1!D$192=1,"(Current Dollars)"," ")</f>
        <v>(Current Dollars)</v>
      </c>
      <c r="J72" s="316"/>
      <c r="K72" s="331" t="str">
        <f>IF(Sheet1!D$192=1,"(block 6j.)"," ")</f>
        <v>(block 6j.)</v>
      </c>
      <c r="L72" s="325"/>
      <c r="P72" s="296"/>
      <c r="Q72" s="296"/>
      <c r="R72" s="296"/>
      <c r="S72" s="296"/>
      <c r="T72" s="296"/>
      <c r="AB72" s="297" t="s">
        <v>314</v>
      </c>
      <c r="AC72" s="298"/>
      <c r="AD72" s="299"/>
      <c r="AE72" s="265"/>
      <c r="AF72" s="289"/>
      <c r="AG72" s="265"/>
      <c r="AH72" s="289"/>
      <c r="AI72" s="289"/>
      <c r="AJ72" s="265"/>
    </row>
    <row r="73" spans="1:36" ht="13.2" x14ac:dyDescent="0.25">
      <c r="A73" s="329"/>
      <c r="B73" s="316"/>
      <c r="C73" s="330" t="str">
        <f>IF(Sheet1!D$192=1,"o    NEW INVESTMENT COST","o   NEW INVESTMENT COST")</f>
        <v>o    NEW INVESTMENT COST</v>
      </c>
      <c r="D73" s="316"/>
      <c r="E73" s="296"/>
      <c r="F73" s="270"/>
      <c r="G73" s="304"/>
      <c r="H73" s="260">
        <f>IF(OR(Sheet1!D$192=1,Sheet1!D$193=1),AJ61," ")</f>
        <v>0</v>
      </c>
      <c r="I73" s="310" t="str">
        <f>IF(Sheet1!D$192=1,"(Current Dollars)","(Current Dollars) ")</f>
        <v>(Current Dollars)</v>
      </c>
      <c r="J73" s="316"/>
      <c r="K73" s="331" t="str">
        <f>IF(Sheet1!D$192=1,"(block A8.)",IF(Sheet1!D$193=1,"(block A8.)"," "))</f>
        <v>(block A8.)</v>
      </c>
      <c r="L73" s="325"/>
      <c r="P73" s="296"/>
      <c r="Q73" s="296"/>
      <c r="R73" s="296"/>
      <c r="S73" s="296"/>
      <c r="T73" s="296"/>
      <c r="AB73" s="311" t="s">
        <v>318</v>
      </c>
      <c r="AC73" s="312"/>
      <c r="AD73" s="313"/>
      <c r="AE73" s="265"/>
      <c r="AF73" s="314"/>
      <c r="AG73" s="265"/>
      <c r="AH73" s="314"/>
      <c r="AI73" s="314"/>
      <c r="AJ73" s="265"/>
    </row>
    <row r="74" spans="1:36" ht="13.2" x14ac:dyDescent="0.25">
      <c r="A74" s="329"/>
      <c r="B74" s="316"/>
      <c r="C74" s="330" t="str">
        <f>IF(Sheet1!D$192=1,IF(OR(Sheet1!D$8=2,Sheet1!D$8=3),"o    NET BENEFITS","o    NET PRESENT VALUE "),IF(OR(Sheet1!D$8=2,Sheet1!D$8=3),"o   NET VALUE OF PROJ TOTAL COST","o   PRESENT VALUE OF PROJ TOTAL COST"))</f>
        <v xml:space="preserve">o    NET PRESENT VALUE </v>
      </c>
      <c r="D74" s="316"/>
      <c r="E74" s="296"/>
      <c r="F74" s="270"/>
      <c r="G74" s="304"/>
      <c r="H74" s="260" t="str">
        <f>IF(OR(Sheet1!D$192=1,Sheet1!D$193=1),H65," ")</f>
        <v>Alt  'A'  not feasible</v>
      </c>
      <c r="I74" s="310" t="str">
        <f>IF(Sheet1!D$192=1,IF(OR(Sheet1!D$8=2,Sheet1!D$8=3),"(Constant Dollars)","(Discounted Dollars)"),IF(OR(Sheet1!D$8=2,Sheet1!D$8=3),"(Constant Dollars)","(Discounted Dollars)"))</f>
        <v>(Discounted Dollars)</v>
      </c>
      <c r="J74" s="316"/>
      <c r="K74" s="331" t="str">
        <f>IF(Sheet1!D$192=1,"(block 6g.)",IF(Sheet1!D$193=1,"(block 6e.)"," "))</f>
        <v>(block 6g.)</v>
      </c>
      <c r="L74" s="177"/>
      <c r="P74" s="296"/>
      <c r="Q74" s="296"/>
      <c r="R74" s="296"/>
      <c r="S74" s="296"/>
      <c r="T74" s="296"/>
      <c r="AB74" s="261">
        <f>IF(OR(Sheet1!D$192=1,Sheet1!D$193=1),VLOOKUP(1,Sheet1!A148:B197,2),NA())</f>
        <v>1</v>
      </c>
      <c r="AC74" s="261">
        <f>IF(OR(Sheet1!D$192=1,Sheet1!D$193=1),VLOOKUP(Sheet1!D$86,Sheet1!A80:B147,2),NA())</f>
        <v>2024</v>
      </c>
      <c r="AD74" s="317"/>
      <c r="AE74" s="263" t="str">
        <f>IF(AND(Sheet1!D$193=1,AB74&lt;&gt;" "),ROUND(VLOOKUP(AB74,AlternativeA!A$92:M$98,12),Sheet1!D$75),IF(Sheet1!D$193=1," ","Alt  'A'  not feasible"))</f>
        <v>Alt  'A'  not feasible</v>
      </c>
      <c r="AF74" s="264">
        <f>IF(AB74&lt;=Sheet1!D$148,IF(OR(Sheet1!D$8=2,Sheet1!D$8=3),1,ROUND(VLOOKUP(AB74,DiscFactorsLinInterp,HLOOKUP(Sheet1!D$148,DiscLinearInterp,1)),4))," ")</f>
        <v>1</v>
      </c>
      <c r="AG74" s="263" t="str">
        <f>IF(AND(Sheet1!D$193=1,AB74&lt;&gt;" "),ROUND(+AE74*AF74,Sheet1!D$75)," ")</f>
        <v xml:space="preserve"> </v>
      </c>
      <c r="AH74" s="264">
        <f>IF(AB74&lt;&gt;" ",ROUND(VLOOKUP(Sheet1!E$82,CHOOSE(Sheet1!D$212,Inflate1,Inflate2,Inflate3,Inflate4,Inflate5,Inflate6,Inflate7,Inflate8),2),4)," ")</f>
        <v>1</v>
      </c>
      <c r="AI74" s="264">
        <f>IF(AB74&lt;&gt;" ",ROUND(VLOOKUP(AC74,CHOOSE(Sheet1!D$212,Inflate1,Inflate2,Inflate3,Inflate4,Inflate5,Inflate6,Inflate7,Inflate8),3),4)," ")</f>
        <v>1.0225</v>
      </c>
      <c r="AJ74" s="263" t="str">
        <f>IF(AND(Sheet1!D$193=1,AB74&lt;&gt;" "),ROUND((AE74/AH74)*AI74,Sheet1!D$75)," ")</f>
        <v xml:space="preserve"> </v>
      </c>
    </row>
    <row r="75" spans="1:36" ht="13.2" x14ac:dyDescent="0.25">
      <c r="A75" s="329"/>
      <c r="B75" s="316"/>
      <c r="C75" s="330" t="str">
        <f>IF(Sheet1!D$192=1,IF(OR(Sheet1!D$8=2,Sheet1!D$8=3),"o    BENEFIT TO INVESTMENT RATIO (BIR) (Constant Dollars)","o    BENEFIT TO INVESTMENT RATIO (BIR) (Discounted Dollars)"),IF(OR(Sheet1!D$8=2,Sheet1!D$8=3),"     This Cost Comparison is limited to maximum 6 year evaluation period (unless project life &lt; 6 years)"," "))</f>
        <v>o    BENEFIT TO INVESTMENT RATIO (BIR) (Discounted Dollars)</v>
      </c>
      <c r="D75" s="316"/>
      <c r="E75" s="296"/>
      <c r="F75" s="270"/>
      <c r="G75" s="304"/>
      <c r="H75" s="332"/>
      <c r="I75" s="310"/>
      <c r="J75" s="316"/>
      <c r="K75" s="333"/>
      <c r="L75" s="177"/>
      <c r="P75" s="296"/>
      <c r="Q75" s="296"/>
      <c r="R75" s="296"/>
      <c r="S75" s="296"/>
      <c r="T75" s="296"/>
      <c r="AB75" s="271" t="str">
        <f>IF(OR(Sheet1!D$192=1,Sheet1!D$193=1),IF(OR((AB74&gt;=(Sheet1!D$148+$A$11)-1),AND(Sheet1!D$8=3,AB74&gt;=6))," ",AB74+1),NA())</f>
        <v xml:space="preserve"> </v>
      </c>
      <c r="AC75" s="271" t="str">
        <f>IF(OR(Sheet1!D$192=1,Sheet1!D$193=1),IF(OR((AC74&gt;=(Sheet1!D$148+$B$11)-1),AND(Sheet1!D$8=3,AB74&gt;=6))," ",AC74+1),NA())</f>
        <v xml:space="preserve"> </v>
      </c>
      <c r="AD75" s="262"/>
      <c r="AE75" s="263" t="str">
        <f>IF(AND(Sheet1!D$193=1,AB75&lt;&gt;" "),ROUND(VLOOKUP(AB75,AlternativeA!A$92:M$98,12),Sheet1!D$75),IF(Sheet1!D$193=1," ","Alt  'A'  not feasible"))</f>
        <v>Alt  'A'  not feasible</v>
      </c>
      <c r="AF75" s="264" t="str">
        <f>IF(AB75&lt;=Sheet1!D$148,IF(OR(Sheet1!D$8=2,Sheet1!D$8=3),1,ROUND(VLOOKUP(AB75,DiscFactorsLinInterp,HLOOKUP(Sheet1!D$148,DiscLinearInterp,1)),4))," ")</f>
        <v xml:space="preserve"> </v>
      </c>
      <c r="AG75" s="263" t="str">
        <f>IF(AND(Sheet1!D$193=1,AB75&lt;&gt;" "),ROUND(+AE75*AF75,Sheet1!D$75)," ")</f>
        <v xml:space="preserve"> </v>
      </c>
      <c r="AH75" s="264" t="str">
        <f>IF(AB75&lt;&gt;" ",ROUND(VLOOKUP(Sheet1!E$82,CHOOSE(Sheet1!D$212,Inflate1,Inflate2,Inflate3,Inflate4,Inflate5,Inflate6,Inflate7,Inflate8),2),4)," ")</f>
        <v xml:space="preserve"> </v>
      </c>
      <c r="AI75" s="264" t="str">
        <f>IF(AB75&lt;&gt;" ",ROUND(VLOOKUP(AC75,CHOOSE(Sheet1!D$212,Inflate1,Inflate2,Inflate3,Inflate4,Inflate5,Inflate6,Inflate7,Inflate8),3),4)," ")</f>
        <v xml:space="preserve"> </v>
      </c>
      <c r="AJ75" s="263" t="str">
        <f>IF(AND(Sheet1!D$193=1,AB75&lt;&gt;" "),ROUND((AE75/AH75)*AI75,Sheet1!D$75)," ")</f>
        <v xml:space="preserve"> </v>
      </c>
    </row>
    <row r="76" spans="1:36" ht="13.2" x14ac:dyDescent="0.25">
      <c r="A76" s="329"/>
      <c r="B76" s="316"/>
      <c r="C76" s="334" t="str">
        <f>IF(Sheet1!D$192=1,IF(Sheet1!D$8=3,"      BIR limited to 6 year evaluation period (or  project life if &lt; 6 years)","      BIR based on entire project life ")," ")</f>
        <v xml:space="preserve">      BIR based on entire project life </v>
      </c>
      <c r="D76" s="316"/>
      <c r="E76" s="296"/>
      <c r="F76" s="270"/>
      <c r="G76" s="304"/>
      <c r="H76" s="296"/>
      <c r="I76" s="310"/>
      <c r="J76" s="304"/>
      <c r="K76" s="327"/>
      <c r="L76" s="177"/>
      <c r="P76" s="296"/>
      <c r="Q76" s="296"/>
      <c r="R76" s="296"/>
      <c r="S76" s="296"/>
      <c r="T76" s="296"/>
      <c r="AB76" s="271" t="str">
        <f>IF(OR(Sheet1!D$192=1,Sheet1!D$193=1),IF(OR((AB75&gt;=(Sheet1!D$148+$A$11)-1),AND(Sheet1!D$8=3,AB75&gt;=6))," ",AB75+1),NA())</f>
        <v xml:space="preserve"> </v>
      </c>
      <c r="AC76" s="271" t="str">
        <f>IF(OR(Sheet1!D$192=1,Sheet1!D$193=1),IF(OR((AC75&gt;=(Sheet1!D$148+$B$11)-1),AND(Sheet1!D$8=3,AB75&gt;=6))," ",AC75+1),NA())</f>
        <v xml:space="preserve"> </v>
      </c>
      <c r="AD76" s="262"/>
      <c r="AE76" s="263" t="str">
        <f>IF(AND(Sheet1!D$193=1,AB76&lt;&gt;" "),ROUND(VLOOKUP(AB76,AlternativeA!A$92:M$98,12),Sheet1!D$75),IF(Sheet1!D$193=1," ","Alt  'A'  not feasible"))</f>
        <v>Alt  'A'  not feasible</v>
      </c>
      <c r="AF76" s="264" t="str">
        <f>IF(AB76&lt;=Sheet1!D$148,IF(OR(Sheet1!D$8=2,Sheet1!D$8=3),1,ROUND(VLOOKUP(AB76,DiscFactorsLinInterp,HLOOKUP(Sheet1!D$148,DiscLinearInterp,1)),4))," ")</f>
        <v xml:space="preserve"> </v>
      </c>
      <c r="AG76" s="263" t="str">
        <f>IF(AND(Sheet1!D$193=1,AB76&lt;&gt;" "),ROUND(+AE76*AF76,Sheet1!D$75)," ")</f>
        <v xml:space="preserve"> </v>
      </c>
      <c r="AH76" s="264" t="str">
        <f>IF(AB76&lt;&gt;" ",ROUND(VLOOKUP(Sheet1!E$82,CHOOSE(Sheet1!D$212,Inflate1,Inflate2,Inflate3,Inflate4,Inflate5,Inflate6,Inflate7,Inflate8),2),4)," ")</f>
        <v xml:space="preserve"> </v>
      </c>
      <c r="AI76" s="264" t="str">
        <f>IF(AB76&lt;&gt;" ",ROUND(VLOOKUP(AC76,CHOOSE(Sheet1!D$212,Inflate1,Inflate2,Inflate3,Inflate4,Inflate5,Inflate6,Inflate7,Inflate8),3),4)," ")</f>
        <v xml:space="preserve"> </v>
      </c>
      <c r="AJ76" s="263" t="str">
        <f>IF(AND(Sheet1!D$193=1,AB76&lt;&gt;" "),ROUND((AE76/AH76)*AI76,Sheet1!D$75)," ")</f>
        <v xml:space="preserve"> </v>
      </c>
    </row>
    <row r="77" spans="1:36" ht="13.2" x14ac:dyDescent="0.25">
      <c r="A77" s="329"/>
      <c r="B77" s="316"/>
      <c r="C77" s="316"/>
      <c r="D77" s="316"/>
      <c r="E77" s="270" t="str">
        <f>IF(Sheet1!D$192=1,"      Benefits ","BIR not applicable since")</f>
        <v xml:space="preserve">      Benefits </v>
      </c>
      <c r="F77" s="316"/>
      <c r="G77" s="316"/>
      <c r="H77" s="260">
        <f>IF(Sheet1!D$192=1,H63," ")</f>
        <v>0</v>
      </c>
      <c r="I77" s="310" t="str">
        <f>IF(Sheet1!D$192=1,IF(OR(Sheet1!D$8=2,Sheet1!D$8=3),"Constant Dollars","(Discounted Dollars)")," ")</f>
        <v>(Discounted Dollars)</v>
      </c>
      <c r="J77" s="304"/>
      <c r="K77" s="335" t="str">
        <f>IF(Sheet1!D$192=1,IF(OR(Sheet1!D$8=2,Sheet1!D$8=3),"(block 6g.)","(block 6g.)")," ")</f>
        <v>(block 6g.)</v>
      </c>
      <c r="L77" s="177"/>
      <c r="P77" s="296"/>
      <c r="Q77" s="296"/>
      <c r="R77" s="296"/>
      <c r="S77" s="296"/>
      <c r="T77" s="296"/>
      <c r="AB77" s="271" t="str">
        <f>IF(OR(Sheet1!D$192=1,Sheet1!D$193=1),IF(OR((AB76&gt;=(Sheet1!D$148+$A$11)-1),AND(Sheet1!D$8=3,AB76&gt;=6))," ",AB76+1),NA())</f>
        <v xml:space="preserve"> </v>
      </c>
      <c r="AC77" s="271" t="str">
        <f>IF(OR(Sheet1!D$192=1,Sheet1!D$193=1),IF(OR((AC76&gt;=(Sheet1!D$148+$B$11)-1),AND(Sheet1!D$8=3,AB76&gt;=6))," ",AC76+1),NA())</f>
        <v xml:space="preserve"> </v>
      </c>
      <c r="AD77" s="262"/>
      <c r="AE77" s="263" t="str">
        <f>IF(AND(Sheet1!D$193=1,AB77&lt;&gt;" "),ROUND(VLOOKUP(AB77,AlternativeA!A$92:M$98,12),Sheet1!D$75),IF(Sheet1!D$193=1," ","Alt  'A'  not feasible"))</f>
        <v>Alt  'A'  not feasible</v>
      </c>
      <c r="AF77" s="264" t="str">
        <f>IF(AB77&lt;=Sheet1!D$148,IF(OR(Sheet1!D$8=2,Sheet1!D$8=3),1,ROUND(VLOOKUP(AB77,DiscFactorsLinInterp,HLOOKUP(Sheet1!D$148,DiscLinearInterp,1)),4))," ")</f>
        <v xml:space="preserve"> </v>
      </c>
      <c r="AG77" s="263" t="str">
        <f>IF(AND(Sheet1!D$193=1,AB77&lt;&gt;" "),ROUND(+AE77*AF77,Sheet1!D$75)," ")</f>
        <v xml:space="preserve"> </v>
      </c>
      <c r="AH77" s="264" t="str">
        <f>IF(AB77&lt;&gt;" ",ROUND(VLOOKUP(Sheet1!E$82,CHOOSE(Sheet1!D$212,Inflate1,Inflate2,Inflate3,Inflate4,Inflate5,Inflate6,Inflate7,Inflate8),2),4)," ")</f>
        <v xml:space="preserve"> </v>
      </c>
      <c r="AI77" s="264" t="str">
        <f>IF(AB77&lt;&gt;" ",ROUND(VLOOKUP(AC77,CHOOSE(Sheet1!D$212,Inflate1,Inflate2,Inflate3,Inflate4,Inflate5,Inflate6,Inflate7,Inflate8),3),4)," ")</f>
        <v xml:space="preserve"> </v>
      </c>
      <c r="AJ77" s="263" t="str">
        <f>IF(AND(Sheet1!D$193=1,AB77&lt;&gt;" "),ROUND((AE77/AH77)*AI77,Sheet1!D$75)," ")</f>
        <v xml:space="preserve"> </v>
      </c>
    </row>
    <row r="78" spans="1:36" ht="13.2" x14ac:dyDescent="0.25">
      <c r="A78" s="329"/>
      <c r="B78" s="316"/>
      <c r="C78" s="316"/>
      <c r="D78" s="316"/>
      <c r="E78" s="171" t="str">
        <f>IF(Sheet1!D$192=1," /     Adjusted Investment Cost","    Status Quo Not Feasible ")</f>
        <v xml:space="preserve"> /     Adjusted Investment Cost</v>
      </c>
      <c r="F78" s="316"/>
      <c r="G78" s="316"/>
      <c r="H78" s="260">
        <f>IF(Sheet1!D$192=1,AG81," ")</f>
        <v>0</v>
      </c>
      <c r="I78" s="310" t="str">
        <f>IF(Sheet1!D$192=1,IF(OR(Sheet1!D$8=2,Sheet1!D$8=3),"Constant Dollars","(Discounted Dollars)")," ")</f>
        <v>(Discounted Dollars)</v>
      </c>
      <c r="J78" s="304"/>
      <c r="K78" s="335" t="str">
        <f>IF(Sheet1!D$192=1,IF(OR(Sheet1!D$8=2,Sheet1!D$8=3),"(block A5.)","(block A5.)")," ")</f>
        <v>(block A5.)</v>
      </c>
      <c r="L78" s="177"/>
      <c r="P78" s="296"/>
      <c r="Q78" s="296"/>
      <c r="R78" s="296"/>
      <c r="S78" s="296"/>
      <c r="T78" s="296"/>
      <c r="AB78" s="271" t="str">
        <f>IF(OR(Sheet1!D$192=1,Sheet1!D$193=1),IF(OR((AB77&gt;=(Sheet1!D$148+$A$11)-1),AND(Sheet1!D$8=3,AB77&gt;=6))," ",AB77+1),NA())</f>
        <v xml:space="preserve"> </v>
      </c>
      <c r="AC78" s="271" t="str">
        <f>IF(OR(Sheet1!D$192=1,Sheet1!D$193=1),IF(OR((AC77&gt;=(Sheet1!D$148+$B$11)-1),AND(Sheet1!D$8=3,AB77&gt;=6))," ",AC77+1),NA())</f>
        <v xml:space="preserve"> </v>
      </c>
      <c r="AD78" s="262"/>
      <c r="AE78" s="263" t="str">
        <f>IF(AND(Sheet1!D$193=1,AB78&lt;&gt;" "),ROUND(VLOOKUP(AB78,AlternativeA!A$92:M$98,12),Sheet1!D$75),IF(Sheet1!D$193=1," ","Alt  'A'  not feasible"))</f>
        <v>Alt  'A'  not feasible</v>
      </c>
      <c r="AF78" s="264" t="str">
        <f>IF(AB78&lt;=Sheet1!D$148,IF(OR(Sheet1!D$8=2,Sheet1!D$8=3),1,ROUND(VLOOKUP(AB78,DiscFactorsLinInterp,HLOOKUP(Sheet1!D$148,DiscLinearInterp,1)),4))," ")</f>
        <v xml:space="preserve"> </v>
      </c>
      <c r="AG78" s="263" t="str">
        <f>IF(AND(Sheet1!D$193=1,AB78&lt;&gt;" "),ROUND(+AE78*AF78,Sheet1!D$75)," ")</f>
        <v xml:space="preserve"> </v>
      </c>
      <c r="AH78" s="264" t="str">
        <f>IF(AB78&lt;&gt;" ",ROUND(VLOOKUP(Sheet1!E$82,CHOOSE(Sheet1!D$212,Inflate1,Inflate2,Inflate3,Inflate4,Inflate5,Inflate6,Inflate7,Inflate8),2),4)," ")</f>
        <v xml:space="preserve"> </v>
      </c>
      <c r="AI78" s="264" t="str">
        <f>IF(AB78&lt;&gt;" ",ROUND(VLOOKUP(AC78,CHOOSE(Sheet1!D$212,Inflate1,Inflate2,Inflate3,Inflate4,Inflate5,Inflate6,Inflate7,Inflate8),3),4)," ")</f>
        <v xml:space="preserve"> </v>
      </c>
      <c r="AJ78" s="263" t="str">
        <f>IF(AND(Sheet1!D$193=1,AB78&lt;&gt;" "),ROUND((AE78/AH78)*AI78,Sheet1!D$75)," ")</f>
        <v xml:space="preserve"> </v>
      </c>
    </row>
    <row r="79" spans="1:36" ht="13.2" x14ac:dyDescent="0.25">
      <c r="A79" s="329"/>
      <c r="B79" s="316"/>
      <c r="D79" s="316"/>
      <c r="E79" s="296"/>
      <c r="F79" s="316"/>
      <c r="G79" s="316"/>
      <c r="H79" s="336" t="str">
        <f>IF(Sheet1!D$192=1,IF(H78=0,"n/a",+H77/H78)," ")</f>
        <v>n/a</v>
      </c>
      <c r="I79" s="337" t="str">
        <f>IF(Sheet1!D$192=1,"(BIR)"," ")</f>
        <v>(BIR)</v>
      </c>
      <c r="J79" s="304"/>
      <c r="K79" s="327"/>
      <c r="L79" s="177"/>
      <c r="P79" s="296"/>
      <c r="Q79" s="296"/>
      <c r="R79" s="296"/>
      <c r="S79" s="296"/>
      <c r="T79" s="296"/>
      <c r="AB79" s="271" t="str">
        <f>IF(OR(Sheet1!D$192=1,Sheet1!D$193=1),IF(OR((AB78&gt;=(Sheet1!D$148+$A$11)-1),AND(Sheet1!D$8=3,AB78&gt;=6))," ",AB78+1),NA())</f>
        <v xml:space="preserve"> </v>
      </c>
      <c r="AC79" s="271" t="str">
        <f>IF(OR(Sheet1!D$192=1,Sheet1!D$193=1),IF(OR((AC78&gt;=(Sheet1!D$148+$B$11)-1),AND(Sheet1!D$8=3,AB78&gt;=6))," ",AC78+1),NA())</f>
        <v xml:space="preserve"> </v>
      </c>
      <c r="AD79" s="262"/>
      <c r="AE79" s="263" t="str">
        <f>IF(AND(Sheet1!D$193=1,AB79&lt;&gt;" "),ROUND(VLOOKUP(AB79,AlternativeA!A$92:M$98,12),Sheet1!D$75),IF(Sheet1!D$193=1," ","Alt  'A'  not feasible"))</f>
        <v>Alt  'A'  not feasible</v>
      </c>
      <c r="AF79" s="264" t="str">
        <f>IF(AB79&lt;=Sheet1!D$148,IF(OR(Sheet1!D$8=2,Sheet1!D$8=3),1,ROUND(VLOOKUP(AB79,DiscFactorsLinInterp,HLOOKUP(Sheet1!D$148,DiscLinearInterp,1)),4))," ")</f>
        <v xml:space="preserve"> </v>
      </c>
      <c r="AG79" s="263" t="str">
        <f>IF(AND(Sheet1!D$193=1,AB79&lt;&gt;" "),ROUND(+AE79*AF79,Sheet1!D$75)," ")</f>
        <v xml:space="preserve"> </v>
      </c>
      <c r="AH79" s="264" t="str">
        <f>IF(AB79&lt;&gt;" ",ROUND(VLOOKUP(Sheet1!E$82,CHOOSE(Sheet1!D$212,Inflate1,Inflate2,Inflate3,Inflate4,Inflate5,Inflate6,Inflate7,Inflate8),2),4)," ")</f>
        <v xml:space="preserve"> </v>
      </c>
      <c r="AI79" s="264" t="str">
        <f>IF(AB79&lt;&gt;" ",ROUND(VLOOKUP(AC79,CHOOSE(Sheet1!D$212,Inflate1,Inflate2,Inflate3,Inflate4,Inflate5,Inflate6,Inflate7,Inflate8),3),4)," ")</f>
        <v xml:space="preserve"> </v>
      </c>
      <c r="AJ79" s="263" t="str">
        <f>IF(AND(Sheet1!D$193=1,AB79&lt;&gt;" "),ROUND((AE79/AH79)*AI79,Sheet1!D$75)," ")</f>
        <v xml:space="preserve"> </v>
      </c>
    </row>
    <row r="80" spans="1:36" ht="13.8" thickBot="1" x14ac:dyDescent="0.3">
      <c r="A80" s="329"/>
      <c r="B80" s="316"/>
      <c r="D80" s="316"/>
      <c r="E80" s="296"/>
      <c r="F80" s="270"/>
      <c r="G80" s="304"/>
      <c r="H80" s="296"/>
      <c r="I80" s="310"/>
      <c r="J80" s="304"/>
      <c r="K80" s="327"/>
      <c r="L80" s="177"/>
      <c r="P80" s="296"/>
      <c r="Q80" s="296"/>
      <c r="R80" s="296"/>
      <c r="S80" s="296"/>
      <c r="T80" s="296"/>
      <c r="AB80" s="271" t="str">
        <f>IF(OR(Sheet1!D$192=1,Sheet1!D$193=1),IF(OR((AB79&gt;=(Sheet1!D$148+$A$11)-1),AND(Sheet1!D$8=3,AB79&gt;=6))," ",AB79+1),NA())</f>
        <v xml:space="preserve"> </v>
      </c>
      <c r="AC80" s="271" t="str">
        <f>IF(OR(Sheet1!D$192=1,Sheet1!D$193=1),IF(OR((AC79&gt;=(Sheet1!D$148+$B$11)-1),AND(Sheet1!D$8=3,AB79&gt;=6))," ",AC79+1),NA())</f>
        <v xml:space="preserve"> </v>
      </c>
      <c r="AD80" s="328"/>
      <c r="AE80" s="263" t="str">
        <f>IF(AND(Sheet1!D$193=1,AB80&lt;&gt;" "),ROUND(VLOOKUP(AB80,AlternativeA!A$92:M$98,12),Sheet1!D$75),IF(Sheet1!D$193=1," ","Alt  'A'  not feasible"))</f>
        <v>Alt  'A'  not feasible</v>
      </c>
      <c r="AF80" s="264" t="str">
        <f>IF(AB80&lt;=Sheet1!D$148,IF(OR(Sheet1!D$8=2,Sheet1!D$8=3),1,ROUND(VLOOKUP(AB80,DiscFactorsLinInterp,HLOOKUP(Sheet1!D$148,DiscLinearInterp,1)),4))," ")</f>
        <v xml:space="preserve"> </v>
      </c>
      <c r="AG80" s="263" t="str">
        <f>IF(AND(Sheet1!D$193=1,AB80&lt;&gt;" "),ROUND(+AE80*AF80,Sheet1!D$75)," ")</f>
        <v xml:space="preserve"> </v>
      </c>
      <c r="AH80" s="264" t="str">
        <f>IF(AB80&lt;&gt;" ",ROUND(VLOOKUP(Sheet1!E$82,CHOOSE(Sheet1!D$212,Inflate1,Inflate2,Inflate3,Inflate4,Inflate5,Inflate6,Inflate7,Inflate8),2),4)," ")</f>
        <v xml:space="preserve"> </v>
      </c>
      <c r="AI80" s="264" t="str">
        <f>IF(AB80&lt;&gt;" ",ROUND(VLOOKUP(AC80,CHOOSE(Sheet1!D$212,Inflate1,Inflate2,Inflate3,Inflate4,Inflate5,Inflate6,Inflate7,Inflate8),3),4)," ")</f>
        <v xml:space="preserve"> </v>
      </c>
      <c r="AJ80" s="263" t="str">
        <f>IF(AND(Sheet1!D$193=1,AB80&lt;&gt;" "),ROUND((AE80/AH80)*AI80,Sheet1!D$75)," ")</f>
        <v xml:space="preserve"> </v>
      </c>
    </row>
    <row r="81" spans="1:253" ht="13.8" thickTop="1" x14ac:dyDescent="0.25">
      <c r="A81" s="329"/>
      <c r="B81" s="316"/>
      <c r="C81" s="330" t="str">
        <f>IF(Sheet1!D$192=1,IF(OR(Sheet1!D$8=2,Sheet1!D$8=3),"o  SAVINGS TO INVESTMENT RATIO (SIR) (Constant Dollars)","o    SAVINGS TO INVESTMENT RATIO  (SIR)  (Discounted Dollars)")," ")</f>
        <v>o    SAVINGS TO INVESTMENT RATIO  (SIR)  (Discounted Dollars)</v>
      </c>
      <c r="D81" s="270"/>
      <c r="E81" s="296"/>
      <c r="F81" s="270"/>
      <c r="G81" s="338" t="str">
        <f>IF(OR(AND(Sheet1!N264=1,Sheet1!N265=2),AND(Sheet1!N264=2,Sheet1!N265=1)),"(*) !!ERROR - You have not Identified an Operating &amp; Support Cost Element"," ")</f>
        <v xml:space="preserve"> </v>
      </c>
      <c r="H81" s="296"/>
      <c r="I81" s="310"/>
      <c r="J81" s="304"/>
      <c r="K81" s="339"/>
      <c r="L81" s="177"/>
      <c r="P81" s="296"/>
      <c r="Q81" s="296"/>
      <c r="R81" s="296"/>
      <c r="S81" s="296"/>
      <c r="T81" s="296"/>
      <c r="AB81" s="340" t="s">
        <v>319</v>
      </c>
      <c r="AC81" s="341"/>
      <c r="AD81" s="341"/>
      <c r="AE81" s="342" t="e">
        <f>+AE61+SUM(AE65:AE71)-SUM(AE74:AE80)</f>
        <v>#VALUE!</v>
      </c>
      <c r="AF81" s="272"/>
      <c r="AG81" s="342">
        <f>+AG61+SUM(AG65:AG71)-SUM(AG74:AG80)</f>
        <v>0</v>
      </c>
      <c r="AH81" s="272"/>
      <c r="AI81" s="272"/>
      <c r="AJ81" s="343">
        <f>+AJ61+SUM(AJ65:AJ71)-SUM(AJ74:AJ80)</f>
        <v>0</v>
      </c>
    </row>
    <row r="82" spans="1:253" ht="13.2" x14ac:dyDescent="0.25">
      <c r="A82" s="329"/>
      <c r="B82" s="316"/>
      <c r="C82" s="334" t="str">
        <f>IF(Sheet1!D$192=1,IF(OR(Sheet1!D$8=2,Sheet1!D$22=3),"      FOR OSCR Initiatives: SIR may include savings over 10 years from when savings first begins or through economic life if &lt; 10 years",IF(Sheet1!D$8=3,"    SIR limited to 6 year evaluation period (or project life if &lt; 6 years) ","      SIR based on entire project life "))," ")</f>
        <v xml:space="preserve">      SIR based on entire project life </v>
      </c>
      <c r="D82" s="316"/>
      <c r="E82" s="296"/>
      <c r="F82" s="270"/>
      <c r="G82" s="338" t="str">
        <f>IF(OR(AND(Sheet1!N264=1,Sheet1!N265=2),AND(Sheet1!N264=2,Sheet1!N265=1)),"                        under both the 'Status Quo' and 'Alternative A' "," ")</f>
        <v xml:space="preserve"> </v>
      </c>
      <c r="H82" s="296"/>
      <c r="I82" s="310"/>
      <c r="J82" s="304"/>
      <c r="K82" s="327"/>
      <c r="L82" s="177"/>
      <c r="P82" s="296"/>
      <c r="Q82" s="296"/>
      <c r="R82" s="296"/>
      <c r="S82" s="296"/>
      <c r="T82" s="296"/>
      <c r="AB82" s="344"/>
      <c r="AC82" s="345"/>
      <c r="AD82" s="345"/>
      <c r="AE82" s="345"/>
      <c r="AF82" s="345"/>
      <c r="AG82" s="345"/>
      <c r="AH82" s="345"/>
      <c r="AI82" s="345"/>
      <c r="AJ82" s="346"/>
    </row>
    <row r="83" spans="1:253" ht="13.2" x14ac:dyDescent="0.25">
      <c r="A83" s="329"/>
      <c r="B83" s="316"/>
      <c r="C83" s="334" t="str">
        <f>IF(Sheet1!D$192=1,IF(OR(Sheet1!D$8=2,Sheet1!D$22=3),"      FOR OSCR Initiatives: SIR may not include 'New Investment Costs' occurring beyond the maximum 10 year savings period",IF(Sheet1!D$8=3,"    SIR can't include 'New Investment Costs' occurring after evaluation period","  "))," ")</f>
        <v xml:space="preserve">  </v>
      </c>
      <c r="D83" s="316"/>
      <c r="E83" s="316"/>
      <c r="F83" s="316"/>
      <c r="G83" s="338" t="str">
        <f>IF(OR(AND(Sheet1!N264=1,Sheet1!N265=2),AND(Sheet1!N264=2,Sheet1!N265=1)),"                        that should be used  to calculate Savings"," ")</f>
        <v xml:space="preserve"> </v>
      </c>
      <c r="H83" s="316"/>
      <c r="I83" s="316"/>
      <c r="J83" s="304"/>
      <c r="K83" s="327"/>
      <c r="L83" s="177"/>
      <c r="P83" s="296"/>
      <c r="Q83" s="296"/>
      <c r="R83" s="296"/>
      <c r="S83" s="296"/>
      <c r="T83" s="296"/>
    </row>
    <row r="84" spans="1:253" ht="13.2" x14ac:dyDescent="0.25">
      <c r="A84" s="329"/>
      <c r="B84" s="316"/>
      <c r="C84" s="316"/>
      <c r="D84" s="316"/>
      <c r="E84" s="270" t="str">
        <f>IF(Sheet1!D$192=1,IF(OR(Sheet1!D$8=2,Sheet1!D$8=3,Sheet1!D$22=3),"      Restricted Savings","      Savings "),"SIR not applicable since")</f>
        <v xml:space="preserve">      Savings </v>
      </c>
      <c r="F84" s="316"/>
      <c r="G84" s="316"/>
      <c r="H84" s="260">
        <f>IF(Sheet1!D$192=1,IF(G81&lt;&gt;" ","???",S61)," ")</f>
        <v>0</v>
      </c>
      <c r="I84" s="310" t="str">
        <f>IF(Sheet1!D$192=1,IF(OR(Sheet1!D$8=2,Sheet1!D$8=3),"Constant Dollars","(Discounted Dollars)")," ")</f>
        <v>(Discounted Dollars)</v>
      </c>
      <c r="J84" s="304"/>
      <c r="K84" s="335" t="str">
        <f>IF(Sheet1!D$192=1,IF(OR(Sheet1!D$8=2,Sheet1!D$8=3),"(block 6q.)","(block 6q.)")," ")</f>
        <v>(block 6q.)</v>
      </c>
      <c r="L84" s="177"/>
      <c r="P84" s="296"/>
      <c r="Q84" s="296"/>
      <c r="R84" s="296"/>
      <c r="S84" s="296"/>
      <c r="T84" s="296"/>
      <c r="AB84" s="58"/>
      <c r="AC84" s="58"/>
      <c r="AD84" s="58"/>
      <c r="AE84" s="58"/>
      <c r="AF84" s="58"/>
      <c r="AG84" s="58"/>
      <c r="AH84" s="58"/>
      <c r="AI84" s="58"/>
      <c r="AJ84" s="58"/>
    </row>
    <row r="85" spans="1:253" ht="13.2" x14ac:dyDescent="0.25">
      <c r="A85" s="329"/>
      <c r="B85" s="316"/>
      <c r="C85" s="334"/>
      <c r="D85" s="316"/>
      <c r="E85" s="171" t="str">
        <f>IF(Sheet1!D$192=1,IF(OR(Sheet1!D8=2,Sheet1!D$8=3,Sheet1!D$22=3),"/     Restricted New Investment Cost"," /    New Investment Cost"),"     Status Quo Not Feasible ")</f>
        <v xml:space="preserve"> /    New Investment Cost</v>
      </c>
      <c r="F85" s="316"/>
      <c r="G85" s="316"/>
      <c r="H85" s="260">
        <f>IF(Sheet1!D$192=1,IF(OR(Sheet1!D$8=2,Sheet1!D$8=3,Sheet1!D$22=3),AJ61,AG61)," ")</f>
        <v>0</v>
      </c>
      <c r="I85" s="310" t="str">
        <f>IF(Sheet1!D$192=1,IF(OR(Sheet1!D$8=2,Sheet1!D$8=3),"Constant Dollars","(Discounted Dollars)")," ")</f>
        <v>(Discounted Dollars)</v>
      </c>
      <c r="J85" s="304"/>
      <c r="K85" s="335" t="str">
        <f>IF(Sheet1!D$192=1,IF(OR(Sheet1!D$8=2,Sheet1!D$8=3),"(block A9.)","(block A5.)")," ")</f>
        <v>(block A5.)</v>
      </c>
      <c r="L85" s="325"/>
      <c r="P85" s="296"/>
      <c r="Q85" s="296"/>
      <c r="R85" s="296"/>
      <c r="S85" s="296"/>
      <c r="T85" s="296"/>
      <c r="AB85" s="58"/>
      <c r="AC85" s="58"/>
      <c r="AD85" s="58"/>
      <c r="AE85" s="58"/>
      <c r="AF85" s="58"/>
      <c r="AG85" s="58"/>
      <c r="AH85" s="58"/>
      <c r="AI85" s="58"/>
      <c r="AJ85" s="58"/>
    </row>
    <row r="86" spans="1:253" ht="13.2" x14ac:dyDescent="0.25">
      <c r="A86" s="329"/>
      <c r="B86" s="316"/>
      <c r="C86" s="316"/>
      <c r="D86" s="270"/>
      <c r="E86" s="296"/>
      <c r="F86" s="270"/>
      <c r="G86" s="304"/>
      <c r="H86" s="336" t="str">
        <f>IF(Sheet1!D$192=1,IF(G81&lt;&gt;" ","???",IF(H85=0,"n/a",+H84/H85)),"  ")</f>
        <v>n/a</v>
      </c>
      <c r="I86" s="337" t="str">
        <f>IF(Sheet1!D$192=1,"(SIR)"," ")</f>
        <v>(SIR)</v>
      </c>
      <c r="J86" s="304"/>
      <c r="K86" s="327"/>
      <c r="L86" s="177"/>
      <c r="P86" s="296"/>
      <c r="Q86" s="296"/>
      <c r="R86" s="296"/>
      <c r="S86" s="296"/>
      <c r="T86" s="296"/>
      <c r="AB86" s="58"/>
      <c r="AC86" s="58"/>
      <c r="AD86" s="58"/>
      <c r="AE86" s="58"/>
      <c r="AF86" s="58"/>
      <c r="AG86" s="58"/>
      <c r="AH86" s="58"/>
      <c r="AI86" s="58"/>
      <c r="AJ86" s="58"/>
    </row>
    <row r="87" spans="1:253" ht="13.2" x14ac:dyDescent="0.25">
      <c r="A87" s="329"/>
      <c r="B87" s="316"/>
      <c r="C87" s="316"/>
      <c r="D87" s="270"/>
      <c r="E87" s="296"/>
      <c r="F87" s="270"/>
      <c r="G87" s="304"/>
      <c r="H87" s="316"/>
      <c r="I87" s="316"/>
      <c r="J87" s="304"/>
      <c r="K87" s="333"/>
      <c r="L87" s="177"/>
      <c r="P87" s="296"/>
      <c r="Q87" s="296"/>
      <c r="R87" s="296"/>
      <c r="S87" s="296"/>
      <c r="T87" s="296"/>
      <c r="AB87" s="58"/>
      <c r="AC87" s="58"/>
      <c r="AD87" s="58"/>
      <c r="AE87" s="58"/>
      <c r="AF87" s="58"/>
      <c r="AG87" s="58"/>
      <c r="AH87" s="58"/>
      <c r="AI87" s="58"/>
      <c r="AJ87" s="58"/>
    </row>
    <row r="88" spans="1:253" ht="13.2" x14ac:dyDescent="0.25">
      <c r="A88" s="347"/>
      <c r="B88" s="270"/>
      <c r="C88" s="330" t="str">
        <f>IF(Sheet1!D$192=1,"o    PAYBACK (of   '' New Investment Cost '' of  $"&amp;AJ$61&amp;"  )"," ")</f>
        <v>o    PAYBACK (of   '' New Investment Cost '' of  $0  )</v>
      </c>
      <c r="D88" s="296"/>
      <c r="E88" s="296"/>
      <c r="F88" s="270"/>
      <c r="G88" s="304"/>
      <c r="H88" s="348" t="str">
        <f>IF(Sheet1!D$192=1,IF(K61&lt;=0,"n/a (since monetary benefits &lt; =0)",IF(K61&lt;AJ61,"no payback occurs",(Y11-1)+Y14)),"  ")</f>
        <v>n/a (since monetary benefits &lt; =0)</v>
      </c>
      <c r="I88" s="171" t="str">
        <f>IF(Sheet1!D$192=1,IF(K61&lt;=0," ",IF(AJ61&gt;K61," ","years"))," ")</f>
        <v xml:space="preserve"> </v>
      </c>
      <c r="J88" s="304"/>
      <c r="K88" s="327"/>
      <c r="L88" s="177"/>
      <c r="P88" s="296"/>
      <c r="Q88" s="296"/>
      <c r="R88" s="296"/>
      <c r="S88" s="296"/>
      <c r="T88" s="296"/>
      <c r="AB88" s="58"/>
      <c r="AC88" s="58"/>
      <c r="AD88" s="58"/>
      <c r="AE88" s="58"/>
      <c r="AF88" s="58"/>
      <c r="AG88" s="58"/>
      <c r="AH88" s="58"/>
      <c r="AI88" s="58"/>
      <c r="AJ88" s="58"/>
    </row>
    <row r="89" spans="1:253" ht="13.2" x14ac:dyDescent="0.25">
      <c r="A89" s="347"/>
      <c r="B89" s="270"/>
      <c r="C89" s="334" t="str">
        <f>IF(Sheet1!D$192=1,IF(OR(Sheet1!D$8=2,Sheet1!D$22=3),"      Payback based on 'MONETARY BENEFITS', using current dollars.  FOR OSCR Initiatives: 'New Investment Cost' used here doesn't include investments after monetary benefits period",IF(Sheet1!D$8=3,"    Payback based on 'MONETARY BENEFITS', using current dollars.  'New Investment Cost' used here is limited to maximum 6 year evaluation period","      Payback based on 'MONETARY BENEFITS', using current dollars  "))," ")</f>
        <v xml:space="preserve">      Payback based on 'MONETARY BENEFITS', using current dollars  </v>
      </c>
      <c r="D89" s="296"/>
      <c r="E89" s="316"/>
      <c r="F89" s="270"/>
      <c r="G89" s="304"/>
      <c r="H89" s="296"/>
      <c r="I89" s="310"/>
      <c r="J89" s="304"/>
      <c r="K89" s="327"/>
      <c r="L89" s="177"/>
      <c r="P89" s="296"/>
      <c r="Q89" s="296"/>
      <c r="R89" s="296"/>
      <c r="S89" s="296"/>
      <c r="T89" s="296"/>
      <c r="AB89" s="58"/>
      <c r="AC89" s="58"/>
      <c r="AD89" s="58"/>
      <c r="AE89" s="58"/>
      <c r="AF89" s="58"/>
      <c r="AG89" s="58"/>
      <c r="AH89" s="58"/>
      <c r="AI89" s="58"/>
      <c r="AJ89" s="58"/>
    </row>
    <row r="90" spans="1:253" ht="13.2" x14ac:dyDescent="0.25">
      <c r="A90" s="347"/>
      <c r="B90" s="270"/>
      <c r="C90" s="270"/>
      <c r="D90" s="296"/>
      <c r="E90" s="270" t="str">
        <f>IF(Sheet1!D$192=1," ","Payback Not Applicable since Status Quo not Feasible")</f>
        <v xml:space="preserve"> </v>
      </c>
      <c r="F90" s="270"/>
      <c r="G90" s="304"/>
      <c r="H90" s="296"/>
      <c r="I90" s="310"/>
      <c r="J90" s="304"/>
      <c r="K90" s="327"/>
      <c r="L90" s="177"/>
      <c r="P90" s="296"/>
      <c r="Q90" s="296"/>
      <c r="R90" s="296"/>
      <c r="S90" s="296"/>
      <c r="T90" s="296"/>
      <c r="AB90" s="58"/>
      <c r="AC90" s="58"/>
      <c r="AD90" s="58"/>
      <c r="AE90" s="58"/>
      <c r="AF90" s="58"/>
      <c r="AG90" s="58"/>
      <c r="AH90" s="58"/>
      <c r="AI90" s="58"/>
      <c r="AJ90" s="58"/>
    </row>
    <row r="91" spans="1:253" ht="13.2" x14ac:dyDescent="0.25">
      <c r="A91" s="347"/>
      <c r="B91" s="270"/>
      <c r="C91" s="330" t="str">
        <f>IF(AND(Sheet1!D$192=1,Sheet1!D$193=1),"o    RETURN ON INVESTMENT", "")</f>
        <v/>
      </c>
      <c r="D91" s="296"/>
      <c r="E91" s="270"/>
      <c r="F91" s="270"/>
      <c r="G91" s="304"/>
      <c r="H91" s="585" t="str">
        <f>IF(AND(Sheet1!D$192=1,Sheet1!D$193=1),ROI!C60, "")</f>
        <v/>
      </c>
      <c r="I91" s="337" t="str">
        <f>IF(AND(Sheet1!D$192=1, Sheet1!D$193=1),"(ROI)"," ")</f>
        <v xml:space="preserve"> </v>
      </c>
      <c r="J91" s="304"/>
      <c r="K91" s="327"/>
      <c r="L91" s="177"/>
      <c r="P91" s="296"/>
      <c r="Q91" s="296"/>
      <c r="R91" s="296"/>
      <c r="S91" s="296"/>
      <c r="T91" s="296"/>
      <c r="AB91" s="58"/>
      <c r="AC91" s="58"/>
      <c r="AD91" s="58"/>
      <c r="AE91" s="58"/>
      <c r="AF91" s="58"/>
      <c r="AG91" s="58"/>
      <c r="AH91" s="58"/>
      <c r="AI91" s="58"/>
      <c r="AJ91" s="58"/>
    </row>
    <row r="92" spans="1:253" ht="13.2" x14ac:dyDescent="0.25">
      <c r="A92" s="329"/>
      <c r="B92" s="316"/>
      <c r="C92" s="316"/>
      <c r="D92" s="349"/>
      <c r="E92" s="349"/>
      <c r="F92" s="349"/>
      <c r="H92" s="296"/>
      <c r="I92" s="310"/>
      <c r="J92" s="304"/>
      <c r="K92" s="327"/>
      <c r="L92" s="177"/>
      <c r="P92" s="296"/>
      <c r="Q92" s="296"/>
      <c r="R92" s="296"/>
      <c r="S92" s="296"/>
      <c r="T92" s="296"/>
      <c r="AB92" s="58"/>
      <c r="AC92" s="58"/>
      <c r="AD92" s="58"/>
      <c r="AE92" s="58"/>
      <c r="AF92" s="58"/>
      <c r="AG92" s="58"/>
      <c r="AH92" s="58"/>
      <c r="AI92" s="58"/>
      <c r="AJ92" s="58"/>
    </row>
    <row r="93" spans="1:253" ht="13.2" x14ac:dyDescent="0.25">
      <c r="A93" s="347"/>
      <c r="B93" s="349"/>
      <c r="C93" s="349" t="s">
        <v>320</v>
      </c>
      <c r="D93" s="270"/>
      <c r="E93" s="316"/>
      <c r="F93" s="270"/>
      <c r="G93" s="304"/>
      <c r="H93" s="296"/>
      <c r="I93" s="310"/>
      <c r="J93" s="304"/>
      <c r="K93" s="327"/>
      <c r="L93" s="177"/>
      <c r="P93" s="296"/>
      <c r="Q93" s="296"/>
      <c r="R93" s="296"/>
      <c r="S93" s="296"/>
      <c r="T93" s="296"/>
      <c r="AB93" s="58"/>
      <c r="AC93" s="58"/>
      <c r="AD93" s="58"/>
      <c r="AE93" s="58"/>
      <c r="AF93" s="58"/>
      <c r="AG93" s="58"/>
      <c r="AH93" s="58"/>
      <c r="AI93" s="58"/>
      <c r="AJ93" s="58"/>
    </row>
    <row r="94" spans="1:253" ht="13.8" thickBot="1" x14ac:dyDescent="0.3">
      <c r="A94" s="350"/>
      <c r="B94" s="351"/>
      <c r="C94" s="352"/>
      <c r="D94" s="353"/>
      <c r="E94" s="351" t="str">
        <f>IF(Sheet1!D$193=1,VLOOKUP(Sheet1!D$247,Sheet1!A$255:B$259,2)," ")</f>
        <v xml:space="preserve"> </v>
      </c>
      <c r="F94" s="351"/>
      <c r="G94" s="354"/>
      <c r="H94" s="353"/>
      <c r="I94" s="355"/>
      <c r="J94" s="354"/>
      <c r="K94" s="356"/>
      <c r="L94" s="177"/>
      <c r="P94" s="296"/>
      <c r="Q94" s="296"/>
      <c r="R94" s="296"/>
      <c r="S94" s="296"/>
      <c r="T94" s="296"/>
      <c r="AB94" s="58"/>
      <c r="AC94" s="58"/>
      <c r="AD94" s="58"/>
      <c r="AE94" s="58"/>
      <c r="AF94" s="58"/>
      <c r="AG94" s="58"/>
      <c r="AH94" s="58"/>
      <c r="AI94" s="58"/>
      <c r="AJ94" s="58"/>
    </row>
    <row r="95" spans="1:253" ht="13.5" customHeight="1" thickTop="1" thickBot="1" x14ac:dyDescent="0.3">
      <c r="A95" s="357"/>
      <c r="B95" s="358"/>
      <c r="C95" s="359"/>
      <c r="D95" s="360"/>
      <c r="E95" s="360"/>
      <c r="F95" s="361"/>
      <c r="G95" s="362"/>
      <c r="H95" s="360"/>
      <c r="I95" s="363"/>
      <c r="J95" s="362"/>
      <c r="K95" s="364"/>
      <c r="L95" s="177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58"/>
      <c r="BS95" s="58"/>
      <c r="BT95" s="58"/>
      <c r="BU95" s="58"/>
      <c r="BV95" s="58"/>
      <c r="BW95" s="58"/>
      <c r="BX95" s="58"/>
      <c r="BY95" s="58"/>
      <c r="BZ95" s="58"/>
      <c r="CA95" s="58"/>
      <c r="CB95" s="58"/>
      <c r="CC95" s="58"/>
      <c r="CD95" s="58"/>
      <c r="CE95" s="58"/>
      <c r="CF95" s="58"/>
      <c r="CG95" s="58"/>
      <c r="CH95" s="58"/>
      <c r="CI95" s="58"/>
      <c r="CJ95" s="58"/>
      <c r="CK95" s="58"/>
      <c r="CL95" s="58"/>
      <c r="CM95" s="58"/>
      <c r="CN95" s="58"/>
      <c r="CO95" s="58"/>
      <c r="CP95" s="58"/>
      <c r="CQ95" s="58"/>
      <c r="CR95" s="58"/>
      <c r="CS95" s="58"/>
      <c r="CT95" s="58"/>
      <c r="CU95" s="58"/>
      <c r="CV95" s="58"/>
      <c r="CW95" s="58"/>
      <c r="CX95" s="58"/>
      <c r="CY95" s="58"/>
      <c r="CZ95" s="58"/>
      <c r="DA95" s="58"/>
      <c r="DB95" s="58"/>
      <c r="DC95" s="58"/>
      <c r="DD95" s="58"/>
      <c r="DE95" s="58"/>
      <c r="DF95" s="58"/>
      <c r="DG95" s="58"/>
      <c r="DH95" s="58"/>
      <c r="DI95" s="58"/>
      <c r="DJ95" s="58"/>
      <c r="DK95" s="58"/>
      <c r="DL95" s="58"/>
      <c r="DM95" s="58"/>
      <c r="DN95" s="58"/>
      <c r="DO95" s="58"/>
      <c r="DP95" s="58"/>
      <c r="DQ95" s="58"/>
      <c r="DR95" s="58"/>
      <c r="DS95" s="58"/>
      <c r="DT95" s="58"/>
      <c r="DU95" s="58"/>
      <c r="DV95" s="58"/>
      <c r="DW95" s="58"/>
      <c r="DX95" s="58"/>
      <c r="DY95" s="58"/>
      <c r="DZ95" s="58"/>
      <c r="EA95" s="58"/>
      <c r="EB95" s="58"/>
      <c r="EC95" s="58"/>
      <c r="ED95" s="58"/>
      <c r="EE95" s="58"/>
      <c r="EF95" s="58"/>
      <c r="EG95" s="58"/>
      <c r="EH95" s="58"/>
      <c r="EI95" s="58"/>
      <c r="EJ95" s="58"/>
      <c r="EK95" s="58"/>
      <c r="EL95" s="58"/>
      <c r="EM95" s="58"/>
      <c r="EN95" s="58"/>
      <c r="EO95" s="58"/>
      <c r="EP95" s="58"/>
      <c r="EQ95" s="58"/>
      <c r="ER95" s="58"/>
      <c r="ES95" s="58"/>
      <c r="ET95" s="58"/>
      <c r="EU95" s="58"/>
      <c r="EV95" s="58"/>
      <c r="EW95" s="58"/>
      <c r="EX95" s="58"/>
      <c r="EY95" s="58"/>
      <c r="EZ95" s="58"/>
      <c r="FA95" s="58"/>
      <c r="FB95" s="58"/>
      <c r="FC95" s="58"/>
      <c r="FD95" s="58"/>
      <c r="FE95" s="58"/>
      <c r="FF95" s="58"/>
      <c r="FG95" s="58"/>
      <c r="FH95" s="58"/>
      <c r="FI95" s="58"/>
      <c r="FJ95" s="58"/>
      <c r="FK95" s="58"/>
      <c r="FL95" s="58"/>
      <c r="FM95" s="58"/>
      <c r="FN95" s="58"/>
      <c r="FO95" s="58"/>
      <c r="FP95" s="58"/>
      <c r="FQ95" s="58"/>
      <c r="FR95" s="58"/>
      <c r="FS95" s="58"/>
      <c r="FT95" s="58"/>
      <c r="FU95" s="58"/>
      <c r="FV95" s="58"/>
      <c r="FW95" s="58"/>
      <c r="FX95" s="58"/>
      <c r="FY95" s="58"/>
      <c r="FZ95" s="58"/>
      <c r="GA95" s="58"/>
      <c r="GB95" s="58"/>
      <c r="GC95" s="58"/>
      <c r="GD95" s="58"/>
      <c r="GE95" s="58"/>
      <c r="GF95" s="58"/>
      <c r="GG95" s="58"/>
      <c r="GH95" s="58"/>
      <c r="GI95" s="58"/>
      <c r="GJ95" s="58"/>
      <c r="GK95" s="58"/>
      <c r="GL95" s="58"/>
      <c r="GM95" s="58"/>
      <c r="GN95" s="58"/>
      <c r="GO95" s="58"/>
      <c r="GP95" s="58"/>
      <c r="GQ95" s="58"/>
      <c r="GR95" s="58"/>
      <c r="GS95" s="58"/>
      <c r="GT95" s="58"/>
      <c r="GU95" s="58"/>
      <c r="GV95" s="58"/>
      <c r="GW95" s="58"/>
      <c r="GX95" s="58"/>
      <c r="GY95" s="58"/>
      <c r="GZ95" s="58"/>
      <c r="HA95" s="58"/>
      <c r="HB95" s="58"/>
      <c r="HC95" s="58"/>
      <c r="HD95" s="58"/>
      <c r="HE95" s="58"/>
      <c r="HF95" s="58"/>
      <c r="HG95" s="58"/>
      <c r="HH95" s="58"/>
      <c r="HI95" s="58"/>
      <c r="HJ95" s="58"/>
      <c r="HK95" s="58"/>
      <c r="HL95" s="58"/>
      <c r="HM95" s="58"/>
      <c r="HN95" s="58"/>
      <c r="HO95" s="58"/>
      <c r="HP95" s="58"/>
      <c r="HQ95" s="58"/>
      <c r="HR95" s="58"/>
      <c r="HS95" s="58"/>
      <c r="HT95" s="58"/>
      <c r="HU95" s="58"/>
      <c r="HV95" s="58"/>
      <c r="HW95" s="58"/>
      <c r="HX95" s="58"/>
      <c r="HY95" s="58"/>
      <c r="HZ95" s="58"/>
      <c r="IA95" s="58"/>
      <c r="IB95" s="58"/>
      <c r="IC95" s="58"/>
      <c r="ID95" s="58"/>
      <c r="IE95" s="58"/>
      <c r="IF95" s="58"/>
      <c r="IG95" s="58"/>
      <c r="IH95" s="58"/>
      <c r="II95" s="58"/>
      <c r="IJ95" s="58"/>
      <c r="IK95" s="58"/>
      <c r="IL95" s="58"/>
      <c r="IM95" s="58"/>
      <c r="IN95" s="58"/>
      <c r="IO95" s="58"/>
      <c r="IP95" s="58"/>
      <c r="IQ95" s="58"/>
      <c r="IR95" s="58"/>
      <c r="IS95" s="58"/>
    </row>
    <row r="96" spans="1:253" ht="13.8" thickTop="1" x14ac:dyDescent="0.25">
      <c r="A96" s="316"/>
      <c r="B96" s="316"/>
      <c r="C96" s="316"/>
      <c r="D96" s="316"/>
      <c r="E96" s="316"/>
      <c r="F96" s="316"/>
      <c r="G96" s="316"/>
      <c r="H96" s="316"/>
      <c r="I96" s="316"/>
      <c r="J96" s="316"/>
      <c r="K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AB96" s="58"/>
      <c r="AC96" s="58"/>
      <c r="AD96" s="58"/>
      <c r="AE96" s="58"/>
      <c r="AF96" s="58"/>
      <c r="AG96" s="58"/>
      <c r="AH96" s="58"/>
      <c r="AI96" s="58"/>
      <c r="AJ96" s="58"/>
    </row>
    <row r="97" spans="28:36" ht="13.2" hidden="1" x14ac:dyDescent="0.25">
      <c r="AB97" s="58"/>
      <c r="AC97" s="58"/>
      <c r="AD97" s="58"/>
      <c r="AE97" s="58"/>
      <c r="AF97" s="58"/>
      <c r="AG97" s="58"/>
      <c r="AH97" s="58"/>
      <c r="AI97" s="58"/>
      <c r="AJ97" s="58"/>
    </row>
    <row r="98" spans="28:36" ht="13.2" hidden="1" x14ac:dyDescent="0.25">
      <c r="AB98" s="58"/>
      <c r="AC98" s="58"/>
      <c r="AD98" s="58"/>
      <c r="AE98" s="58"/>
      <c r="AF98" s="58"/>
      <c r="AG98" s="58"/>
      <c r="AH98" s="58"/>
      <c r="AI98" s="58"/>
      <c r="AJ98" s="58"/>
    </row>
    <row r="99" spans="28:36" ht="13.2" hidden="1" x14ac:dyDescent="0.25">
      <c r="AB99" s="58"/>
      <c r="AC99" s="58"/>
      <c r="AD99" s="58"/>
      <c r="AE99" s="58"/>
      <c r="AF99" s="58"/>
      <c r="AG99" s="58"/>
      <c r="AH99" s="58"/>
      <c r="AI99" s="58"/>
      <c r="AJ99" s="58"/>
    </row>
    <row r="100" spans="28:36" ht="13.2" hidden="1" x14ac:dyDescent="0.25">
      <c r="AB100" s="58"/>
      <c r="AC100" s="58"/>
      <c r="AD100" s="58"/>
      <c r="AE100" s="58"/>
      <c r="AF100" s="58"/>
      <c r="AG100" s="58"/>
      <c r="AH100" s="58"/>
      <c r="AI100" s="58"/>
      <c r="AJ100" s="58"/>
    </row>
    <row r="101" spans="28:36" ht="13.2" hidden="1" x14ac:dyDescent="0.25">
      <c r="AB101" s="58"/>
      <c r="AC101" s="58"/>
      <c r="AD101" s="58"/>
      <c r="AE101" s="58"/>
      <c r="AF101" s="58"/>
      <c r="AG101" s="58"/>
      <c r="AH101" s="58"/>
      <c r="AI101" s="58"/>
      <c r="AJ101" s="58"/>
    </row>
    <row r="102" spans="28:36" ht="13.2" hidden="1" x14ac:dyDescent="0.25">
      <c r="AB102" s="58"/>
      <c r="AC102" s="58"/>
      <c r="AD102" s="58"/>
      <c r="AE102" s="58"/>
      <c r="AF102" s="58"/>
      <c r="AG102" s="58"/>
      <c r="AH102" s="58"/>
      <c r="AI102" s="58"/>
      <c r="AJ102" s="58"/>
    </row>
    <row r="103" spans="28:36" ht="13.2" hidden="1" x14ac:dyDescent="0.25">
      <c r="AB103" s="58"/>
      <c r="AC103" s="58"/>
      <c r="AD103" s="58"/>
      <c r="AE103" s="58"/>
      <c r="AF103" s="58"/>
      <c r="AG103" s="58"/>
      <c r="AH103" s="58"/>
      <c r="AI103" s="58"/>
      <c r="AJ103" s="58"/>
    </row>
    <row r="104" spans="28:36" ht="13.2" hidden="1" x14ac:dyDescent="0.25">
      <c r="AB104" s="58"/>
      <c r="AC104" s="58"/>
      <c r="AD104" s="58"/>
      <c r="AE104" s="58"/>
      <c r="AF104" s="58"/>
      <c r="AG104" s="58"/>
      <c r="AH104" s="58"/>
      <c r="AI104" s="58"/>
      <c r="AJ104" s="58"/>
    </row>
    <row r="105" spans="28:36" ht="11.4" hidden="1" x14ac:dyDescent="0.2"/>
    <row r="106" spans="28:36" ht="11.4" hidden="1" x14ac:dyDescent="0.2"/>
    <row r="107" spans="28:36" ht="11.4" hidden="1" x14ac:dyDescent="0.2"/>
    <row r="108" spans="28:36" ht="11.4" hidden="1" x14ac:dyDescent="0.2"/>
    <row r="109" spans="28:36" ht="11.4" hidden="1" x14ac:dyDescent="0.2"/>
    <row r="110" spans="28:36" ht="11.4" hidden="1" x14ac:dyDescent="0.2"/>
    <row r="111" spans="28:36" ht="11.4" hidden="1" x14ac:dyDescent="0.2"/>
    <row r="112" spans="28:36" ht="11.4" hidden="1" x14ac:dyDescent="0.2"/>
    <row r="113" ht="11.4" hidden="1" x14ac:dyDescent="0.2"/>
    <row r="114" ht="11.4" hidden="1" x14ac:dyDescent="0.2"/>
    <row r="115" ht="11.4" hidden="1" x14ac:dyDescent="0.2"/>
    <row r="116" ht="11.4" hidden="1" x14ac:dyDescent="0.2"/>
    <row r="117" ht="11.4" hidden="1" x14ac:dyDescent="0.2"/>
  </sheetData>
  <sheetProtection algorithmName="SHA-512" hashValue="TGkabmFsugBTmc4A5I1Lkyqfoh083RH8ikOkBFw2lPNqtN1A0aaDDu4YLMzDqqFApHu55WIydxjsHSXIkaSorQ==" saltValue="/r8U8uHGNOSkM+BjlsUamA==" spinCount="100000" sheet="1" objects="1" scenarios="1"/>
  <printOptions horizontalCentered="1"/>
  <pageMargins left="0.25" right="0.25" top="0.25" bottom="0.5" header="0.25" footer="0.25"/>
  <pageSetup scale="62" orientation="portrait" horizontalDpi="300" r:id="rId1"/>
  <headerFooter alignWithMargins="0">
    <oddFooter>&amp;R&amp;A, Page 3 of 3,  (Printed:  &amp;D,   &amp;T ) Using ver 1.04r6</oddFooter>
  </headerFooter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pageSetUpPr fitToPage="1"/>
  </sheetPr>
  <dimension ref="A1:AJ98"/>
  <sheetViews>
    <sheetView showGridLines="0" zoomScaleNormal="100" workbookViewId="0"/>
  </sheetViews>
  <sheetFormatPr defaultColWidth="0" defaultRowHeight="0" customHeight="1" zeroHeight="1" x14ac:dyDescent="0.2"/>
  <cols>
    <col min="1" max="1" width="6.88671875" style="171" customWidth="1"/>
    <col min="2" max="2" width="5.6640625" style="171" customWidth="1"/>
    <col min="3" max="3" width="7" style="171" customWidth="1"/>
    <col min="4" max="6" width="15.44140625" style="171" customWidth="1"/>
    <col min="7" max="7" width="9.44140625" style="171" customWidth="1"/>
    <col min="8" max="8" width="15.44140625" style="171" customWidth="1"/>
    <col min="9" max="9" width="9.5546875" style="171" customWidth="1"/>
    <col min="10" max="10" width="9.44140625" style="171" customWidth="1"/>
    <col min="11" max="11" width="15.44140625" style="171" customWidth="1"/>
    <col min="12" max="12" width="8.33203125" style="171" customWidth="1"/>
    <col min="13" max="13" width="9.109375" style="171" customWidth="1"/>
    <col min="14" max="14" width="6.109375" style="171" customWidth="1"/>
    <col min="15" max="15" width="7.6640625" style="171" customWidth="1"/>
    <col min="16" max="21" width="15.44140625" style="171" customWidth="1"/>
    <col min="22" max="22" width="8.5546875" style="171" customWidth="1"/>
    <col min="23" max="23" width="11" style="171" hidden="1" customWidth="1"/>
    <col min="24" max="24" width="13" style="171" hidden="1" customWidth="1"/>
    <col min="25" max="25" width="16.88671875" style="171" hidden="1" customWidth="1"/>
    <col min="26" max="26" width="10.6640625" style="171" hidden="1" customWidth="1"/>
    <col min="27" max="27" width="11.88671875" style="171" customWidth="1"/>
    <col min="28" max="28" width="6.88671875" style="171" customWidth="1"/>
    <col min="29" max="29" width="5.6640625" style="171" customWidth="1"/>
    <col min="30" max="30" width="7" style="171" customWidth="1"/>
    <col min="31" max="31" width="15.44140625" style="171" customWidth="1"/>
    <col min="32" max="32" width="9.44140625" style="171" customWidth="1"/>
    <col min="33" max="33" width="15.44140625" style="171" customWidth="1"/>
    <col min="34" max="34" width="9.5546875" style="171" customWidth="1"/>
    <col min="35" max="35" width="9.44140625" style="171" customWidth="1"/>
    <col min="36" max="36" width="15.44140625" style="171" customWidth="1"/>
    <col min="37" max="37" width="1.33203125" style="171" customWidth="1"/>
    <col min="38" max="256" width="8.6640625" style="171" customWidth="1"/>
    <col min="257" max="257" width="6.88671875" style="171" customWidth="1"/>
    <col min="258" max="258" width="5.6640625" style="171" customWidth="1"/>
    <col min="259" max="259" width="7" style="171" customWidth="1"/>
    <col min="260" max="262" width="15.44140625" style="171" customWidth="1"/>
    <col min="263" max="263" width="9.44140625" style="171" customWidth="1"/>
    <col min="264" max="264" width="15.44140625" style="171" customWidth="1"/>
    <col min="265" max="265" width="9.5546875" style="171" customWidth="1"/>
    <col min="266" max="266" width="9.44140625" style="171" customWidth="1"/>
    <col min="267" max="267" width="15.44140625" style="171" customWidth="1"/>
    <col min="268" max="268" width="8.33203125" style="171" customWidth="1"/>
    <col min="269" max="269" width="9.109375" style="171" customWidth="1"/>
    <col min="270" max="270" width="6.109375" style="171" customWidth="1"/>
    <col min="271" max="271" width="7.6640625" style="171" customWidth="1"/>
    <col min="272" max="277" width="15.44140625" style="171" customWidth="1"/>
    <col min="278" max="278" width="8.5546875" style="171" customWidth="1"/>
    <col min="279" max="283" width="0" style="171" hidden="1" customWidth="1"/>
    <col min="284" max="284" width="6.88671875" style="171" customWidth="1"/>
    <col min="285" max="285" width="5.6640625" style="171" customWidth="1"/>
    <col min="286" max="286" width="7" style="171" customWidth="1"/>
    <col min="287" max="287" width="15.44140625" style="171" customWidth="1"/>
    <col min="288" max="288" width="9.44140625" style="171" customWidth="1"/>
    <col min="289" max="289" width="15.44140625" style="171" customWidth="1"/>
    <col min="290" max="290" width="9.5546875" style="171" customWidth="1"/>
    <col min="291" max="291" width="9.44140625" style="171" customWidth="1"/>
    <col min="292" max="292" width="15.44140625" style="171" customWidth="1"/>
    <col min="293" max="293" width="0" style="171" hidden="1" customWidth="1"/>
    <col min="294" max="512" width="0" style="171" hidden="1"/>
    <col min="513" max="513" width="6.88671875" style="171" customWidth="1"/>
    <col min="514" max="514" width="5.6640625" style="171" customWidth="1"/>
    <col min="515" max="515" width="7" style="171" customWidth="1"/>
    <col min="516" max="518" width="15.44140625" style="171" customWidth="1"/>
    <col min="519" max="519" width="9.44140625" style="171" customWidth="1"/>
    <col min="520" max="520" width="15.44140625" style="171" customWidth="1"/>
    <col min="521" max="521" width="9.5546875" style="171" customWidth="1"/>
    <col min="522" max="522" width="9.44140625" style="171" customWidth="1"/>
    <col min="523" max="523" width="15.44140625" style="171" customWidth="1"/>
    <col min="524" max="524" width="8.33203125" style="171" customWidth="1"/>
    <col min="525" max="525" width="9.109375" style="171" customWidth="1"/>
    <col min="526" max="526" width="6.109375" style="171" customWidth="1"/>
    <col min="527" max="527" width="7.6640625" style="171" customWidth="1"/>
    <col min="528" max="533" width="15.44140625" style="171" customWidth="1"/>
    <col min="534" max="534" width="8.5546875" style="171" customWidth="1"/>
    <col min="535" max="539" width="0" style="171" hidden="1" customWidth="1"/>
    <col min="540" max="540" width="6.88671875" style="171" customWidth="1"/>
    <col min="541" max="541" width="5.6640625" style="171" customWidth="1"/>
    <col min="542" max="542" width="7" style="171" customWidth="1"/>
    <col min="543" max="543" width="15.44140625" style="171" customWidth="1"/>
    <col min="544" max="544" width="9.44140625" style="171" customWidth="1"/>
    <col min="545" max="545" width="15.44140625" style="171" customWidth="1"/>
    <col min="546" max="546" width="9.5546875" style="171" customWidth="1"/>
    <col min="547" max="547" width="9.44140625" style="171" customWidth="1"/>
    <col min="548" max="548" width="15.44140625" style="171" customWidth="1"/>
    <col min="549" max="549" width="0" style="171" hidden="1" customWidth="1"/>
    <col min="550" max="768" width="0" style="171" hidden="1"/>
    <col min="769" max="769" width="6.88671875" style="171" customWidth="1"/>
    <col min="770" max="770" width="5.6640625" style="171" customWidth="1"/>
    <col min="771" max="771" width="7" style="171" customWidth="1"/>
    <col min="772" max="774" width="15.44140625" style="171" customWidth="1"/>
    <col min="775" max="775" width="9.44140625" style="171" customWidth="1"/>
    <col min="776" max="776" width="15.44140625" style="171" customWidth="1"/>
    <col min="777" max="777" width="9.5546875" style="171" customWidth="1"/>
    <col min="778" max="778" width="9.44140625" style="171" customWidth="1"/>
    <col min="779" max="779" width="15.44140625" style="171" customWidth="1"/>
    <col min="780" max="780" width="8.33203125" style="171" customWidth="1"/>
    <col min="781" max="781" width="9.109375" style="171" customWidth="1"/>
    <col min="782" max="782" width="6.109375" style="171" customWidth="1"/>
    <col min="783" max="783" width="7.6640625" style="171" customWidth="1"/>
    <col min="784" max="789" width="15.44140625" style="171" customWidth="1"/>
    <col min="790" max="790" width="8.5546875" style="171" customWidth="1"/>
    <col min="791" max="795" width="0" style="171" hidden="1" customWidth="1"/>
    <col min="796" max="796" width="6.88671875" style="171" customWidth="1"/>
    <col min="797" max="797" width="5.6640625" style="171" customWidth="1"/>
    <col min="798" max="798" width="7" style="171" customWidth="1"/>
    <col min="799" max="799" width="15.44140625" style="171" customWidth="1"/>
    <col min="800" max="800" width="9.44140625" style="171" customWidth="1"/>
    <col min="801" max="801" width="15.44140625" style="171" customWidth="1"/>
    <col min="802" max="802" width="9.5546875" style="171" customWidth="1"/>
    <col min="803" max="803" width="9.44140625" style="171" customWidth="1"/>
    <col min="804" max="804" width="15.44140625" style="171" customWidth="1"/>
    <col min="805" max="805" width="0" style="171" hidden="1" customWidth="1"/>
    <col min="806" max="1024" width="0" style="171" hidden="1"/>
    <col min="1025" max="1025" width="6.88671875" style="171" customWidth="1"/>
    <col min="1026" max="1026" width="5.6640625" style="171" customWidth="1"/>
    <col min="1027" max="1027" width="7" style="171" customWidth="1"/>
    <col min="1028" max="1030" width="15.44140625" style="171" customWidth="1"/>
    <col min="1031" max="1031" width="9.44140625" style="171" customWidth="1"/>
    <col min="1032" max="1032" width="15.44140625" style="171" customWidth="1"/>
    <col min="1033" max="1033" width="9.5546875" style="171" customWidth="1"/>
    <col min="1034" max="1034" width="9.44140625" style="171" customWidth="1"/>
    <col min="1035" max="1035" width="15.44140625" style="171" customWidth="1"/>
    <col min="1036" max="1036" width="8.33203125" style="171" customWidth="1"/>
    <col min="1037" max="1037" width="9.109375" style="171" customWidth="1"/>
    <col min="1038" max="1038" width="6.109375" style="171" customWidth="1"/>
    <col min="1039" max="1039" width="7.6640625" style="171" customWidth="1"/>
    <col min="1040" max="1045" width="15.44140625" style="171" customWidth="1"/>
    <col min="1046" max="1046" width="8.5546875" style="171" customWidth="1"/>
    <col min="1047" max="1051" width="0" style="171" hidden="1" customWidth="1"/>
    <col min="1052" max="1052" width="6.88671875" style="171" customWidth="1"/>
    <col min="1053" max="1053" width="5.6640625" style="171" customWidth="1"/>
    <col min="1054" max="1054" width="7" style="171" customWidth="1"/>
    <col min="1055" max="1055" width="15.44140625" style="171" customWidth="1"/>
    <col min="1056" max="1056" width="9.44140625" style="171" customWidth="1"/>
    <col min="1057" max="1057" width="15.44140625" style="171" customWidth="1"/>
    <col min="1058" max="1058" width="9.5546875" style="171" customWidth="1"/>
    <col min="1059" max="1059" width="9.44140625" style="171" customWidth="1"/>
    <col min="1060" max="1060" width="15.44140625" style="171" customWidth="1"/>
    <col min="1061" max="1061" width="0" style="171" hidden="1" customWidth="1"/>
    <col min="1062" max="1280" width="0" style="171" hidden="1"/>
    <col min="1281" max="1281" width="6.88671875" style="171" customWidth="1"/>
    <col min="1282" max="1282" width="5.6640625" style="171" customWidth="1"/>
    <col min="1283" max="1283" width="7" style="171" customWidth="1"/>
    <col min="1284" max="1286" width="15.44140625" style="171" customWidth="1"/>
    <col min="1287" max="1287" width="9.44140625" style="171" customWidth="1"/>
    <col min="1288" max="1288" width="15.44140625" style="171" customWidth="1"/>
    <col min="1289" max="1289" width="9.5546875" style="171" customWidth="1"/>
    <col min="1290" max="1290" width="9.44140625" style="171" customWidth="1"/>
    <col min="1291" max="1291" width="15.44140625" style="171" customWidth="1"/>
    <col min="1292" max="1292" width="8.33203125" style="171" customWidth="1"/>
    <col min="1293" max="1293" width="9.109375" style="171" customWidth="1"/>
    <col min="1294" max="1294" width="6.109375" style="171" customWidth="1"/>
    <col min="1295" max="1295" width="7.6640625" style="171" customWidth="1"/>
    <col min="1296" max="1301" width="15.44140625" style="171" customWidth="1"/>
    <col min="1302" max="1302" width="8.5546875" style="171" customWidth="1"/>
    <col min="1303" max="1307" width="0" style="171" hidden="1" customWidth="1"/>
    <col min="1308" max="1308" width="6.88671875" style="171" customWidth="1"/>
    <col min="1309" max="1309" width="5.6640625" style="171" customWidth="1"/>
    <col min="1310" max="1310" width="7" style="171" customWidth="1"/>
    <col min="1311" max="1311" width="15.44140625" style="171" customWidth="1"/>
    <col min="1312" max="1312" width="9.44140625" style="171" customWidth="1"/>
    <col min="1313" max="1313" width="15.44140625" style="171" customWidth="1"/>
    <col min="1314" max="1314" width="9.5546875" style="171" customWidth="1"/>
    <col min="1315" max="1315" width="9.44140625" style="171" customWidth="1"/>
    <col min="1316" max="1316" width="15.44140625" style="171" customWidth="1"/>
    <col min="1317" max="1317" width="0" style="171" hidden="1" customWidth="1"/>
    <col min="1318" max="1536" width="0" style="171" hidden="1"/>
    <col min="1537" max="1537" width="6.88671875" style="171" customWidth="1"/>
    <col min="1538" max="1538" width="5.6640625" style="171" customWidth="1"/>
    <col min="1539" max="1539" width="7" style="171" customWidth="1"/>
    <col min="1540" max="1542" width="15.44140625" style="171" customWidth="1"/>
    <col min="1543" max="1543" width="9.44140625" style="171" customWidth="1"/>
    <col min="1544" max="1544" width="15.44140625" style="171" customWidth="1"/>
    <col min="1545" max="1545" width="9.5546875" style="171" customWidth="1"/>
    <col min="1546" max="1546" width="9.44140625" style="171" customWidth="1"/>
    <col min="1547" max="1547" width="15.44140625" style="171" customWidth="1"/>
    <col min="1548" max="1548" width="8.33203125" style="171" customWidth="1"/>
    <col min="1549" max="1549" width="9.109375" style="171" customWidth="1"/>
    <col min="1550" max="1550" width="6.109375" style="171" customWidth="1"/>
    <col min="1551" max="1551" width="7.6640625" style="171" customWidth="1"/>
    <col min="1552" max="1557" width="15.44140625" style="171" customWidth="1"/>
    <col min="1558" max="1558" width="8.5546875" style="171" customWidth="1"/>
    <col min="1559" max="1563" width="0" style="171" hidden="1" customWidth="1"/>
    <col min="1564" max="1564" width="6.88671875" style="171" customWidth="1"/>
    <col min="1565" max="1565" width="5.6640625" style="171" customWidth="1"/>
    <col min="1566" max="1566" width="7" style="171" customWidth="1"/>
    <col min="1567" max="1567" width="15.44140625" style="171" customWidth="1"/>
    <col min="1568" max="1568" width="9.44140625" style="171" customWidth="1"/>
    <col min="1569" max="1569" width="15.44140625" style="171" customWidth="1"/>
    <col min="1570" max="1570" width="9.5546875" style="171" customWidth="1"/>
    <col min="1571" max="1571" width="9.44140625" style="171" customWidth="1"/>
    <col min="1572" max="1572" width="15.44140625" style="171" customWidth="1"/>
    <col min="1573" max="1573" width="0" style="171" hidden="1" customWidth="1"/>
    <col min="1574" max="1792" width="0" style="171" hidden="1"/>
    <col min="1793" max="1793" width="6.88671875" style="171" customWidth="1"/>
    <col min="1794" max="1794" width="5.6640625" style="171" customWidth="1"/>
    <col min="1795" max="1795" width="7" style="171" customWidth="1"/>
    <col min="1796" max="1798" width="15.44140625" style="171" customWidth="1"/>
    <col min="1799" max="1799" width="9.44140625" style="171" customWidth="1"/>
    <col min="1800" max="1800" width="15.44140625" style="171" customWidth="1"/>
    <col min="1801" max="1801" width="9.5546875" style="171" customWidth="1"/>
    <col min="1802" max="1802" width="9.44140625" style="171" customWidth="1"/>
    <col min="1803" max="1803" width="15.44140625" style="171" customWidth="1"/>
    <col min="1804" max="1804" width="8.33203125" style="171" customWidth="1"/>
    <col min="1805" max="1805" width="9.109375" style="171" customWidth="1"/>
    <col min="1806" max="1806" width="6.109375" style="171" customWidth="1"/>
    <col min="1807" max="1807" width="7.6640625" style="171" customWidth="1"/>
    <col min="1808" max="1813" width="15.44140625" style="171" customWidth="1"/>
    <col min="1814" max="1814" width="8.5546875" style="171" customWidth="1"/>
    <col min="1815" max="1819" width="0" style="171" hidden="1" customWidth="1"/>
    <col min="1820" max="1820" width="6.88671875" style="171" customWidth="1"/>
    <col min="1821" max="1821" width="5.6640625" style="171" customWidth="1"/>
    <col min="1822" max="1822" width="7" style="171" customWidth="1"/>
    <col min="1823" max="1823" width="15.44140625" style="171" customWidth="1"/>
    <col min="1824" max="1824" width="9.44140625" style="171" customWidth="1"/>
    <col min="1825" max="1825" width="15.44140625" style="171" customWidth="1"/>
    <col min="1826" max="1826" width="9.5546875" style="171" customWidth="1"/>
    <col min="1827" max="1827" width="9.44140625" style="171" customWidth="1"/>
    <col min="1828" max="1828" width="15.44140625" style="171" customWidth="1"/>
    <col min="1829" max="1829" width="0" style="171" hidden="1" customWidth="1"/>
    <col min="1830" max="2048" width="0" style="171" hidden="1"/>
    <col min="2049" max="2049" width="6.88671875" style="171" customWidth="1"/>
    <col min="2050" max="2050" width="5.6640625" style="171" customWidth="1"/>
    <col min="2051" max="2051" width="7" style="171" customWidth="1"/>
    <col min="2052" max="2054" width="15.44140625" style="171" customWidth="1"/>
    <col min="2055" max="2055" width="9.44140625" style="171" customWidth="1"/>
    <col min="2056" max="2056" width="15.44140625" style="171" customWidth="1"/>
    <col min="2057" max="2057" width="9.5546875" style="171" customWidth="1"/>
    <col min="2058" max="2058" width="9.44140625" style="171" customWidth="1"/>
    <col min="2059" max="2059" width="15.44140625" style="171" customWidth="1"/>
    <col min="2060" max="2060" width="8.33203125" style="171" customWidth="1"/>
    <col min="2061" max="2061" width="9.109375" style="171" customWidth="1"/>
    <col min="2062" max="2062" width="6.109375" style="171" customWidth="1"/>
    <col min="2063" max="2063" width="7.6640625" style="171" customWidth="1"/>
    <col min="2064" max="2069" width="15.44140625" style="171" customWidth="1"/>
    <col min="2070" max="2070" width="8.5546875" style="171" customWidth="1"/>
    <col min="2071" max="2075" width="0" style="171" hidden="1" customWidth="1"/>
    <col min="2076" max="2076" width="6.88671875" style="171" customWidth="1"/>
    <col min="2077" max="2077" width="5.6640625" style="171" customWidth="1"/>
    <col min="2078" max="2078" width="7" style="171" customWidth="1"/>
    <col min="2079" max="2079" width="15.44140625" style="171" customWidth="1"/>
    <col min="2080" max="2080" width="9.44140625" style="171" customWidth="1"/>
    <col min="2081" max="2081" width="15.44140625" style="171" customWidth="1"/>
    <col min="2082" max="2082" width="9.5546875" style="171" customWidth="1"/>
    <col min="2083" max="2083" width="9.44140625" style="171" customWidth="1"/>
    <col min="2084" max="2084" width="15.44140625" style="171" customWidth="1"/>
    <col min="2085" max="2085" width="0" style="171" hidden="1" customWidth="1"/>
    <col min="2086" max="2304" width="0" style="171" hidden="1"/>
    <col min="2305" max="2305" width="6.88671875" style="171" customWidth="1"/>
    <col min="2306" max="2306" width="5.6640625" style="171" customWidth="1"/>
    <col min="2307" max="2307" width="7" style="171" customWidth="1"/>
    <col min="2308" max="2310" width="15.44140625" style="171" customWidth="1"/>
    <col min="2311" max="2311" width="9.44140625" style="171" customWidth="1"/>
    <col min="2312" max="2312" width="15.44140625" style="171" customWidth="1"/>
    <col min="2313" max="2313" width="9.5546875" style="171" customWidth="1"/>
    <col min="2314" max="2314" width="9.44140625" style="171" customWidth="1"/>
    <col min="2315" max="2315" width="15.44140625" style="171" customWidth="1"/>
    <col min="2316" max="2316" width="8.33203125" style="171" customWidth="1"/>
    <col min="2317" max="2317" width="9.109375" style="171" customWidth="1"/>
    <col min="2318" max="2318" width="6.109375" style="171" customWidth="1"/>
    <col min="2319" max="2319" width="7.6640625" style="171" customWidth="1"/>
    <col min="2320" max="2325" width="15.44140625" style="171" customWidth="1"/>
    <col min="2326" max="2326" width="8.5546875" style="171" customWidth="1"/>
    <col min="2327" max="2331" width="0" style="171" hidden="1" customWidth="1"/>
    <col min="2332" max="2332" width="6.88671875" style="171" customWidth="1"/>
    <col min="2333" max="2333" width="5.6640625" style="171" customWidth="1"/>
    <col min="2334" max="2334" width="7" style="171" customWidth="1"/>
    <col min="2335" max="2335" width="15.44140625" style="171" customWidth="1"/>
    <col min="2336" max="2336" width="9.44140625" style="171" customWidth="1"/>
    <col min="2337" max="2337" width="15.44140625" style="171" customWidth="1"/>
    <col min="2338" max="2338" width="9.5546875" style="171" customWidth="1"/>
    <col min="2339" max="2339" width="9.44140625" style="171" customWidth="1"/>
    <col min="2340" max="2340" width="15.44140625" style="171" customWidth="1"/>
    <col min="2341" max="2341" width="0" style="171" hidden="1" customWidth="1"/>
    <col min="2342" max="2560" width="0" style="171" hidden="1"/>
    <col min="2561" max="2561" width="6.88671875" style="171" customWidth="1"/>
    <col min="2562" max="2562" width="5.6640625" style="171" customWidth="1"/>
    <col min="2563" max="2563" width="7" style="171" customWidth="1"/>
    <col min="2564" max="2566" width="15.44140625" style="171" customWidth="1"/>
    <col min="2567" max="2567" width="9.44140625" style="171" customWidth="1"/>
    <col min="2568" max="2568" width="15.44140625" style="171" customWidth="1"/>
    <col min="2569" max="2569" width="9.5546875" style="171" customWidth="1"/>
    <col min="2570" max="2570" width="9.44140625" style="171" customWidth="1"/>
    <col min="2571" max="2571" width="15.44140625" style="171" customWidth="1"/>
    <col min="2572" max="2572" width="8.33203125" style="171" customWidth="1"/>
    <col min="2573" max="2573" width="9.109375" style="171" customWidth="1"/>
    <col min="2574" max="2574" width="6.109375" style="171" customWidth="1"/>
    <col min="2575" max="2575" width="7.6640625" style="171" customWidth="1"/>
    <col min="2576" max="2581" width="15.44140625" style="171" customWidth="1"/>
    <col min="2582" max="2582" width="8.5546875" style="171" customWidth="1"/>
    <col min="2583" max="2587" width="0" style="171" hidden="1" customWidth="1"/>
    <col min="2588" max="2588" width="6.88671875" style="171" customWidth="1"/>
    <col min="2589" max="2589" width="5.6640625" style="171" customWidth="1"/>
    <col min="2590" max="2590" width="7" style="171" customWidth="1"/>
    <col min="2591" max="2591" width="15.44140625" style="171" customWidth="1"/>
    <col min="2592" max="2592" width="9.44140625" style="171" customWidth="1"/>
    <col min="2593" max="2593" width="15.44140625" style="171" customWidth="1"/>
    <col min="2594" max="2594" width="9.5546875" style="171" customWidth="1"/>
    <col min="2595" max="2595" width="9.44140625" style="171" customWidth="1"/>
    <col min="2596" max="2596" width="15.44140625" style="171" customWidth="1"/>
    <col min="2597" max="2597" width="0" style="171" hidden="1" customWidth="1"/>
    <col min="2598" max="2816" width="0" style="171" hidden="1"/>
    <col min="2817" max="2817" width="6.88671875" style="171" customWidth="1"/>
    <col min="2818" max="2818" width="5.6640625" style="171" customWidth="1"/>
    <col min="2819" max="2819" width="7" style="171" customWidth="1"/>
    <col min="2820" max="2822" width="15.44140625" style="171" customWidth="1"/>
    <col min="2823" max="2823" width="9.44140625" style="171" customWidth="1"/>
    <col min="2824" max="2824" width="15.44140625" style="171" customWidth="1"/>
    <col min="2825" max="2825" width="9.5546875" style="171" customWidth="1"/>
    <col min="2826" max="2826" width="9.44140625" style="171" customWidth="1"/>
    <col min="2827" max="2827" width="15.44140625" style="171" customWidth="1"/>
    <col min="2828" max="2828" width="8.33203125" style="171" customWidth="1"/>
    <col min="2829" max="2829" width="9.109375" style="171" customWidth="1"/>
    <col min="2830" max="2830" width="6.109375" style="171" customWidth="1"/>
    <col min="2831" max="2831" width="7.6640625" style="171" customWidth="1"/>
    <col min="2832" max="2837" width="15.44140625" style="171" customWidth="1"/>
    <col min="2838" max="2838" width="8.5546875" style="171" customWidth="1"/>
    <col min="2839" max="2843" width="0" style="171" hidden="1" customWidth="1"/>
    <col min="2844" max="2844" width="6.88671875" style="171" customWidth="1"/>
    <col min="2845" max="2845" width="5.6640625" style="171" customWidth="1"/>
    <col min="2846" max="2846" width="7" style="171" customWidth="1"/>
    <col min="2847" max="2847" width="15.44140625" style="171" customWidth="1"/>
    <col min="2848" max="2848" width="9.44140625" style="171" customWidth="1"/>
    <col min="2849" max="2849" width="15.44140625" style="171" customWidth="1"/>
    <col min="2850" max="2850" width="9.5546875" style="171" customWidth="1"/>
    <col min="2851" max="2851" width="9.44140625" style="171" customWidth="1"/>
    <col min="2852" max="2852" width="15.44140625" style="171" customWidth="1"/>
    <col min="2853" max="2853" width="0" style="171" hidden="1" customWidth="1"/>
    <col min="2854" max="3072" width="0" style="171" hidden="1"/>
    <col min="3073" max="3073" width="6.88671875" style="171" customWidth="1"/>
    <col min="3074" max="3074" width="5.6640625" style="171" customWidth="1"/>
    <col min="3075" max="3075" width="7" style="171" customWidth="1"/>
    <col min="3076" max="3078" width="15.44140625" style="171" customWidth="1"/>
    <col min="3079" max="3079" width="9.44140625" style="171" customWidth="1"/>
    <col min="3080" max="3080" width="15.44140625" style="171" customWidth="1"/>
    <col min="3081" max="3081" width="9.5546875" style="171" customWidth="1"/>
    <col min="3082" max="3082" width="9.44140625" style="171" customWidth="1"/>
    <col min="3083" max="3083" width="15.44140625" style="171" customWidth="1"/>
    <col min="3084" max="3084" width="8.33203125" style="171" customWidth="1"/>
    <col min="3085" max="3085" width="9.109375" style="171" customWidth="1"/>
    <col min="3086" max="3086" width="6.109375" style="171" customWidth="1"/>
    <col min="3087" max="3087" width="7.6640625" style="171" customWidth="1"/>
    <col min="3088" max="3093" width="15.44140625" style="171" customWidth="1"/>
    <col min="3094" max="3094" width="8.5546875" style="171" customWidth="1"/>
    <col min="3095" max="3099" width="0" style="171" hidden="1" customWidth="1"/>
    <col min="3100" max="3100" width="6.88671875" style="171" customWidth="1"/>
    <col min="3101" max="3101" width="5.6640625" style="171" customWidth="1"/>
    <col min="3102" max="3102" width="7" style="171" customWidth="1"/>
    <col min="3103" max="3103" width="15.44140625" style="171" customWidth="1"/>
    <col min="3104" max="3104" width="9.44140625" style="171" customWidth="1"/>
    <col min="3105" max="3105" width="15.44140625" style="171" customWidth="1"/>
    <col min="3106" max="3106" width="9.5546875" style="171" customWidth="1"/>
    <col min="3107" max="3107" width="9.44140625" style="171" customWidth="1"/>
    <col min="3108" max="3108" width="15.44140625" style="171" customWidth="1"/>
    <col min="3109" max="3109" width="0" style="171" hidden="1" customWidth="1"/>
    <col min="3110" max="3328" width="0" style="171" hidden="1"/>
    <col min="3329" max="3329" width="6.88671875" style="171" customWidth="1"/>
    <col min="3330" max="3330" width="5.6640625" style="171" customWidth="1"/>
    <col min="3331" max="3331" width="7" style="171" customWidth="1"/>
    <col min="3332" max="3334" width="15.44140625" style="171" customWidth="1"/>
    <col min="3335" max="3335" width="9.44140625" style="171" customWidth="1"/>
    <col min="3336" max="3336" width="15.44140625" style="171" customWidth="1"/>
    <col min="3337" max="3337" width="9.5546875" style="171" customWidth="1"/>
    <col min="3338" max="3338" width="9.44140625" style="171" customWidth="1"/>
    <col min="3339" max="3339" width="15.44140625" style="171" customWidth="1"/>
    <col min="3340" max="3340" width="8.33203125" style="171" customWidth="1"/>
    <col min="3341" max="3341" width="9.109375" style="171" customWidth="1"/>
    <col min="3342" max="3342" width="6.109375" style="171" customWidth="1"/>
    <col min="3343" max="3343" width="7.6640625" style="171" customWidth="1"/>
    <col min="3344" max="3349" width="15.44140625" style="171" customWidth="1"/>
    <col min="3350" max="3350" width="8.5546875" style="171" customWidth="1"/>
    <col min="3351" max="3355" width="0" style="171" hidden="1" customWidth="1"/>
    <col min="3356" max="3356" width="6.88671875" style="171" customWidth="1"/>
    <col min="3357" max="3357" width="5.6640625" style="171" customWidth="1"/>
    <col min="3358" max="3358" width="7" style="171" customWidth="1"/>
    <col min="3359" max="3359" width="15.44140625" style="171" customWidth="1"/>
    <col min="3360" max="3360" width="9.44140625" style="171" customWidth="1"/>
    <col min="3361" max="3361" width="15.44140625" style="171" customWidth="1"/>
    <col min="3362" max="3362" width="9.5546875" style="171" customWidth="1"/>
    <col min="3363" max="3363" width="9.44140625" style="171" customWidth="1"/>
    <col min="3364" max="3364" width="15.44140625" style="171" customWidth="1"/>
    <col min="3365" max="3365" width="0" style="171" hidden="1" customWidth="1"/>
    <col min="3366" max="3584" width="0" style="171" hidden="1"/>
    <col min="3585" max="3585" width="6.88671875" style="171" customWidth="1"/>
    <col min="3586" max="3586" width="5.6640625" style="171" customWidth="1"/>
    <col min="3587" max="3587" width="7" style="171" customWidth="1"/>
    <col min="3588" max="3590" width="15.44140625" style="171" customWidth="1"/>
    <col min="3591" max="3591" width="9.44140625" style="171" customWidth="1"/>
    <col min="3592" max="3592" width="15.44140625" style="171" customWidth="1"/>
    <col min="3593" max="3593" width="9.5546875" style="171" customWidth="1"/>
    <col min="3594" max="3594" width="9.44140625" style="171" customWidth="1"/>
    <col min="3595" max="3595" width="15.44140625" style="171" customWidth="1"/>
    <col min="3596" max="3596" width="8.33203125" style="171" customWidth="1"/>
    <col min="3597" max="3597" width="9.109375" style="171" customWidth="1"/>
    <col min="3598" max="3598" width="6.109375" style="171" customWidth="1"/>
    <col min="3599" max="3599" width="7.6640625" style="171" customWidth="1"/>
    <col min="3600" max="3605" width="15.44140625" style="171" customWidth="1"/>
    <col min="3606" max="3606" width="8.5546875" style="171" customWidth="1"/>
    <col min="3607" max="3611" width="0" style="171" hidden="1" customWidth="1"/>
    <col min="3612" max="3612" width="6.88671875" style="171" customWidth="1"/>
    <col min="3613" max="3613" width="5.6640625" style="171" customWidth="1"/>
    <col min="3614" max="3614" width="7" style="171" customWidth="1"/>
    <col min="3615" max="3615" width="15.44140625" style="171" customWidth="1"/>
    <col min="3616" max="3616" width="9.44140625" style="171" customWidth="1"/>
    <col min="3617" max="3617" width="15.44140625" style="171" customWidth="1"/>
    <col min="3618" max="3618" width="9.5546875" style="171" customWidth="1"/>
    <col min="3619" max="3619" width="9.44140625" style="171" customWidth="1"/>
    <col min="3620" max="3620" width="15.44140625" style="171" customWidth="1"/>
    <col min="3621" max="3621" width="0" style="171" hidden="1" customWidth="1"/>
    <col min="3622" max="3840" width="0" style="171" hidden="1"/>
    <col min="3841" max="3841" width="6.88671875" style="171" customWidth="1"/>
    <col min="3842" max="3842" width="5.6640625" style="171" customWidth="1"/>
    <col min="3843" max="3843" width="7" style="171" customWidth="1"/>
    <col min="3844" max="3846" width="15.44140625" style="171" customWidth="1"/>
    <col min="3847" max="3847" width="9.44140625" style="171" customWidth="1"/>
    <col min="3848" max="3848" width="15.44140625" style="171" customWidth="1"/>
    <col min="3849" max="3849" width="9.5546875" style="171" customWidth="1"/>
    <col min="3850" max="3850" width="9.44140625" style="171" customWidth="1"/>
    <col min="3851" max="3851" width="15.44140625" style="171" customWidth="1"/>
    <col min="3852" max="3852" width="8.33203125" style="171" customWidth="1"/>
    <col min="3853" max="3853" width="9.109375" style="171" customWidth="1"/>
    <col min="3854" max="3854" width="6.109375" style="171" customWidth="1"/>
    <col min="3855" max="3855" width="7.6640625" style="171" customWidth="1"/>
    <col min="3856" max="3861" width="15.44140625" style="171" customWidth="1"/>
    <col min="3862" max="3862" width="8.5546875" style="171" customWidth="1"/>
    <col min="3863" max="3867" width="0" style="171" hidden="1" customWidth="1"/>
    <col min="3868" max="3868" width="6.88671875" style="171" customWidth="1"/>
    <col min="3869" max="3869" width="5.6640625" style="171" customWidth="1"/>
    <col min="3870" max="3870" width="7" style="171" customWidth="1"/>
    <col min="3871" max="3871" width="15.44140625" style="171" customWidth="1"/>
    <col min="3872" max="3872" width="9.44140625" style="171" customWidth="1"/>
    <col min="3873" max="3873" width="15.44140625" style="171" customWidth="1"/>
    <col min="3874" max="3874" width="9.5546875" style="171" customWidth="1"/>
    <col min="3875" max="3875" width="9.44140625" style="171" customWidth="1"/>
    <col min="3876" max="3876" width="15.44140625" style="171" customWidth="1"/>
    <col min="3877" max="3877" width="0" style="171" hidden="1" customWidth="1"/>
    <col min="3878" max="4096" width="0" style="171" hidden="1"/>
    <col min="4097" max="4097" width="6.88671875" style="171" customWidth="1"/>
    <col min="4098" max="4098" width="5.6640625" style="171" customWidth="1"/>
    <col min="4099" max="4099" width="7" style="171" customWidth="1"/>
    <col min="4100" max="4102" width="15.44140625" style="171" customWidth="1"/>
    <col min="4103" max="4103" width="9.44140625" style="171" customWidth="1"/>
    <col min="4104" max="4104" width="15.44140625" style="171" customWidth="1"/>
    <col min="4105" max="4105" width="9.5546875" style="171" customWidth="1"/>
    <col min="4106" max="4106" width="9.44140625" style="171" customWidth="1"/>
    <col min="4107" max="4107" width="15.44140625" style="171" customWidth="1"/>
    <col min="4108" max="4108" width="8.33203125" style="171" customWidth="1"/>
    <col min="4109" max="4109" width="9.109375" style="171" customWidth="1"/>
    <col min="4110" max="4110" width="6.109375" style="171" customWidth="1"/>
    <col min="4111" max="4111" width="7.6640625" style="171" customWidth="1"/>
    <col min="4112" max="4117" width="15.44140625" style="171" customWidth="1"/>
    <col min="4118" max="4118" width="8.5546875" style="171" customWidth="1"/>
    <col min="4119" max="4123" width="0" style="171" hidden="1" customWidth="1"/>
    <col min="4124" max="4124" width="6.88671875" style="171" customWidth="1"/>
    <col min="4125" max="4125" width="5.6640625" style="171" customWidth="1"/>
    <col min="4126" max="4126" width="7" style="171" customWidth="1"/>
    <col min="4127" max="4127" width="15.44140625" style="171" customWidth="1"/>
    <col min="4128" max="4128" width="9.44140625" style="171" customWidth="1"/>
    <col min="4129" max="4129" width="15.44140625" style="171" customWidth="1"/>
    <col min="4130" max="4130" width="9.5546875" style="171" customWidth="1"/>
    <col min="4131" max="4131" width="9.44140625" style="171" customWidth="1"/>
    <col min="4132" max="4132" width="15.44140625" style="171" customWidth="1"/>
    <col min="4133" max="4133" width="0" style="171" hidden="1" customWidth="1"/>
    <col min="4134" max="4352" width="0" style="171" hidden="1"/>
    <col min="4353" max="4353" width="6.88671875" style="171" customWidth="1"/>
    <col min="4354" max="4354" width="5.6640625" style="171" customWidth="1"/>
    <col min="4355" max="4355" width="7" style="171" customWidth="1"/>
    <col min="4356" max="4358" width="15.44140625" style="171" customWidth="1"/>
    <col min="4359" max="4359" width="9.44140625" style="171" customWidth="1"/>
    <col min="4360" max="4360" width="15.44140625" style="171" customWidth="1"/>
    <col min="4361" max="4361" width="9.5546875" style="171" customWidth="1"/>
    <col min="4362" max="4362" width="9.44140625" style="171" customWidth="1"/>
    <col min="4363" max="4363" width="15.44140625" style="171" customWidth="1"/>
    <col min="4364" max="4364" width="8.33203125" style="171" customWidth="1"/>
    <col min="4365" max="4365" width="9.109375" style="171" customWidth="1"/>
    <col min="4366" max="4366" width="6.109375" style="171" customWidth="1"/>
    <col min="4367" max="4367" width="7.6640625" style="171" customWidth="1"/>
    <col min="4368" max="4373" width="15.44140625" style="171" customWidth="1"/>
    <col min="4374" max="4374" width="8.5546875" style="171" customWidth="1"/>
    <col min="4375" max="4379" width="0" style="171" hidden="1" customWidth="1"/>
    <col min="4380" max="4380" width="6.88671875" style="171" customWidth="1"/>
    <col min="4381" max="4381" width="5.6640625" style="171" customWidth="1"/>
    <col min="4382" max="4382" width="7" style="171" customWidth="1"/>
    <col min="4383" max="4383" width="15.44140625" style="171" customWidth="1"/>
    <col min="4384" max="4384" width="9.44140625" style="171" customWidth="1"/>
    <col min="4385" max="4385" width="15.44140625" style="171" customWidth="1"/>
    <col min="4386" max="4386" width="9.5546875" style="171" customWidth="1"/>
    <col min="4387" max="4387" width="9.44140625" style="171" customWidth="1"/>
    <col min="4388" max="4388" width="15.44140625" style="171" customWidth="1"/>
    <col min="4389" max="4389" width="0" style="171" hidden="1" customWidth="1"/>
    <col min="4390" max="4608" width="0" style="171" hidden="1"/>
    <col min="4609" max="4609" width="6.88671875" style="171" customWidth="1"/>
    <col min="4610" max="4610" width="5.6640625" style="171" customWidth="1"/>
    <col min="4611" max="4611" width="7" style="171" customWidth="1"/>
    <col min="4612" max="4614" width="15.44140625" style="171" customWidth="1"/>
    <col min="4615" max="4615" width="9.44140625" style="171" customWidth="1"/>
    <col min="4616" max="4616" width="15.44140625" style="171" customWidth="1"/>
    <col min="4617" max="4617" width="9.5546875" style="171" customWidth="1"/>
    <col min="4618" max="4618" width="9.44140625" style="171" customWidth="1"/>
    <col min="4619" max="4619" width="15.44140625" style="171" customWidth="1"/>
    <col min="4620" max="4620" width="8.33203125" style="171" customWidth="1"/>
    <col min="4621" max="4621" width="9.109375" style="171" customWidth="1"/>
    <col min="4622" max="4622" width="6.109375" style="171" customWidth="1"/>
    <col min="4623" max="4623" width="7.6640625" style="171" customWidth="1"/>
    <col min="4624" max="4629" width="15.44140625" style="171" customWidth="1"/>
    <col min="4630" max="4630" width="8.5546875" style="171" customWidth="1"/>
    <col min="4631" max="4635" width="0" style="171" hidden="1" customWidth="1"/>
    <col min="4636" max="4636" width="6.88671875" style="171" customWidth="1"/>
    <col min="4637" max="4637" width="5.6640625" style="171" customWidth="1"/>
    <col min="4638" max="4638" width="7" style="171" customWidth="1"/>
    <col min="4639" max="4639" width="15.44140625" style="171" customWidth="1"/>
    <col min="4640" max="4640" width="9.44140625" style="171" customWidth="1"/>
    <col min="4641" max="4641" width="15.44140625" style="171" customWidth="1"/>
    <col min="4642" max="4642" width="9.5546875" style="171" customWidth="1"/>
    <col min="4643" max="4643" width="9.44140625" style="171" customWidth="1"/>
    <col min="4644" max="4644" width="15.44140625" style="171" customWidth="1"/>
    <col min="4645" max="4645" width="0" style="171" hidden="1" customWidth="1"/>
    <col min="4646" max="4864" width="0" style="171" hidden="1"/>
    <col min="4865" max="4865" width="6.88671875" style="171" customWidth="1"/>
    <col min="4866" max="4866" width="5.6640625" style="171" customWidth="1"/>
    <col min="4867" max="4867" width="7" style="171" customWidth="1"/>
    <col min="4868" max="4870" width="15.44140625" style="171" customWidth="1"/>
    <col min="4871" max="4871" width="9.44140625" style="171" customWidth="1"/>
    <col min="4872" max="4872" width="15.44140625" style="171" customWidth="1"/>
    <col min="4873" max="4873" width="9.5546875" style="171" customWidth="1"/>
    <col min="4874" max="4874" width="9.44140625" style="171" customWidth="1"/>
    <col min="4875" max="4875" width="15.44140625" style="171" customWidth="1"/>
    <col min="4876" max="4876" width="8.33203125" style="171" customWidth="1"/>
    <col min="4877" max="4877" width="9.109375" style="171" customWidth="1"/>
    <col min="4878" max="4878" width="6.109375" style="171" customWidth="1"/>
    <col min="4879" max="4879" width="7.6640625" style="171" customWidth="1"/>
    <col min="4880" max="4885" width="15.44140625" style="171" customWidth="1"/>
    <col min="4886" max="4886" width="8.5546875" style="171" customWidth="1"/>
    <col min="4887" max="4891" width="0" style="171" hidden="1" customWidth="1"/>
    <col min="4892" max="4892" width="6.88671875" style="171" customWidth="1"/>
    <col min="4893" max="4893" width="5.6640625" style="171" customWidth="1"/>
    <col min="4894" max="4894" width="7" style="171" customWidth="1"/>
    <col min="4895" max="4895" width="15.44140625" style="171" customWidth="1"/>
    <col min="4896" max="4896" width="9.44140625" style="171" customWidth="1"/>
    <col min="4897" max="4897" width="15.44140625" style="171" customWidth="1"/>
    <col min="4898" max="4898" width="9.5546875" style="171" customWidth="1"/>
    <col min="4899" max="4899" width="9.44140625" style="171" customWidth="1"/>
    <col min="4900" max="4900" width="15.44140625" style="171" customWidth="1"/>
    <col min="4901" max="4901" width="0" style="171" hidden="1" customWidth="1"/>
    <col min="4902" max="5120" width="0" style="171" hidden="1"/>
    <col min="5121" max="5121" width="6.88671875" style="171" customWidth="1"/>
    <col min="5122" max="5122" width="5.6640625" style="171" customWidth="1"/>
    <col min="5123" max="5123" width="7" style="171" customWidth="1"/>
    <col min="5124" max="5126" width="15.44140625" style="171" customWidth="1"/>
    <col min="5127" max="5127" width="9.44140625" style="171" customWidth="1"/>
    <col min="5128" max="5128" width="15.44140625" style="171" customWidth="1"/>
    <col min="5129" max="5129" width="9.5546875" style="171" customWidth="1"/>
    <col min="5130" max="5130" width="9.44140625" style="171" customWidth="1"/>
    <col min="5131" max="5131" width="15.44140625" style="171" customWidth="1"/>
    <col min="5132" max="5132" width="8.33203125" style="171" customWidth="1"/>
    <col min="5133" max="5133" width="9.109375" style="171" customWidth="1"/>
    <col min="5134" max="5134" width="6.109375" style="171" customWidth="1"/>
    <col min="5135" max="5135" width="7.6640625" style="171" customWidth="1"/>
    <col min="5136" max="5141" width="15.44140625" style="171" customWidth="1"/>
    <col min="5142" max="5142" width="8.5546875" style="171" customWidth="1"/>
    <col min="5143" max="5147" width="0" style="171" hidden="1" customWidth="1"/>
    <col min="5148" max="5148" width="6.88671875" style="171" customWidth="1"/>
    <col min="5149" max="5149" width="5.6640625" style="171" customWidth="1"/>
    <col min="5150" max="5150" width="7" style="171" customWidth="1"/>
    <col min="5151" max="5151" width="15.44140625" style="171" customWidth="1"/>
    <col min="5152" max="5152" width="9.44140625" style="171" customWidth="1"/>
    <col min="5153" max="5153" width="15.44140625" style="171" customWidth="1"/>
    <col min="5154" max="5154" width="9.5546875" style="171" customWidth="1"/>
    <col min="5155" max="5155" width="9.44140625" style="171" customWidth="1"/>
    <col min="5156" max="5156" width="15.44140625" style="171" customWidth="1"/>
    <col min="5157" max="5157" width="0" style="171" hidden="1" customWidth="1"/>
    <col min="5158" max="5376" width="0" style="171" hidden="1"/>
    <col min="5377" max="5377" width="6.88671875" style="171" customWidth="1"/>
    <col min="5378" max="5378" width="5.6640625" style="171" customWidth="1"/>
    <col min="5379" max="5379" width="7" style="171" customWidth="1"/>
    <col min="5380" max="5382" width="15.44140625" style="171" customWidth="1"/>
    <col min="5383" max="5383" width="9.44140625" style="171" customWidth="1"/>
    <col min="5384" max="5384" width="15.44140625" style="171" customWidth="1"/>
    <col min="5385" max="5385" width="9.5546875" style="171" customWidth="1"/>
    <col min="5386" max="5386" width="9.44140625" style="171" customWidth="1"/>
    <col min="5387" max="5387" width="15.44140625" style="171" customWidth="1"/>
    <col min="5388" max="5388" width="8.33203125" style="171" customWidth="1"/>
    <col min="5389" max="5389" width="9.109375" style="171" customWidth="1"/>
    <col min="5390" max="5390" width="6.109375" style="171" customWidth="1"/>
    <col min="5391" max="5391" width="7.6640625" style="171" customWidth="1"/>
    <col min="5392" max="5397" width="15.44140625" style="171" customWidth="1"/>
    <col min="5398" max="5398" width="8.5546875" style="171" customWidth="1"/>
    <col min="5399" max="5403" width="0" style="171" hidden="1" customWidth="1"/>
    <col min="5404" max="5404" width="6.88671875" style="171" customWidth="1"/>
    <col min="5405" max="5405" width="5.6640625" style="171" customWidth="1"/>
    <col min="5406" max="5406" width="7" style="171" customWidth="1"/>
    <col min="5407" max="5407" width="15.44140625" style="171" customWidth="1"/>
    <col min="5408" max="5408" width="9.44140625" style="171" customWidth="1"/>
    <col min="5409" max="5409" width="15.44140625" style="171" customWidth="1"/>
    <col min="5410" max="5410" width="9.5546875" style="171" customWidth="1"/>
    <col min="5411" max="5411" width="9.44140625" style="171" customWidth="1"/>
    <col min="5412" max="5412" width="15.44140625" style="171" customWidth="1"/>
    <col min="5413" max="5413" width="0" style="171" hidden="1" customWidth="1"/>
    <col min="5414" max="5632" width="0" style="171" hidden="1"/>
    <col min="5633" max="5633" width="6.88671875" style="171" customWidth="1"/>
    <col min="5634" max="5634" width="5.6640625" style="171" customWidth="1"/>
    <col min="5635" max="5635" width="7" style="171" customWidth="1"/>
    <col min="5636" max="5638" width="15.44140625" style="171" customWidth="1"/>
    <col min="5639" max="5639" width="9.44140625" style="171" customWidth="1"/>
    <col min="5640" max="5640" width="15.44140625" style="171" customWidth="1"/>
    <col min="5641" max="5641" width="9.5546875" style="171" customWidth="1"/>
    <col min="5642" max="5642" width="9.44140625" style="171" customWidth="1"/>
    <col min="5643" max="5643" width="15.44140625" style="171" customWidth="1"/>
    <col min="5644" max="5644" width="8.33203125" style="171" customWidth="1"/>
    <col min="5645" max="5645" width="9.109375" style="171" customWidth="1"/>
    <col min="5646" max="5646" width="6.109375" style="171" customWidth="1"/>
    <col min="5647" max="5647" width="7.6640625" style="171" customWidth="1"/>
    <col min="5648" max="5653" width="15.44140625" style="171" customWidth="1"/>
    <col min="5654" max="5654" width="8.5546875" style="171" customWidth="1"/>
    <col min="5655" max="5659" width="0" style="171" hidden="1" customWidth="1"/>
    <col min="5660" max="5660" width="6.88671875" style="171" customWidth="1"/>
    <col min="5661" max="5661" width="5.6640625" style="171" customWidth="1"/>
    <col min="5662" max="5662" width="7" style="171" customWidth="1"/>
    <col min="5663" max="5663" width="15.44140625" style="171" customWidth="1"/>
    <col min="5664" max="5664" width="9.44140625" style="171" customWidth="1"/>
    <col min="5665" max="5665" width="15.44140625" style="171" customWidth="1"/>
    <col min="5666" max="5666" width="9.5546875" style="171" customWidth="1"/>
    <col min="5667" max="5667" width="9.44140625" style="171" customWidth="1"/>
    <col min="5668" max="5668" width="15.44140625" style="171" customWidth="1"/>
    <col min="5669" max="5669" width="0" style="171" hidden="1" customWidth="1"/>
    <col min="5670" max="5888" width="0" style="171" hidden="1"/>
    <col min="5889" max="5889" width="6.88671875" style="171" customWidth="1"/>
    <col min="5890" max="5890" width="5.6640625" style="171" customWidth="1"/>
    <col min="5891" max="5891" width="7" style="171" customWidth="1"/>
    <col min="5892" max="5894" width="15.44140625" style="171" customWidth="1"/>
    <col min="5895" max="5895" width="9.44140625" style="171" customWidth="1"/>
    <col min="5896" max="5896" width="15.44140625" style="171" customWidth="1"/>
    <col min="5897" max="5897" width="9.5546875" style="171" customWidth="1"/>
    <col min="5898" max="5898" width="9.44140625" style="171" customWidth="1"/>
    <col min="5899" max="5899" width="15.44140625" style="171" customWidth="1"/>
    <col min="5900" max="5900" width="8.33203125" style="171" customWidth="1"/>
    <col min="5901" max="5901" width="9.109375" style="171" customWidth="1"/>
    <col min="5902" max="5902" width="6.109375" style="171" customWidth="1"/>
    <col min="5903" max="5903" width="7.6640625" style="171" customWidth="1"/>
    <col min="5904" max="5909" width="15.44140625" style="171" customWidth="1"/>
    <col min="5910" max="5910" width="8.5546875" style="171" customWidth="1"/>
    <col min="5911" max="5915" width="0" style="171" hidden="1" customWidth="1"/>
    <col min="5916" max="5916" width="6.88671875" style="171" customWidth="1"/>
    <col min="5917" max="5917" width="5.6640625" style="171" customWidth="1"/>
    <col min="5918" max="5918" width="7" style="171" customWidth="1"/>
    <col min="5919" max="5919" width="15.44140625" style="171" customWidth="1"/>
    <col min="5920" max="5920" width="9.44140625" style="171" customWidth="1"/>
    <col min="5921" max="5921" width="15.44140625" style="171" customWidth="1"/>
    <col min="5922" max="5922" width="9.5546875" style="171" customWidth="1"/>
    <col min="5923" max="5923" width="9.44140625" style="171" customWidth="1"/>
    <col min="5924" max="5924" width="15.44140625" style="171" customWidth="1"/>
    <col min="5925" max="5925" width="0" style="171" hidden="1" customWidth="1"/>
    <col min="5926" max="6144" width="0" style="171" hidden="1"/>
    <col min="6145" max="6145" width="6.88671875" style="171" customWidth="1"/>
    <col min="6146" max="6146" width="5.6640625" style="171" customWidth="1"/>
    <col min="6147" max="6147" width="7" style="171" customWidth="1"/>
    <col min="6148" max="6150" width="15.44140625" style="171" customWidth="1"/>
    <col min="6151" max="6151" width="9.44140625" style="171" customWidth="1"/>
    <col min="6152" max="6152" width="15.44140625" style="171" customWidth="1"/>
    <col min="6153" max="6153" width="9.5546875" style="171" customWidth="1"/>
    <col min="6154" max="6154" width="9.44140625" style="171" customWidth="1"/>
    <col min="6155" max="6155" width="15.44140625" style="171" customWidth="1"/>
    <col min="6156" max="6156" width="8.33203125" style="171" customWidth="1"/>
    <col min="6157" max="6157" width="9.109375" style="171" customWidth="1"/>
    <col min="6158" max="6158" width="6.109375" style="171" customWidth="1"/>
    <col min="6159" max="6159" width="7.6640625" style="171" customWidth="1"/>
    <col min="6160" max="6165" width="15.44140625" style="171" customWidth="1"/>
    <col min="6166" max="6166" width="8.5546875" style="171" customWidth="1"/>
    <col min="6167" max="6171" width="0" style="171" hidden="1" customWidth="1"/>
    <col min="6172" max="6172" width="6.88671875" style="171" customWidth="1"/>
    <col min="6173" max="6173" width="5.6640625" style="171" customWidth="1"/>
    <col min="6174" max="6174" width="7" style="171" customWidth="1"/>
    <col min="6175" max="6175" width="15.44140625" style="171" customWidth="1"/>
    <col min="6176" max="6176" width="9.44140625" style="171" customWidth="1"/>
    <col min="6177" max="6177" width="15.44140625" style="171" customWidth="1"/>
    <col min="6178" max="6178" width="9.5546875" style="171" customWidth="1"/>
    <col min="6179" max="6179" width="9.44140625" style="171" customWidth="1"/>
    <col min="6180" max="6180" width="15.44140625" style="171" customWidth="1"/>
    <col min="6181" max="6181" width="0" style="171" hidden="1" customWidth="1"/>
    <col min="6182" max="6400" width="0" style="171" hidden="1"/>
    <col min="6401" max="6401" width="6.88671875" style="171" customWidth="1"/>
    <col min="6402" max="6402" width="5.6640625" style="171" customWidth="1"/>
    <col min="6403" max="6403" width="7" style="171" customWidth="1"/>
    <col min="6404" max="6406" width="15.44140625" style="171" customWidth="1"/>
    <col min="6407" max="6407" width="9.44140625" style="171" customWidth="1"/>
    <col min="6408" max="6408" width="15.44140625" style="171" customWidth="1"/>
    <col min="6409" max="6409" width="9.5546875" style="171" customWidth="1"/>
    <col min="6410" max="6410" width="9.44140625" style="171" customWidth="1"/>
    <col min="6411" max="6411" width="15.44140625" style="171" customWidth="1"/>
    <col min="6412" max="6412" width="8.33203125" style="171" customWidth="1"/>
    <col min="6413" max="6413" width="9.109375" style="171" customWidth="1"/>
    <col min="6414" max="6414" width="6.109375" style="171" customWidth="1"/>
    <col min="6415" max="6415" width="7.6640625" style="171" customWidth="1"/>
    <col min="6416" max="6421" width="15.44140625" style="171" customWidth="1"/>
    <col min="6422" max="6422" width="8.5546875" style="171" customWidth="1"/>
    <col min="6423" max="6427" width="0" style="171" hidden="1" customWidth="1"/>
    <col min="6428" max="6428" width="6.88671875" style="171" customWidth="1"/>
    <col min="6429" max="6429" width="5.6640625" style="171" customWidth="1"/>
    <col min="6430" max="6430" width="7" style="171" customWidth="1"/>
    <col min="6431" max="6431" width="15.44140625" style="171" customWidth="1"/>
    <col min="6432" max="6432" width="9.44140625" style="171" customWidth="1"/>
    <col min="6433" max="6433" width="15.44140625" style="171" customWidth="1"/>
    <col min="6434" max="6434" width="9.5546875" style="171" customWidth="1"/>
    <col min="6435" max="6435" width="9.44140625" style="171" customWidth="1"/>
    <col min="6436" max="6436" width="15.44140625" style="171" customWidth="1"/>
    <col min="6437" max="6437" width="0" style="171" hidden="1" customWidth="1"/>
    <col min="6438" max="6656" width="0" style="171" hidden="1"/>
    <col min="6657" max="6657" width="6.88671875" style="171" customWidth="1"/>
    <col min="6658" max="6658" width="5.6640625" style="171" customWidth="1"/>
    <col min="6659" max="6659" width="7" style="171" customWidth="1"/>
    <col min="6660" max="6662" width="15.44140625" style="171" customWidth="1"/>
    <col min="6663" max="6663" width="9.44140625" style="171" customWidth="1"/>
    <col min="6664" max="6664" width="15.44140625" style="171" customWidth="1"/>
    <col min="6665" max="6665" width="9.5546875" style="171" customWidth="1"/>
    <col min="6666" max="6666" width="9.44140625" style="171" customWidth="1"/>
    <col min="6667" max="6667" width="15.44140625" style="171" customWidth="1"/>
    <col min="6668" max="6668" width="8.33203125" style="171" customWidth="1"/>
    <col min="6669" max="6669" width="9.109375" style="171" customWidth="1"/>
    <col min="6670" max="6670" width="6.109375" style="171" customWidth="1"/>
    <col min="6671" max="6671" width="7.6640625" style="171" customWidth="1"/>
    <col min="6672" max="6677" width="15.44140625" style="171" customWidth="1"/>
    <col min="6678" max="6678" width="8.5546875" style="171" customWidth="1"/>
    <col min="6679" max="6683" width="0" style="171" hidden="1" customWidth="1"/>
    <col min="6684" max="6684" width="6.88671875" style="171" customWidth="1"/>
    <col min="6685" max="6685" width="5.6640625" style="171" customWidth="1"/>
    <col min="6686" max="6686" width="7" style="171" customWidth="1"/>
    <col min="6687" max="6687" width="15.44140625" style="171" customWidth="1"/>
    <col min="6688" max="6688" width="9.44140625" style="171" customWidth="1"/>
    <col min="6689" max="6689" width="15.44140625" style="171" customWidth="1"/>
    <col min="6690" max="6690" width="9.5546875" style="171" customWidth="1"/>
    <col min="6691" max="6691" width="9.44140625" style="171" customWidth="1"/>
    <col min="6692" max="6692" width="15.44140625" style="171" customWidth="1"/>
    <col min="6693" max="6693" width="0" style="171" hidden="1" customWidth="1"/>
    <col min="6694" max="6912" width="0" style="171" hidden="1"/>
    <col min="6913" max="6913" width="6.88671875" style="171" customWidth="1"/>
    <col min="6914" max="6914" width="5.6640625" style="171" customWidth="1"/>
    <col min="6915" max="6915" width="7" style="171" customWidth="1"/>
    <col min="6916" max="6918" width="15.44140625" style="171" customWidth="1"/>
    <col min="6919" max="6919" width="9.44140625" style="171" customWidth="1"/>
    <col min="6920" max="6920" width="15.44140625" style="171" customWidth="1"/>
    <col min="6921" max="6921" width="9.5546875" style="171" customWidth="1"/>
    <col min="6922" max="6922" width="9.44140625" style="171" customWidth="1"/>
    <col min="6923" max="6923" width="15.44140625" style="171" customWidth="1"/>
    <col min="6924" max="6924" width="8.33203125" style="171" customWidth="1"/>
    <col min="6925" max="6925" width="9.109375" style="171" customWidth="1"/>
    <col min="6926" max="6926" width="6.109375" style="171" customWidth="1"/>
    <col min="6927" max="6927" width="7.6640625" style="171" customWidth="1"/>
    <col min="6928" max="6933" width="15.44140625" style="171" customWidth="1"/>
    <col min="6934" max="6934" width="8.5546875" style="171" customWidth="1"/>
    <col min="6935" max="6939" width="0" style="171" hidden="1" customWidth="1"/>
    <col min="6940" max="6940" width="6.88671875" style="171" customWidth="1"/>
    <col min="6941" max="6941" width="5.6640625" style="171" customWidth="1"/>
    <col min="6942" max="6942" width="7" style="171" customWidth="1"/>
    <col min="6943" max="6943" width="15.44140625" style="171" customWidth="1"/>
    <col min="6944" max="6944" width="9.44140625" style="171" customWidth="1"/>
    <col min="6945" max="6945" width="15.44140625" style="171" customWidth="1"/>
    <col min="6946" max="6946" width="9.5546875" style="171" customWidth="1"/>
    <col min="6947" max="6947" width="9.44140625" style="171" customWidth="1"/>
    <col min="6948" max="6948" width="15.44140625" style="171" customWidth="1"/>
    <col min="6949" max="6949" width="0" style="171" hidden="1" customWidth="1"/>
    <col min="6950" max="7168" width="0" style="171" hidden="1"/>
    <col min="7169" max="7169" width="6.88671875" style="171" customWidth="1"/>
    <col min="7170" max="7170" width="5.6640625" style="171" customWidth="1"/>
    <col min="7171" max="7171" width="7" style="171" customWidth="1"/>
    <col min="7172" max="7174" width="15.44140625" style="171" customWidth="1"/>
    <col min="7175" max="7175" width="9.44140625" style="171" customWidth="1"/>
    <col min="7176" max="7176" width="15.44140625" style="171" customWidth="1"/>
    <col min="7177" max="7177" width="9.5546875" style="171" customWidth="1"/>
    <col min="7178" max="7178" width="9.44140625" style="171" customWidth="1"/>
    <col min="7179" max="7179" width="15.44140625" style="171" customWidth="1"/>
    <col min="7180" max="7180" width="8.33203125" style="171" customWidth="1"/>
    <col min="7181" max="7181" width="9.109375" style="171" customWidth="1"/>
    <col min="7182" max="7182" width="6.109375" style="171" customWidth="1"/>
    <col min="7183" max="7183" width="7.6640625" style="171" customWidth="1"/>
    <col min="7184" max="7189" width="15.44140625" style="171" customWidth="1"/>
    <col min="7190" max="7190" width="8.5546875" style="171" customWidth="1"/>
    <col min="7191" max="7195" width="0" style="171" hidden="1" customWidth="1"/>
    <col min="7196" max="7196" width="6.88671875" style="171" customWidth="1"/>
    <col min="7197" max="7197" width="5.6640625" style="171" customWidth="1"/>
    <col min="7198" max="7198" width="7" style="171" customWidth="1"/>
    <col min="7199" max="7199" width="15.44140625" style="171" customWidth="1"/>
    <col min="7200" max="7200" width="9.44140625" style="171" customWidth="1"/>
    <col min="7201" max="7201" width="15.44140625" style="171" customWidth="1"/>
    <col min="7202" max="7202" width="9.5546875" style="171" customWidth="1"/>
    <col min="7203" max="7203" width="9.44140625" style="171" customWidth="1"/>
    <col min="7204" max="7204" width="15.44140625" style="171" customWidth="1"/>
    <col min="7205" max="7205" width="0" style="171" hidden="1" customWidth="1"/>
    <col min="7206" max="7424" width="0" style="171" hidden="1"/>
    <col min="7425" max="7425" width="6.88671875" style="171" customWidth="1"/>
    <col min="7426" max="7426" width="5.6640625" style="171" customWidth="1"/>
    <col min="7427" max="7427" width="7" style="171" customWidth="1"/>
    <col min="7428" max="7430" width="15.44140625" style="171" customWidth="1"/>
    <col min="7431" max="7431" width="9.44140625" style="171" customWidth="1"/>
    <col min="7432" max="7432" width="15.44140625" style="171" customWidth="1"/>
    <col min="7433" max="7433" width="9.5546875" style="171" customWidth="1"/>
    <col min="7434" max="7434" width="9.44140625" style="171" customWidth="1"/>
    <col min="7435" max="7435" width="15.44140625" style="171" customWidth="1"/>
    <col min="7436" max="7436" width="8.33203125" style="171" customWidth="1"/>
    <col min="7437" max="7437" width="9.109375" style="171" customWidth="1"/>
    <col min="7438" max="7438" width="6.109375" style="171" customWidth="1"/>
    <col min="7439" max="7439" width="7.6640625" style="171" customWidth="1"/>
    <col min="7440" max="7445" width="15.44140625" style="171" customWidth="1"/>
    <col min="7446" max="7446" width="8.5546875" style="171" customWidth="1"/>
    <col min="7447" max="7451" width="0" style="171" hidden="1" customWidth="1"/>
    <col min="7452" max="7452" width="6.88671875" style="171" customWidth="1"/>
    <col min="7453" max="7453" width="5.6640625" style="171" customWidth="1"/>
    <col min="7454" max="7454" width="7" style="171" customWidth="1"/>
    <col min="7455" max="7455" width="15.44140625" style="171" customWidth="1"/>
    <col min="7456" max="7456" width="9.44140625" style="171" customWidth="1"/>
    <col min="7457" max="7457" width="15.44140625" style="171" customWidth="1"/>
    <col min="7458" max="7458" width="9.5546875" style="171" customWidth="1"/>
    <col min="7459" max="7459" width="9.44140625" style="171" customWidth="1"/>
    <col min="7460" max="7460" width="15.44140625" style="171" customWidth="1"/>
    <col min="7461" max="7461" width="0" style="171" hidden="1" customWidth="1"/>
    <col min="7462" max="7680" width="0" style="171" hidden="1"/>
    <col min="7681" max="7681" width="6.88671875" style="171" customWidth="1"/>
    <col min="7682" max="7682" width="5.6640625" style="171" customWidth="1"/>
    <col min="7683" max="7683" width="7" style="171" customWidth="1"/>
    <col min="7684" max="7686" width="15.44140625" style="171" customWidth="1"/>
    <col min="7687" max="7687" width="9.44140625" style="171" customWidth="1"/>
    <col min="7688" max="7688" width="15.44140625" style="171" customWidth="1"/>
    <col min="7689" max="7689" width="9.5546875" style="171" customWidth="1"/>
    <col min="7690" max="7690" width="9.44140625" style="171" customWidth="1"/>
    <col min="7691" max="7691" width="15.44140625" style="171" customWidth="1"/>
    <col min="7692" max="7692" width="8.33203125" style="171" customWidth="1"/>
    <col min="7693" max="7693" width="9.109375" style="171" customWidth="1"/>
    <col min="7694" max="7694" width="6.109375" style="171" customWidth="1"/>
    <col min="7695" max="7695" width="7.6640625" style="171" customWidth="1"/>
    <col min="7696" max="7701" width="15.44140625" style="171" customWidth="1"/>
    <col min="7702" max="7702" width="8.5546875" style="171" customWidth="1"/>
    <col min="7703" max="7707" width="0" style="171" hidden="1" customWidth="1"/>
    <col min="7708" max="7708" width="6.88671875" style="171" customWidth="1"/>
    <col min="7709" max="7709" width="5.6640625" style="171" customWidth="1"/>
    <col min="7710" max="7710" width="7" style="171" customWidth="1"/>
    <col min="7711" max="7711" width="15.44140625" style="171" customWidth="1"/>
    <col min="7712" max="7712" width="9.44140625" style="171" customWidth="1"/>
    <col min="7713" max="7713" width="15.44140625" style="171" customWidth="1"/>
    <col min="7714" max="7714" width="9.5546875" style="171" customWidth="1"/>
    <col min="7715" max="7715" width="9.44140625" style="171" customWidth="1"/>
    <col min="7716" max="7716" width="15.44140625" style="171" customWidth="1"/>
    <col min="7717" max="7717" width="0" style="171" hidden="1" customWidth="1"/>
    <col min="7718" max="7936" width="0" style="171" hidden="1"/>
    <col min="7937" max="7937" width="6.88671875" style="171" customWidth="1"/>
    <col min="7938" max="7938" width="5.6640625" style="171" customWidth="1"/>
    <col min="7939" max="7939" width="7" style="171" customWidth="1"/>
    <col min="7940" max="7942" width="15.44140625" style="171" customWidth="1"/>
    <col min="7943" max="7943" width="9.44140625" style="171" customWidth="1"/>
    <col min="7944" max="7944" width="15.44140625" style="171" customWidth="1"/>
    <col min="7945" max="7945" width="9.5546875" style="171" customWidth="1"/>
    <col min="7946" max="7946" width="9.44140625" style="171" customWidth="1"/>
    <col min="7947" max="7947" width="15.44140625" style="171" customWidth="1"/>
    <col min="7948" max="7948" width="8.33203125" style="171" customWidth="1"/>
    <col min="7949" max="7949" width="9.109375" style="171" customWidth="1"/>
    <col min="7950" max="7950" width="6.109375" style="171" customWidth="1"/>
    <col min="7951" max="7951" width="7.6640625" style="171" customWidth="1"/>
    <col min="7952" max="7957" width="15.44140625" style="171" customWidth="1"/>
    <col min="7958" max="7958" width="8.5546875" style="171" customWidth="1"/>
    <col min="7959" max="7963" width="0" style="171" hidden="1" customWidth="1"/>
    <col min="7964" max="7964" width="6.88671875" style="171" customWidth="1"/>
    <col min="7965" max="7965" width="5.6640625" style="171" customWidth="1"/>
    <col min="7966" max="7966" width="7" style="171" customWidth="1"/>
    <col min="7967" max="7967" width="15.44140625" style="171" customWidth="1"/>
    <col min="7968" max="7968" width="9.44140625" style="171" customWidth="1"/>
    <col min="7969" max="7969" width="15.44140625" style="171" customWidth="1"/>
    <col min="7970" max="7970" width="9.5546875" style="171" customWidth="1"/>
    <col min="7971" max="7971" width="9.44140625" style="171" customWidth="1"/>
    <col min="7972" max="7972" width="15.44140625" style="171" customWidth="1"/>
    <col min="7973" max="7973" width="0" style="171" hidden="1" customWidth="1"/>
    <col min="7974" max="8192" width="0" style="171" hidden="1"/>
    <col min="8193" max="8193" width="6.88671875" style="171" customWidth="1"/>
    <col min="8194" max="8194" width="5.6640625" style="171" customWidth="1"/>
    <col min="8195" max="8195" width="7" style="171" customWidth="1"/>
    <col min="8196" max="8198" width="15.44140625" style="171" customWidth="1"/>
    <col min="8199" max="8199" width="9.44140625" style="171" customWidth="1"/>
    <col min="8200" max="8200" width="15.44140625" style="171" customWidth="1"/>
    <col min="8201" max="8201" width="9.5546875" style="171" customWidth="1"/>
    <col min="8202" max="8202" width="9.44140625" style="171" customWidth="1"/>
    <col min="8203" max="8203" width="15.44140625" style="171" customWidth="1"/>
    <col min="8204" max="8204" width="8.33203125" style="171" customWidth="1"/>
    <col min="8205" max="8205" width="9.109375" style="171" customWidth="1"/>
    <col min="8206" max="8206" width="6.109375" style="171" customWidth="1"/>
    <col min="8207" max="8207" width="7.6640625" style="171" customWidth="1"/>
    <col min="8208" max="8213" width="15.44140625" style="171" customWidth="1"/>
    <col min="8214" max="8214" width="8.5546875" style="171" customWidth="1"/>
    <col min="8215" max="8219" width="0" style="171" hidden="1" customWidth="1"/>
    <col min="8220" max="8220" width="6.88671875" style="171" customWidth="1"/>
    <col min="8221" max="8221" width="5.6640625" style="171" customWidth="1"/>
    <col min="8222" max="8222" width="7" style="171" customWidth="1"/>
    <col min="8223" max="8223" width="15.44140625" style="171" customWidth="1"/>
    <col min="8224" max="8224" width="9.44140625" style="171" customWidth="1"/>
    <col min="8225" max="8225" width="15.44140625" style="171" customWidth="1"/>
    <col min="8226" max="8226" width="9.5546875" style="171" customWidth="1"/>
    <col min="8227" max="8227" width="9.44140625" style="171" customWidth="1"/>
    <col min="8228" max="8228" width="15.44140625" style="171" customWidth="1"/>
    <col min="8229" max="8229" width="0" style="171" hidden="1" customWidth="1"/>
    <col min="8230" max="8448" width="0" style="171" hidden="1"/>
    <col min="8449" max="8449" width="6.88671875" style="171" customWidth="1"/>
    <col min="8450" max="8450" width="5.6640625" style="171" customWidth="1"/>
    <col min="8451" max="8451" width="7" style="171" customWidth="1"/>
    <col min="8452" max="8454" width="15.44140625" style="171" customWidth="1"/>
    <col min="8455" max="8455" width="9.44140625" style="171" customWidth="1"/>
    <col min="8456" max="8456" width="15.44140625" style="171" customWidth="1"/>
    <col min="8457" max="8457" width="9.5546875" style="171" customWidth="1"/>
    <col min="8458" max="8458" width="9.44140625" style="171" customWidth="1"/>
    <col min="8459" max="8459" width="15.44140625" style="171" customWidth="1"/>
    <col min="8460" max="8460" width="8.33203125" style="171" customWidth="1"/>
    <col min="8461" max="8461" width="9.109375" style="171" customWidth="1"/>
    <col min="8462" max="8462" width="6.109375" style="171" customWidth="1"/>
    <col min="8463" max="8463" width="7.6640625" style="171" customWidth="1"/>
    <col min="8464" max="8469" width="15.44140625" style="171" customWidth="1"/>
    <col min="8470" max="8470" width="8.5546875" style="171" customWidth="1"/>
    <col min="8471" max="8475" width="0" style="171" hidden="1" customWidth="1"/>
    <col min="8476" max="8476" width="6.88671875" style="171" customWidth="1"/>
    <col min="8477" max="8477" width="5.6640625" style="171" customWidth="1"/>
    <col min="8478" max="8478" width="7" style="171" customWidth="1"/>
    <col min="8479" max="8479" width="15.44140625" style="171" customWidth="1"/>
    <col min="8480" max="8480" width="9.44140625" style="171" customWidth="1"/>
    <col min="8481" max="8481" width="15.44140625" style="171" customWidth="1"/>
    <col min="8482" max="8482" width="9.5546875" style="171" customWidth="1"/>
    <col min="8483" max="8483" width="9.44140625" style="171" customWidth="1"/>
    <col min="8484" max="8484" width="15.44140625" style="171" customWidth="1"/>
    <col min="8485" max="8485" width="0" style="171" hidden="1" customWidth="1"/>
    <col min="8486" max="8704" width="0" style="171" hidden="1"/>
    <col min="8705" max="8705" width="6.88671875" style="171" customWidth="1"/>
    <col min="8706" max="8706" width="5.6640625" style="171" customWidth="1"/>
    <col min="8707" max="8707" width="7" style="171" customWidth="1"/>
    <col min="8708" max="8710" width="15.44140625" style="171" customWidth="1"/>
    <col min="8711" max="8711" width="9.44140625" style="171" customWidth="1"/>
    <col min="8712" max="8712" width="15.44140625" style="171" customWidth="1"/>
    <col min="8713" max="8713" width="9.5546875" style="171" customWidth="1"/>
    <col min="8714" max="8714" width="9.44140625" style="171" customWidth="1"/>
    <col min="8715" max="8715" width="15.44140625" style="171" customWidth="1"/>
    <col min="8716" max="8716" width="8.33203125" style="171" customWidth="1"/>
    <col min="8717" max="8717" width="9.109375" style="171" customWidth="1"/>
    <col min="8718" max="8718" width="6.109375" style="171" customWidth="1"/>
    <col min="8719" max="8719" width="7.6640625" style="171" customWidth="1"/>
    <col min="8720" max="8725" width="15.44140625" style="171" customWidth="1"/>
    <col min="8726" max="8726" width="8.5546875" style="171" customWidth="1"/>
    <col min="8727" max="8731" width="0" style="171" hidden="1" customWidth="1"/>
    <col min="8732" max="8732" width="6.88671875" style="171" customWidth="1"/>
    <col min="8733" max="8733" width="5.6640625" style="171" customWidth="1"/>
    <col min="8734" max="8734" width="7" style="171" customWidth="1"/>
    <col min="8735" max="8735" width="15.44140625" style="171" customWidth="1"/>
    <col min="8736" max="8736" width="9.44140625" style="171" customWidth="1"/>
    <col min="8737" max="8737" width="15.44140625" style="171" customWidth="1"/>
    <col min="8738" max="8738" width="9.5546875" style="171" customWidth="1"/>
    <col min="8739" max="8739" width="9.44140625" style="171" customWidth="1"/>
    <col min="8740" max="8740" width="15.44140625" style="171" customWidth="1"/>
    <col min="8741" max="8741" width="0" style="171" hidden="1" customWidth="1"/>
    <col min="8742" max="8960" width="0" style="171" hidden="1"/>
    <col min="8961" max="8961" width="6.88671875" style="171" customWidth="1"/>
    <col min="8962" max="8962" width="5.6640625" style="171" customWidth="1"/>
    <col min="8963" max="8963" width="7" style="171" customWidth="1"/>
    <col min="8964" max="8966" width="15.44140625" style="171" customWidth="1"/>
    <col min="8967" max="8967" width="9.44140625" style="171" customWidth="1"/>
    <col min="8968" max="8968" width="15.44140625" style="171" customWidth="1"/>
    <col min="8969" max="8969" width="9.5546875" style="171" customWidth="1"/>
    <col min="8970" max="8970" width="9.44140625" style="171" customWidth="1"/>
    <col min="8971" max="8971" width="15.44140625" style="171" customWidth="1"/>
    <col min="8972" max="8972" width="8.33203125" style="171" customWidth="1"/>
    <col min="8973" max="8973" width="9.109375" style="171" customWidth="1"/>
    <col min="8974" max="8974" width="6.109375" style="171" customWidth="1"/>
    <col min="8975" max="8975" width="7.6640625" style="171" customWidth="1"/>
    <col min="8976" max="8981" width="15.44140625" style="171" customWidth="1"/>
    <col min="8982" max="8982" width="8.5546875" style="171" customWidth="1"/>
    <col min="8983" max="8987" width="0" style="171" hidden="1" customWidth="1"/>
    <col min="8988" max="8988" width="6.88671875" style="171" customWidth="1"/>
    <col min="8989" max="8989" width="5.6640625" style="171" customWidth="1"/>
    <col min="8990" max="8990" width="7" style="171" customWidth="1"/>
    <col min="8991" max="8991" width="15.44140625" style="171" customWidth="1"/>
    <col min="8992" max="8992" width="9.44140625" style="171" customWidth="1"/>
    <col min="8993" max="8993" width="15.44140625" style="171" customWidth="1"/>
    <col min="8994" max="8994" width="9.5546875" style="171" customWidth="1"/>
    <col min="8995" max="8995" width="9.44140625" style="171" customWidth="1"/>
    <col min="8996" max="8996" width="15.44140625" style="171" customWidth="1"/>
    <col min="8997" max="8997" width="0" style="171" hidden="1" customWidth="1"/>
    <col min="8998" max="9216" width="0" style="171" hidden="1"/>
    <col min="9217" max="9217" width="6.88671875" style="171" customWidth="1"/>
    <col min="9218" max="9218" width="5.6640625" style="171" customWidth="1"/>
    <col min="9219" max="9219" width="7" style="171" customWidth="1"/>
    <col min="9220" max="9222" width="15.44140625" style="171" customWidth="1"/>
    <col min="9223" max="9223" width="9.44140625" style="171" customWidth="1"/>
    <col min="9224" max="9224" width="15.44140625" style="171" customWidth="1"/>
    <col min="9225" max="9225" width="9.5546875" style="171" customWidth="1"/>
    <col min="9226" max="9226" width="9.44140625" style="171" customWidth="1"/>
    <col min="9227" max="9227" width="15.44140625" style="171" customWidth="1"/>
    <col min="9228" max="9228" width="8.33203125" style="171" customWidth="1"/>
    <col min="9229" max="9229" width="9.109375" style="171" customWidth="1"/>
    <col min="9230" max="9230" width="6.109375" style="171" customWidth="1"/>
    <col min="9231" max="9231" width="7.6640625" style="171" customWidth="1"/>
    <col min="9232" max="9237" width="15.44140625" style="171" customWidth="1"/>
    <col min="9238" max="9238" width="8.5546875" style="171" customWidth="1"/>
    <col min="9239" max="9243" width="0" style="171" hidden="1" customWidth="1"/>
    <col min="9244" max="9244" width="6.88671875" style="171" customWidth="1"/>
    <col min="9245" max="9245" width="5.6640625" style="171" customWidth="1"/>
    <col min="9246" max="9246" width="7" style="171" customWidth="1"/>
    <col min="9247" max="9247" width="15.44140625" style="171" customWidth="1"/>
    <col min="9248" max="9248" width="9.44140625" style="171" customWidth="1"/>
    <col min="9249" max="9249" width="15.44140625" style="171" customWidth="1"/>
    <col min="9250" max="9250" width="9.5546875" style="171" customWidth="1"/>
    <col min="9251" max="9251" width="9.44140625" style="171" customWidth="1"/>
    <col min="9252" max="9252" width="15.44140625" style="171" customWidth="1"/>
    <col min="9253" max="9253" width="0" style="171" hidden="1" customWidth="1"/>
    <col min="9254" max="9472" width="0" style="171" hidden="1"/>
    <col min="9473" max="9473" width="6.88671875" style="171" customWidth="1"/>
    <col min="9474" max="9474" width="5.6640625" style="171" customWidth="1"/>
    <col min="9475" max="9475" width="7" style="171" customWidth="1"/>
    <col min="9476" max="9478" width="15.44140625" style="171" customWidth="1"/>
    <col min="9479" max="9479" width="9.44140625" style="171" customWidth="1"/>
    <col min="9480" max="9480" width="15.44140625" style="171" customWidth="1"/>
    <col min="9481" max="9481" width="9.5546875" style="171" customWidth="1"/>
    <col min="9482" max="9482" width="9.44140625" style="171" customWidth="1"/>
    <col min="9483" max="9483" width="15.44140625" style="171" customWidth="1"/>
    <col min="9484" max="9484" width="8.33203125" style="171" customWidth="1"/>
    <col min="9485" max="9485" width="9.109375" style="171" customWidth="1"/>
    <col min="9486" max="9486" width="6.109375" style="171" customWidth="1"/>
    <col min="9487" max="9487" width="7.6640625" style="171" customWidth="1"/>
    <col min="9488" max="9493" width="15.44140625" style="171" customWidth="1"/>
    <col min="9494" max="9494" width="8.5546875" style="171" customWidth="1"/>
    <col min="9495" max="9499" width="0" style="171" hidden="1" customWidth="1"/>
    <col min="9500" max="9500" width="6.88671875" style="171" customWidth="1"/>
    <col min="9501" max="9501" width="5.6640625" style="171" customWidth="1"/>
    <col min="9502" max="9502" width="7" style="171" customWidth="1"/>
    <col min="9503" max="9503" width="15.44140625" style="171" customWidth="1"/>
    <col min="9504" max="9504" width="9.44140625" style="171" customWidth="1"/>
    <col min="9505" max="9505" width="15.44140625" style="171" customWidth="1"/>
    <col min="9506" max="9506" width="9.5546875" style="171" customWidth="1"/>
    <col min="9507" max="9507" width="9.44140625" style="171" customWidth="1"/>
    <col min="9508" max="9508" width="15.44140625" style="171" customWidth="1"/>
    <col min="9509" max="9509" width="0" style="171" hidden="1" customWidth="1"/>
    <col min="9510" max="9728" width="0" style="171" hidden="1"/>
    <col min="9729" max="9729" width="6.88671875" style="171" customWidth="1"/>
    <col min="9730" max="9730" width="5.6640625" style="171" customWidth="1"/>
    <col min="9731" max="9731" width="7" style="171" customWidth="1"/>
    <col min="9732" max="9734" width="15.44140625" style="171" customWidth="1"/>
    <col min="9735" max="9735" width="9.44140625" style="171" customWidth="1"/>
    <col min="9736" max="9736" width="15.44140625" style="171" customWidth="1"/>
    <col min="9737" max="9737" width="9.5546875" style="171" customWidth="1"/>
    <col min="9738" max="9738" width="9.44140625" style="171" customWidth="1"/>
    <col min="9739" max="9739" width="15.44140625" style="171" customWidth="1"/>
    <col min="9740" max="9740" width="8.33203125" style="171" customWidth="1"/>
    <col min="9741" max="9741" width="9.109375" style="171" customWidth="1"/>
    <col min="9742" max="9742" width="6.109375" style="171" customWidth="1"/>
    <col min="9743" max="9743" width="7.6640625" style="171" customWidth="1"/>
    <col min="9744" max="9749" width="15.44140625" style="171" customWidth="1"/>
    <col min="9750" max="9750" width="8.5546875" style="171" customWidth="1"/>
    <col min="9751" max="9755" width="0" style="171" hidden="1" customWidth="1"/>
    <col min="9756" max="9756" width="6.88671875" style="171" customWidth="1"/>
    <col min="9757" max="9757" width="5.6640625" style="171" customWidth="1"/>
    <col min="9758" max="9758" width="7" style="171" customWidth="1"/>
    <col min="9759" max="9759" width="15.44140625" style="171" customWidth="1"/>
    <col min="9760" max="9760" width="9.44140625" style="171" customWidth="1"/>
    <col min="9761" max="9761" width="15.44140625" style="171" customWidth="1"/>
    <col min="9762" max="9762" width="9.5546875" style="171" customWidth="1"/>
    <col min="9763" max="9763" width="9.44140625" style="171" customWidth="1"/>
    <col min="9764" max="9764" width="15.44140625" style="171" customWidth="1"/>
    <col min="9765" max="9765" width="0" style="171" hidden="1" customWidth="1"/>
    <col min="9766" max="9984" width="0" style="171" hidden="1"/>
    <col min="9985" max="9985" width="6.88671875" style="171" customWidth="1"/>
    <col min="9986" max="9986" width="5.6640625" style="171" customWidth="1"/>
    <col min="9987" max="9987" width="7" style="171" customWidth="1"/>
    <col min="9988" max="9990" width="15.44140625" style="171" customWidth="1"/>
    <col min="9991" max="9991" width="9.44140625" style="171" customWidth="1"/>
    <col min="9992" max="9992" width="15.44140625" style="171" customWidth="1"/>
    <col min="9993" max="9993" width="9.5546875" style="171" customWidth="1"/>
    <col min="9994" max="9994" width="9.44140625" style="171" customWidth="1"/>
    <col min="9995" max="9995" width="15.44140625" style="171" customWidth="1"/>
    <col min="9996" max="9996" width="8.33203125" style="171" customWidth="1"/>
    <col min="9997" max="9997" width="9.109375" style="171" customWidth="1"/>
    <col min="9998" max="9998" width="6.109375" style="171" customWidth="1"/>
    <col min="9999" max="9999" width="7.6640625" style="171" customWidth="1"/>
    <col min="10000" max="10005" width="15.44140625" style="171" customWidth="1"/>
    <col min="10006" max="10006" width="8.5546875" style="171" customWidth="1"/>
    <col min="10007" max="10011" width="0" style="171" hidden="1" customWidth="1"/>
    <col min="10012" max="10012" width="6.88671875" style="171" customWidth="1"/>
    <col min="10013" max="10013" width="5.6640625" style="171" customWidth="1"/>
    <col min="10014" max="10014" width="7" style="171" customWidth="1"/>
    <col min="10015" max="10015" width="15.44140625" style="171" customWidth="1"/>
    <col min="10016" max="10016" width="9.44140625" style="171" customWidth="1"/>
    <col min="10017" max="10017" width="15.44140625" style="171" customWidth="1"/>
    <col min="10018" max="10018" width="9.5546875" style="171" customWidth="1"/>
    <col min="10019" max="10019" width="9.44140625" style="171" customWidth="1"/>
    <col min="10020" max="10020" width="15.44140625" style="171" customWidth="1"/>
    <col min="10021" max="10021" width="0" style="171" hidden="1" customWidth="1"/>
    <col min="10022" max="10240" width="0" style="171" hidden="1"/>
    <col min="10241" max="10241" width="6.88671875" style="171" customWidth="1"/>
    <col min="10242" max="10242" width="5.6640625" style="171" customWidth="1"/>
    <col min="10243" max="10243" width="7" style="171" customWidth="1"/>
    <col min="10244" max="10246" width="15.44140625" style="171" customWidth="1"/>
    <col min="10247" max="10247" width="9.44140625" style="171" customWidth="1"/>
    <col min="10248" max="10248" width="15.44140625" style="171" customWidth="1"/>
    <col min="10249" max="10249" width="9.5546875" style="171" customWidth="1"/>
    <col min="10250" max="10250" width="9.44140625" style="171" customWidth="1"/>
    <col min="10251" max="10251" width="15.44140625" style="171" customWidth="1"/>
    <col min="10252" max="10252" width="8.33203125" style="171" customWidth="1"/>
    <col min="10253" max="10253" width="9.109375" style="171" customWidth="1"/>
    <col min="10254" max="10254" width="6.109375" style="171" customWidth="1"/>
    <col min="10255" max="10255" width="7.6640625" style="171" customWidth="1"/>
    <col min="10256" max="10261" width="15.44140625" style="171" customWidth="1"/>
    <col min="10262" max="10262" width="8.5546875" style="171" customWidth="1"/>
    <col min="10263" max="10267" width="0" style="171" hidden="1" customWidth="1"/>
    <col min="10268" max="10268" width="6.88671875" style="171" customWidth="1"/>
    <col min="10269" max="10269" width="5.6640625" style="171" customWidth="1"/>
    <col min="10270" max="10270" width="7" style="171" customWidth="1"/>
    <col min="10271" max="10271" width="15.44140625" style="171" customWidth="1"/>
    <col min="10272" max="10272" width="9.44140625" style="171" customWidth="1"/>
    <col min="10273" max="10273" width="15.44140625" style="171" customWidth="1"/>
    <col min="10274" max="10274" width="9.5546875" style="171" customWidth="1"/>
    <col min="10275" max="10275" width="9.44140625" style="171" customWidth="1"/>
    <col min="10276" max="10276" width="15.44140625" style="171" customWidth="1"/>
    <col min="10277" max="10277" width="0" style="171" hidden="1" customWidth="1"/>
    <col min="10278" max="10496" width="0" style="171" hidden="1"/>
    <col min="10497" max="10497" width="6.88671875" style="171" customWidth="1"/>
    <col min="10498" max="10498" width="5.6640625" style="171" customWidth="1"/>
    <col min="10499" max="10499" width="7" style="171" customWidth="1"/>
    <col min="10500" max="10502" width="15.44140625" style="171" customWidth="1"/>
    <col min="10503" max="10503" width="9.44140625" style="171" customWidth="1"/>
    <col min="10504" max="10504" width="15.44140625" style="171" customWidth="1"/>
    <col min="10505" max="10505" width="9.5546875" style="171" customWidth="1"/>
    <col min="10506" max="10506" width="9.44140625" style="171" customWidth="1"/>
    <col min="10507" max="10507" width="15.44140625" style="171" customWidth="1"/>
    <col min="10508" max="10508" width="8.33203125" style="171" customWidth="1"/>
    <col min="10509" max="10509" width="9.109375" style="171" customWidth="1"/>
    <col min="10510" max="10510" width="6.109375" style="171" customWidth="1"/>
    <col min="10511" max="10511" width="7.6640625" style="171" customWidth="1"/>
    <col min="10512" max="10517" width="15.44140625" style="171" customWidth="1"/>
    <col min="10518" max="10518" width="8.5546875" style="171" customWidth="1"/>
    <col min="10519" max="10523" width="0" style="171" hidden="1" customWidth="1"/>
    <col min="10524" max="10524" width="6.88671875" style="171" customWidth="1"/>
    <col min="10525" max="10525" width="5.6640625" style="171" customWidth="1"/>
    <col min="10526" max="10526" width="7" style="171" customWidth="1"/>
    <col min="10527" max="10527" width="15.44140625" style="171" customWidth="1"/>
    <col min="10528" max="10528" width="9.44140625" style="171" customWidth="1"/>
    <col min="10529" max="10529" width="15.44140625" style="171" customWidth="1"/>
    <col min="10530" max="10530" width="9.5546875" style="171" customWidth="1"/>
    <col min="10531" max="10531" width="9.44140625" style="171" customWidth="1"/>
    <col min="10532" max="10532" width="15.44140625" style="171" customWidth="1"/>
    <col min="10533" max="10533" width="0" style="171" hidden="1" customWidth="1"/>
    <col min="10534" max="10752" width="0" style="171" hidden="1"/>
    <col min="10753" max="10753" width="6.88671875" style="171" customWidth="1"/>
    <col min="10754" max="10754" width="5.6640625" style="171" customWidth="1"/>
    <col min="10755" max="10755" width="7" style="171" customWidth="1"/>
    <col min="10756" max="10758" width="15.44140625" style="171" customWidth="1"/>
    <col min="10759" max="10759" width="9.44140625" style="171" customWidth="1"/>
    <col min="10760" max="10760" width="15.44140625" style="171" customWidth="1"/>
    <col min="10761" max="10761" width="9.5546875" style="171" customWidth="1"/>
    <col min="10762" max="10762" width="9.44140625" style="171" customWidth="1"/>
    <col min="10763" max="10763" width="15.44140625" style="171" customWidth="1"/>
    <col min="10764" max="10764" width="8.33203125" style="171" customWidth="1"/>
    <col min="10765" max="10765" width="9.109375" style="171" customWidth="1"/>
    <col min="10766" max="10766" width="6.109375" style="171" customWidth="1"/>
    <col min="10767" max="10767" width="7.6640625" style="171" customWidth="1"/>
    <col min="10768" max="10773" width="15.44140625" style="171" customWidth="1"/>
    <col min="10774" max="10774" width="8.5546875" style="171" customWidth="1"/>
    <col min="10775" max="10779" width="0" style="171" hidden="1" customWidth="1"/>
    <col min="10780" max="10780" width="6.88671875" style="171" customWidth="1"/>
    <col min="10781" max="10781" width="5.6640625" style="171" customWidth="1"/>
    <col min="10782" max="10782" width="7" style="171" customWidth="1"/>
    <col min="10783" max="10783" width="15.44140625" style="171" customWidth="1"/>
    <col min="10784" max="10784" width="9.44140625" style="171" customWidth="1"/>
    <col min="10785" max="10785" width="15.44140625" style="171" customWidth="1"/>
    <col min="10786" max="10786" width="9.5546875" style="171" customWidth="1"/>
    <col min="10787" max="10787" width="9.44140625" style="171" customWidth="1"/>
    <col min="10788" max="10788" width="15.44140625" style="171" customWidth="1"/>
    <col min="10789" max="10789" width="0" style="171" hidden="1" customWidth="1"/>
    <col min="10790" max="11008" width="0" style="171" hidden="1"/>
    <col min="11009" max="11009" width="6.88671875" style="171" customWidth="1"/>
    <col min="11010" max="11010" width="5.6640625" style="171" customWidth="1"/>
    <col min="11011" max="11011" width="7" style="171" customWidth="1"/>
    <col min="11012" max="11014" width="15.44140625" style="171" customWidth="1"/>
    <col min="11015" max="11015" width="9.44140625" style="171" customWidth="1"/>
    <col min="11016" max="11016" width="15.44140625" style="171" customWidth="1"/>
    <col min="11017" max="11017" width="9.5546875" style="171" customWidth="1"/>
    <col min="11018" max="11018" width="9.44140625" style="171" customWidth="1"/>
    <col min="11019" max="11019" width="15.44140625" style="171" customWidth="1"/>
    <col min="11020" max="11020" width="8.33203125" style="171" customWidth="1"/>
    <col min="11021" max="11021" width="9.109375" style="171" customWidth="1"/>
    <col min="11022" max="11022" width="6.109375" style="171" customWidth="1"/>
    <col min="11023" max="11023" width="7.6640625" style="171" customWidth="1"/>
    <col min="11024" max="11029" width="15.44140625" style="171" customWidth="1"/>
    <col min="11030" max="11030" width="8.5546875" style="171" customWidth="1"/>
    <col min="11031" max="11035" width="0" style="171" hidden="1" customWidth="1"/>
    <col min="11036" max="11036" width="6.88671875" style="171" customWidth="1"/>
    <col min="11037" max="11037" width="5.6640625" style="171" customWidth="1"/>
    <col min="11038" max="11038" width="7" style="171" customWidth="1"/>
    <col min="11039" max="11039" width="15.44140625" style="171" customWidth="1"/>
    <col min="11040" max="11040" width="9.44140625" style="171" customWidth="1"/>
    <col min="11041" max="11041" width="15.44140625" style="171" customWidth="1"/>
    <col min="11042" max="11042" width="9.5546875" style="171" customWidth="1"/>
    <col min="11043" max="11043" width="9.44140625" style="171" customWidth="1"/>
    <col min="11044" max="11044" width="15.44140625" style="171" customWidth="1"/>
    <col min="11045" max="11045" width="0" style="171" hidden="1" customWidth="1"/>
    <col min="11046" max="11264" width="0" style="171" hidden="1"/>
    <col min="11265" max="11265" width="6.88671875" style="171" customWidth="1"/>
    <col min="11266" max="11266" width="5.6640625" style="171" customWidth="1"/>
    <col min="11267" max="11267" width="7" style="171" customWidth="1"/>
    <col min="11268" max="11270" width="15.44140625" style="171" customWidth="1"/>
    <col min="11271" max="11271" width="9.44140625" style="171" customWidth="1"/>
    <col min="11272" max="11272" width="15.44140625" style="171" customWidth="1"/>
    <col min="11273" max="11273" width="9.5546875" style="171" customWidth="1"/>
    <col min="11274" max="11274" width="9.44140625" style="171" customWidth="1"/>
    <col min="11275" max="11275" width="15.44140625" style="171" customWidth="1"/>
    <col min="11276" max="11276" width="8.33203125" style="171" customWidth="1"/>
    <col min="11277" max="11277" width="9.109375" style="171" customWidth="1"/>
    <col min="11278" max="11278" width="6.109375" style="171" customWidth="1"/>
    <col min="11279" max="11279" width="7.6640625" style="171" customWidth="1"/>
    <col min="11280" max="11285" width="15.44140625" style="171" customWidth="1"/>
    <col min="11286" max="11286" width="8.5546875" style="171" customWidth="1"/>
    <col min="11287" max="11291" width="0" style="171" hidden="1" customWidth="1"/>
    <col min="11292" max="11292" width="6.88671875" style="171" customWidth="1"/>
    <col min="11293" max="11293" width="5.6640625" style="171" customWidth="1"/>
    <col min="11294" max="11294" width="7" style="171" customWidth="1"/>
    <col min="11295" max="11295" width="15.44140625" style="171" customWidth="1"/>
    <col min="11296" max="11296" width="9.44140625" style="171" customWidth="1"/>
    <col min="11297" max="11297" width="15.44140625" style="171" customWidth="1"/>
    <col min="11298" max="11298" width="9.5546875" style="171" customWidth="1"/>
    <col min="11299" max="11299" width="9.44140625" style="171" customWidth="1"/>
    <col min="11300" max="11300" width="15.44140625" style="171" customWidth="1"/>
    <col min="11301" max="11301" width="0" style="171" hidden="1" customWidth="1"/>
    <col min="11302" max="11520" width="0" style="171" hidden="1"/>
    <col min="11521" max="11521" width="6.88671875" style="171" customWidth="1"/>
    <col min="11522" max="11522" width="5.6640625" style="171" customWidth="1"/>
    <col min="11523" max="11523" width="7" style="171" customWidth="1"/>
    <col min="11524" max="11526" width="15.44140625" style="171" customWidth="1"/>
    <col min="11527" max="11527" width="9.44140625" style="171" customWidth="1"/>
    <col min="11528" max="11528" width="15.44140625" style="171" customWidth="1"/>
    <col min="11529" max="11529" width="9.5546875" style="171" customWidth="1"/>
    <col min="11530" max="11530" width="9.44140625" style="171" customWidth="1"/>
    <col min="11531" max="11531" width="15.44140625" style="171" customWidth="1"/>
    <col min="11532" max="11532" width="8.33203125" style="171" customWidth="1"/>
    <col min="11533" max="11533" width="9.109375" style="171" customWidth="1"/>
    <col min="11534" max="11534" width="6.109375" style="171" customWidth="1"/>
    <col min="11535" max="11535" width="7.6640625" style="171" customWidth="1"/>
    <col min="11536" max="11541" width="15.44140625" style="171" customWidth="1"/>
    <col min="11542" max="11542" width="8.5546875" style="171" customWidth="1"/>
    <col min="11543" max="11547" width="0" style="171" hidden="1" customWidth="1"/>
    <col min="11548" max="11548" width="6.88671875" style="171" customWidth="1"/>
    <col min="11549" max="11549" width="5.6640625" style="171" customWidth="1"/>
    <col min="11550" max="11550" width="7" style="171" customWidth="1"/>
    <col min="11551" max="11551" width="15.44140625" style="171" customWidth="1"/>
    <col min="11552" max="11552" width="9.44140625" style="171" customWidth="1"/>
    <col min="11553" max="11553" width="15.44140625" style="171" customWidth="1"/>
    <col min="11554" max="11554" width="9.5546875" style="171" customWidth="1"/>
    <col min="11555" max="11555" width="9.44140625" style="171" customWidth="1"/>
    <col min="11556" max="11556" width="15.44140625" style="171" customWidth="1"/>
    <col min="11557" max="11557" width="0" style="171" hidden="1" customWidth="1"/>
    <col min="11558" max="11776" width="0" style="171" hidden="1"/>
    <col min="11777" max="11777" width="6.88671875" style="171" customWidth="1"/>
    <col min="11778" max="11778" width="5.6640625" style="171" customWidth="1"/>
    <col min="11779" max="11779" width="7" style="171" customWidth="1"/>
    <col min="11780" max="11782" width="15.44140625" style="171" customWidth="1"/>
    <col min="11783" max="11783" width="9.44140625" style="171" customWidth="1"/>
    <col min="11784" max="11784" width="15.44140625" style="171" customWidth="1"/>
    <col min="11785" max="11785" width="9.5546875" style="171" customWidth="1"/>
    <col min="11786" max="11786" width="9.44140625" style="171" customWidth="1"/>
    <col min="11787" max="11787" width="15.44140625" style="171" customWidth="1"/>
    <col min="11788" max="11788" width="8.33203125" style="171" customWidth="1"/>
    <col min="11789" max="11789" width="9.109375" style="171" customWidth="1"/>
    <col min="11790" max="11790" width="6.109375" style="171" customWidth="1"/>
    <col min="11791" max="11791" width="7.6640625" style="171" customWidth="1"/>
    <col min="11792" max="11797" width="15.44140625" style="171" customWidth="1"/>
    <col min="11798" max="11798" width="8.5546875" style="171" customWidth="1"/>
    <col min="11799" max="11803" width="0" style="171" hidden="1" customWidth="1"/>
    <col min="11804" max="11804" width="6.88671875" style="171" customWidth="1"/>
    <col min="11805" max="11805" width="5.6640625" style="171" customWidth="1"/>
    <col min="11806" max="11806" width="7" style="171" customWidth="1"/>
    <col min="11807" max="11807" width="15.44140625" style="171" customWidth="1"/>
    <col min="11808" max="11808" width="9.44140625" style="171" customWidth="1"/>
    <col min="11809" max="11809" width="15.44140625" style="171" customWidth="1"/>
    <col min="11810" max="11810" width="9.5546875" style="171" customWidth="1"/>
    <col min="11811" max="11811" width="9.44140625" style="171" customWidth="1"/>
    <col min="11812" max="11812" width="15.44140625" style="171" customWidth="1"/>
    <col min="11813" max="11813" width="0" style="171" hidden="1" customWidth="1"/>
    <col min="11814" max="12032" width="0" style="171" hidden="1"/>
    <col min="12033" max="12033" width="6.88671875" style="171" customWidth="1"/>
    <col min="12034" max="12034" width="5.6640625" style="171" customWidth="1"/>
    <col min="12035" max="12035" width="7" style="171" customWidth="1"/>
    <col min="12036" max="12038" width="15.44140625" style="171" customWidth="1"/>
    <col min="12039" max="12039" width="9.44140625" style="171" customWidth="1"/>
    <col min="12040" max="12040" width="15.44140625" style="171" customWidth="1"/>
    <col min="12041" max="12041" width="9.5546875" style="171" customWidth="1"/>
    <col min="12042" max="12042" width="9.44140625" style="171" customWidth="1"/>
    <col min="12043" max="12043" width="15.44140625" style="171" customWidth="1"/>
    <col min="12044" max="12044" width="8.33203125" style="171" customWidth="1"/>
    <col min="12045" max="12045" width="9.109375" style="171" customWidth="1"/>
    <col min="12046" max="12046" width="6.109375" style="171" customWidth="1"/>
    <col min="12047" max="12047" width="7.6640625" style="171" customWidth="1"/>
    <col min="12048" max="12053" width="15.44140625" style="171" customWidth="1"/>
    <col min="12054" max="12054" width="8.5546875" style="171" customWidth="1"/>
    <col min="12055" max="12059" width="0" style="171" hidden="1" customWidth="1"/>
    <col min="12060" max="12060" width="6.88671875" style="171" customWidth="1"/>
    <col min="12061" max="12061" width="5.6640625" style="171" customWidth="1"/>
    <col min="12062" max="12062" width="7" style="171" customWidth="1"/>
    <col min="12063" max="12063" width="15.44140625" style="171" customWidth="1"/>
    <col min="12064" max="12064" width="9.44140625" style="171" customWidth="1"/>
    <col min="12065" max="12065" width="15.44140625" style="171" customWidth="1"/>
    <col min="12066" max="12066" width="9.5546875" style="171" customWidth="1"/>
    <col min="12067" max="12067" width="9.44140625" style="171" customWidth="1"/>
    <col min="12068" max="12068" width="15.44140625" style="171" customWidth="1"/>
    <col min="12069" max="12069" width="0" style="171" hidden="1" customWidth="1"/>
    <col min="12070" max="12288" width="0" style="171" hidden="1"/>
    <col min="12289" max="12289" width="6.88671875" style="171" customWidth="1"/>
    <col min="12290" max="12290" width="5.6640625" style="171" customWidth="1"/>
    <col min="12291" max="12291" width="7" style="171" customWidth="1"/>
    <col min="12292" max="12294" width="15.44140625" style="171" customWidth="1"/>
    <col min="12295" max="12295" width="9.44140625" style="171" customWidth="1"/>
    <col min="12296" max="12296" width="15.44140625" style="171" customWidth="1"/>
    <col min="12297" max="12297" width="9.5546875" style="171" customWidth="1"/>
    <col min="12298" max="12298" width="9.44140625" style="171" customWidth="1"/>
    <col min="12299" max="12299" width="15.44140625" style="171" customWidth="1"/>
    <col min="12300" max="12300" width="8.33203125" style="171" customWidth="1"/>
    <col min="12301" max="12301" width="9.109375" style="171" customWidth="1"/>
    <col min="12302" max="12302" width="6.109375" style="171" customWidth="1"/>
    <col min="12303" max="12303" width="7.6640625" style="171" customWidth="1"/>
    <col min="12304" max="12309" width="15.44140625" style="171" customWidth="1"/>
    <col min="12310" max="12310" width="8.5546875" style="171" customWidth="1"/>
    <col min="12311" max="12315" width="0" style="171" hidden="1" customWidth="1"/>
    <col min="12316" max="12316" width="6.88671875" style="171" customWidth="1"/>
    <col min="12317" max="12317" width="5.6640625" style="171" customWidth="1"/>
    <col min="12318" max="12318" width="7" style="171" customWidth="1"/>
    <col min="12319" max="12319" width="15.44140625" style="171" customWidth="1"/>
    <col min="12320" max="12320" width="9.44140625" style="171" customWidth="1"/>
    <col min="12321" max="12321" width="15.44140625" style="171" customWidth="1"/>
    <col min="12322" max="12322" width="9.5546875" style="171" customWidth="1"/>
    <col min="12323" max="12323" width="9.44140625" style="171" customWidth="1"/>
    <col min="12324" max="12324" width="15.44140625" style="171" customWidth="1"/>
    <col min="12325" max="12325" width="0" style="171" hidden="1" customWidth="1"/>
    <col min="12326" max="12544" width="0" style="171" hidden="1"/>
    <col min="12545" max="12545" width="6.88671875" style="171" customWidth="1"/>
    <col min="12546" max="12546" width="5.6640625" style="171" customWidth="1"/>
    <col min="12547" max="12547" width="7" style="171" customWidth="1"/>
    <col min="12548" max="12550" width="15.44140625" style="171" customWidth="1"/>
    <col min="12551" max="12551" width="9.44140625" style="171" customWidth="1"/>
    <col min="12552" max="12552" width="15.44140625" style="171" customWidth="1"/>
    <col min="12553" max="12553" width="9.5546875" style="171" customWidth="1"/>
    <col min="12554" max="12554" width="9.44140625" style="171" customWidth="1"/>
    <col min="12555" max="12555" width="15.44140625" style="171" customWidth="1"/>
    <col min="12556" max="12556" width="8.33203125" style="171" customWidth="1"/>
    <col min="12557" max="12557" width="9.109375" style="171" customWidth="1"/>
    <col min="12558" max="12558" width="6.109375" style="171" customWidth="1"/>
    <col min="12559" max="12559" width="7.6640625" style="171" customWidth="1"/>
    <col min="12560" max="12565" width="15.44140625" style="171" customWidth="1"/>
    <col min="12566" max="12566" width="8.5546875" style="171" customWidth="1"/>
    <col min="12567" max="12571" width="0" style="171" hidden="1" customWidth="1"/>
    <col min="12572" max="12572" width="6.88671875" style="171" customWidth="1"/>
    <col min="12573" max="12573" width="5.6640625" style="171" customWidth="1"/>
    <col min="12574" max="12574" width="7" style="171" customWidth="1"/>
    <col min="12575" max="12575" width="15.44140625" style="171" customWidth="1"/>
    <col min="12576" max="12576" width="9.44140625" style="171" customWidth="1"/>
    <col min="12577" max="12577" width="15.44140625" style="171" customWidth="1"/>
    <col min="12578" max="12578" width="9.5546875" style="171" customWidth="1"/>
    <col min="12579" max="12579" width="9.44140625" style="171" customWidth="1"/>
    <col min="12580" max="12580" width="15.44140625" style="171" customWidth="1"/>
    <col min="12581" max="12581" width="0" style="171" hidden="1" customWidth="1"/>
    <col min="12582" max="12800" width="0" style="171" hidden="1"/>
    <col min="12801" max="12801" width="6.88671875" style="171" customWidth="1"/>
    <col min="12802" max="12802" width="5.6640625" style="171" customWidth="1"/>
    <col min="12803" max="12803" width="7" style="171" customWidth="1"/>
    <col min="12804" max="12806" width="15.44140625" style="171" customWidth="1"/>
    <col min="12807" max="12807" width="9.44140625" style="171" customWidth="1"/>
    <col min="12808" max="12808" width="15.44140625" style="171" customWidth="1"/>
    <col min="12809" max="12809" width="9.5546875" style="171" customWidth="1"/>
    <col min="12810" max="12810" width="9.44140625" style="171" customWidth="1"/>
    <col min="12811" max="12811" width="15.44140625" style="171" customWidth="1"/>
    <col min="12812" max="12812" width="8.33203125" style="171" customWidth="1"/>
    <col min="12813" max="12813" width="9.109375" style="171" customWidth="1"/>
    <col min="12814" max="12814" width="6.109375" style="171" customWidth="1"/>
    <col min="12815" max="12815" width="7.6640625" style="171" customWidth="1"/>
    <col min="12816" max="12821" width="15.44140625" style="171" customWidth="1"/>
    <col min="12822" max="12822" width="8.5546875" style="171" customWidth="1"/>
    <col min="12823" max="12827" width="0" style="171" hidden="1" customWidth="1"/>
    <col min="12828" max="12828" width="6.88671875" style="171" customWidth="1"/>
    <col min="12829" max="12829" width="5.6640625" style="171" customWidth="1"/>
    <col min="12830" max="12830" width="7" style="171" customWidth="1"/>
    <col min="12831" max="12831" width="15.44140625" style="171" customWidth="1"/>
    <col min="12832" max="12832" width="9.44140625" style="171" customWidth="1"/>
    <col min="12833" max="12833" width="15.44140625" style="171" customWidth="1"/>
    <col min="12834" max="12834" width="9.5546875" style="171" customWidth="1"/>
    <col min="12835" max="12835" width="9.44140625" style="171" customWidth="1"/>
    <col min="12836" max="12836" width="15.44140625" style="171" customWidth="1"/>
    <col min="12837" max="12837" width="0" style="171" hidden="1" customWidth="1"/>
    <col min="12838" max="13056" width="0" style="171" hidden="1"/>
    <col min="13057" max="13057" width="6.88671875" style="171" customWidth="1"/>
    <col min="13058" max="13058" width="5.6640625" style="171" customWidth="1"/>
    <col min="13059" max="13059" width="7" style="171" customWidth="1"/>
    <col min="13060" max="13062" width="15.44140625" style="171" customWidth="1"/>
    <col min="13063" max="13063" width="9.44140625" style="171" customWidth="1"/>
    <col min="13064" max="13064" width="15.44140625" style="171" customWidth="1"/>
    <col min="13065" max="13065" width="9.5546875" style="171" customWidth="1"/>
    <col min="13066" max="13066" width="9.44140625" style="171" customWidth="1"/>
    <col min="13067" max="13067" width="15.44140625" style="171" customWidth="1"/>
    <col min="13068" max="13068" width="8.33203125" style="171" customWidth="1"/>
    <col min="13069" max="13069" width="9.109375" style="171" customWidth="1"/>
    <col min="13070" max="13070" width="6.109375" style="171" customWidth="1"/>
    <col min="13071" max="13071" width="7.6640625" style="171" customWidth="1"/>
    <col min="13072" max="13077" width="15.44140625" style="171" customWidth="1"/>
    <col min="13078" max="13078" width="8.5546875" style="171" customWidth="1"/>
    <col min="13079" max="13083" width="0" style="171" hidden="1" customWidth="1"/>
    <col min="13084" max="13084" width="6.88671875" style="171" customWidth="1"/>
    <col min="13085" max="13085" width="5.6640625" style="171" customWidth="1"/>
    <col min="13086" max="13086" width="7" style="171" customWidth="1"/>
    <col min="13087" max="13087" width="15.44140625" style="171" customWidth="1"/>
    <col min="13088" max="13088" width="9.44140625" style="171" customWidth="1"/>
    <col min="13089" max="13089" width="15.44140625" style="171" customWidth="1"/>
    <col min="13090" max="13090" width="9.5546875" style="171" customWidth="1"/>
    <col min="13091" max="13091" width="9.44140625" style="171" customWidth="1"/>
    <col min="13092" max="13092" width="15.44140625" style="171" customWidth="1"/>
    <col min="13093" max="13093" width="0" style="171" hidden="1" customWidth="1"/>
    <col min="13094" max="13312" width="0" style="171" hidden="1"/>
    <col min="13313" max="13313" width="6.88671875" style="171" customWidth="1"/>
    <col min="13314" max="13314" width="5.6640625" style="171" customWidth="1"/>
    <col min="13315" max="13315" width="7" style="171" customWidth="1"/>
    <col min="13316" max="13318" width="15.44140625" style="171" customWidth="1"/>
    <col min="13319" max="13319" width="9.44140625" style="171" customWidth="1"/>
    <col min="13320" max="13320" width="15.44140625" style="171" customWidth="1"/>
    <col min="13321" max="13321" width="9.5546875" style="171" customWidth="1"/>
    <col min="13322" max="13322" width="9.44140625" style="171" customWidth="1"/>
    <col min="13323" max="13323" width="15.44140625" style="171" customWidth="1"/>
    <col min="13324" max="13324" width="8.33203125" style="171" customWidth="1"/>
    <col min="13325" max="13325" width="9.109375" style="171" customWidth="1"/>
    <col min="13326" max="13326" width="6.109375" style="171" customWidth="1"/>
    <col min="13327" max="13327" width="7.6640625" style="171" customWidth="1"/>
    <col min="13328" max="13333" width="15.44140625" style="171" customWidth="1"/>
    <col min="13334" max="13334" width="8.5546875" style="171" customWidth="1"/>
    <col min="13335" max="13339" width="0" style="171" hidden="1" customWidth="1"/>
    <col min="13340" max="13340" width="6.88671875" style="171" customWidth="1"/>
    <col min="13341" max="13341" width="5.6640625" style="171" customWidth="1"/>
    <col min="13342" max="13342" width="7" style="171" customWidth="1"/>
    <col min="13343" max="13343" width="15.44140625" style="171" customWidth="1"/>
    <col min="13344" max="13344" width="9.44140625" style="171" customWidth="1"/>
    <col min="13345" max="13345" width="15.44140625" style="171" customWidth="1"/>
    <col min="13346" max="13346" width="9.5546875" style="171" customWidth="1"/>
    <col min="13347" max="13347" width="9.44140625" style="171" customWidth="1"/>
    <col min="13348" max="13348" width="15.44140625" style="171" customWidth="1"/>
    <col min="13349" max="13349" width="0" style="171" hidden="1" customWidth="1"/>
    <col min="13350" max="13568" width="0" style="171" hidden="1"/>
    <col min="13569" max="13569" width="6.88671875" style="171" customWidth="1"/>
    <col min="13570" max="13570" width="5.6640625" style="171" customWidth="1"/>
    <col min="13571" max="13571" width="7" style="171" customWidth="1"/>
    <col min="13572" max="13574" width="15.44140625" style="171" customWidth="1"/>
    <col min="13575" max="13575" width="9.44140625" style="171" customWidth="1"/>
    <col min="13576" max="13576" width="15.44140625" style="171" customWidth="1"/>
    <col min="13577" max="13577" width="9.5546875" style="171" customWidth="1"/>
    <col min="13578" max="13578" width="9.44140625" style="171" customWidth="1"/>
    <col min="13579" max="13579" width="15.44140625" style="171" customWidth="1"/>
    <col min="13580" max="13580" width="8.33203125" style="171" customWidth="1"/>
    <col min="13581" max="13581" width="9.109375" style="171" customWidth="1"/>
    <col min="13582" max="13582" width="6.109375" style="171" customWidth="1"/>
    <col min="13583" max="13583" width="7.6640625" style="171" customWidth="1"/>
    <col min="13584" max="13589" width="15.44140625" style="171" customWidth="1"/>
    <col min="13590" max="13590" width="8.5546875" style="171" customWidth="1"/>
    <col min="13591" max="13595" width="0" style="171" hidden="1" customWidth="1"/>
    <col min="13596" max="13596" width="6.88671875" style="171" customWidth="1"/>
    <col min="13597" max="13597" width="5.6640625" style="171" customWidth="1"/>
    <col min="13598" max="13598" width="7" style="171" customWidth="1"/>
    <col min="13599" max="13599" width="15.44140625" style="171" customWidth="1"/>
    <col min="13600" max="13600" width="9.44140625" style="171" customWidth="1"/>
    <col min="13601" max="13601" width="15.44140625" style="171" customWidth="1"/>
    <col min="13602" max="13602" width="9.5546875" style="171" customWidth="1"/>
    <col min="13603" max="13603" width="9.44140625" style="171" customWidth="1"/>
    <col min="13604" max="13604" width="15.44140625" style="171" customWidth="1"/>
    <col min="13605" max="13605" width="0" style="171" hidden="1" customWidth="1"/>
    <col min="13606" max="13824" width="0" style="171" hidden="1"/>
    <col min="13825" max="13825" width="6.88671875" style="171" customWidth="1"/>
    <col min="13826" max="13826" width="5.6640625" style="171" customWidth="1"/>
    <col min="13827" max="13827" width="7" style="171" customWidth="1"/>
    <col min="13828" max="13830" width="15.44140625" style="171" customWidth="1"/>
    <col min="13831" max="13831" width="9.44140625" style="171" customWidth="1"/>
    <col min="13832" max="13832" width="15.44140625" style="171" customWidth="1"/>
    <col min="13833" max="13833" width="9.5546875" style="171" customWidth="1"/>
    <col min="13834" max="13834" width="9.44140625" style="171" customWidth="1"/>
    <col min="13835" max="13835" width="15.44140625" style="171" customWidth="1"/>
    <col min="13836" max="13836" width="8.33203125" style="171" customWidth="1"/>
    <col min="13837" max="13837" width="9.109375" style="171" customWidth="1"/>
    <col min="13838" max="13838" width="6.109375" style="171" customWidth="1"/>
    <col min="13839" max="13839" width="7.6640625" style="171" customWidth="1"/>
    <col min="13840" max="13845" width="15.44140625" style="171" customWidth="1"/>
    <col min="13846" max="13846" width="8.5546875" style="171" customWidth="1"/>
    <col min="13847" max="13851" width="0" style="171" hidden="1" customWidth="1"/>
    <col min="13852" max="13852" width="6.88671875" style="171" customWidth="1"/>
    <col min="13853" max="13853" width="5.6640625" style="171" customWidth="1"/>
    <col min="13854" max="13854" width="7" style="171" customWidth="1"/>
    <col min="13855" max="13855" width="15.44140625" style="171" customWidth="1"/>
    <col min="13856" max="13856" width="9.44140625" style="171" customWidth="1"/>
    <col min="13857" max="13857" width="15.44140625" style="171" customWidth="1"/>
    <col min="13858" max="13858" width="9.5546875" style="171" customWidth="1"/>
    <col min="13859" max="13859" width="9.44140625" style="171" customWidth="1"/>
    <col min="13860" max="13860" width="15.44140625" style="171" customWidth="1"/>
    <col min="13861" max="13861" width="0" style="171" hidden="1" customWidth="1"/>
    <col min="13862" max="14080" width="0" style="171" hidden="1"/>
    <col min="14081" max="14081" width="6.88671875" style="171" customWidth="1"/>
    <col min="14082" max="14082" width="5.6640625" style="171" customWidth="1"/>
    <col min="14083" max="14083" width="7" style="171" customWidth="1"/>
    <col min="14084" max="14086" width="15.44140625" style="171" customWidth="1"/>
    <col min="14087" max="14087" width="9.44140625" style="171" customWidth="1"/>
    <col min="14088" max="14088" width="15.44140625" style="171" customWidth="1"/>
    <col min="14089" max="14089" width="9.5546875" style="171" customWidth="1"/>
    <col min="14090" max="14090" width="9.44140625" style="171" customWidth="1"/>
    <col min="14091" max="14091" width="15.44140625" style="171" customWidth="1"/>
    <col min="14092" max="14092" width="8.33203125" style="171" customWidth="1"/>
    <col min="14093" max="14093" width="9.109375" style="171" customWidth="1"/>
    <col min="14094" max="14094" width="6.109375" style="171" customWidth="1"/>
    <col min="14095" max="14095" width="7.6640625" style="171" customWidth="1"/>
    <col min="14096" max="14101" width="15.44140625" style="171" customWidth="1"/>
    <col min="14102" max="14102" width="8.5546875" style="171" customWidth="1"/>
    <col min="14103" max="14107" width="0" style="171" hidden="1" customWidth="1"/>
    <col min="14108" max="14108" width="6.88671875" style="171" customWidth="1"/>
    <col min="14109" max="14109" width="5.6640625" style="171" customWidth="1"/>
    <col min="14110" max="14110" width="7" style="171" customWidth="1"/>
    <col min="14111" max="14111" width="15.44140625" style="171" customWidth="1"/>
    <col min="14112" max="14112" width="9.44140625" style="171" customWidth="1"/>
    <col min="14113" max="14113" width="15.44140625" style="171" customWidth="1"/>
    <col min="14114" max="14114" width="9.5546875" style="171" customWidth="1"/>
    <col min="14115" max="14115" width="9.44140625" style="171" customWidth="1"/>
    <col min="14116" max="14116" width="15.44140625" style="171" customWidth="1"/>
    <col min="14117" max="14117" width="0" style="171" hidden="1" customWidth="1"/>
    <col min="14118" max="14336" width="0" style="171" hidden="1"/>
    <col min="14337" max="14337" width="6.88671875" style="171" customWidth="1"/>
    <col min="14338" max="14338" width="5.6640625" style="171" customWidth="1"/>
    <col min="14339" max="14339" width="7" style="171" customWidth="1"/>
    <col min="14340" max="14342" width="15.44140625" style="171" customWidth="1"/>
    <col min="14343" max="14343" width="9.44140625" style="171" customWidth="1"/>
    <col min="14344" max="14344" width="15.44140625" style="171" customWidth="1"/>
    <col min="14345" max="14345" width="9.5546875" style="171" customWidth="1"/>
    <col min="14346" max="14346" width="9.44140625" style="171" customWidth="1"/>
    <col min="14347" max="14347" width="15.44140625" style="171" customWidth="1"/>
    <col min="14348" max="14348" width="8.33203125" style="171" customWidth="1"/>
    <col min="14349" max="14349" width="9.109375" style="171" customWidth="1"/>
    <col min="14350" max="14350" width="6.109375" style="171" customWidth="1"/>
    <col min="14351" max="14351" width="7.6640625" style="171" customWidth="1"/>
    <col min="14352" max="14357" width="15.44140625" style="171" customWidth="1"/>
    <col min="14358" max="14358" width="8.5546875" style="171" customWidth="1"/>
    <col min="14359" max="14363" width="0" style="171" hidden="1" customWidth="1"/>
    <col min="14364" max="14364" width="6.88671875" style="171" customWidth="1"/>
    <col min="14365" max="14365" width="5.6640625" style="171" customWidth="1"/>
    <col min="14366" max="14366" width="7" style="171" customWidth="1"/>
    <col min="14367" max="14367" width="15.44140625" style="171" customWidth="1"/>
    <col min="14368" max="14368" width="9.44140625" style="171" customWidth="1"/>
    <col min="14369" max="14369" width="15.44140625" style="171" customWidth="1"/>
    <col min="14370" max="14370" width="9.5546875" style="171" customWidth="1"/>
    <col min="14371" max="14371" width="9.44140625" style="171" customWidth="1"/>
    <col min="14372" max="14372" width="15.44140625" style="171" customWidth="1"/>
    <col min="14373" max="14373" width="0" style="171" hidden="1" customWidth="1"/>
    <col min="14374" max="14592" width="0" style="171" hidden="1"/>
    <col min="14593" max="14593" width="6.88671875" style="171" customWidth="1"/>
    <col min="14594" max="14594" width="5.6640625" style="171" customWidth="1"/>
    <col min="14595" max="14595" width="7" style="171" customWidth="1"/>
    <col min="14596" max="14598" width="15.44140625" style="171" customWidth="1"/>
    <col min="14599" max="14599" width="9.44140625" style="171" customWidth="1"/>
    <col min="14600" max="14600" width="15.44140625" style="171" customWidth="1"/>
    <col min="14601" max="14601" width="9.5546875" style="171" customWidth="1"/>
    <col min="14602" max="14602" width="9.44140625" style="171" customWidth="1"/>
    <col min="14603" max="14603" width="15.44140625" style="171" customWidth="1"/>
    <col min="14604" max="14604" width="8.33203125" style="171" customWidth="1"/>
    <col min="14605" max="14605" width="9.109375" style="171" customWidth="1"/>
    <col min="14606" max="14606" width="6.109375" style="171" customWidth="1"/>
    <col min="14607" max="14607" width="7.6640625" style="171" customWidth="1"/>
    <col min="14608" max="14613" width="15.44140625" style="171" customWidth="1"/>
    <col min="14614" max="14614" width="8.5546875" style="171" customWidth="1"/>
    <col min="14615" max="14619" width="0" style="171" hidden="1" customWidth="1"/>
    <col min="14620" max="14620" width="6.88671875" style="171" customWidth="1"/>
    <col min="14621" max="14621" width="5.6640625" style="171" customWidth="1"/>
    <col min="14622" max="14622" width="7" style="171" customWidth="1"/>
    <col min="14623" max="14623" width="15.44140625" style="171" customWidth="1"/>
    <col min="14624" max="14624" width="9.44140625" style="171" customWidth="1"/>
    <col min="14625" max="14625" width="15.44140625" style="171" customWidth="1"/>
    <col min="14626" max="14626" width="9.5546875" style="171" customWidth="1"/>
    <col min="14627" max="14627" width="9.44140625" style="171" customWidth="1"/>
    <col min="14628" max="14628" width="15.44140625" style="171" customWidth="1"/>
    <col min="14629" max="14629" width="0" style="171" hidden="1" customWidth="1"/>
    <col min="14630" max="14848" width="0" style="171" hidden="1"/>
    <col min="14849" max="14849" width="6.88671875" style="171" customWidth="1"/>
    <col min="14850" max="14850" width="5.6640625" style="171" customWidth="1"/>
    <col min="14851" max="14851" width="7" style="171" customWidth="1"/>
    <col min="14852" max="14854" width="15.44140625" style="171" customWidth="1"/>
    <col min="14855" max="14855" width="9.44140625" style="171" customWidth="1"/>
    <col min="14856" max="14856" width="15.44140625" style="171" customWidth="1"/>
    <col min="14857" max="14857" width="9.5546875" style="171" customWidth="1"/>
    <col min="14858" max="14858" width="9.44140625" style="171" customWidth="1"/>
    <col min="14859" max="14859" width="15.44140625" style="171" customWidth="1"/>
    <col min="14860" max="14860" width="8.33203125" style="171" customWidth="1"/>
    <col min="14861" max="14861" width="9.109375" style="171" customWidth="1"/>
    <col min="14862" max="14862" width="6.109375" style="171" customWidth="1"/>
    <col min="14863" max="14863" width="7.6640625" style="171" customWidth="1"/>
    <col min="14864" max="14869" width="15.44140625" style="171" customWidth="1"/>
    <col min="14870" max="14870" width="8.5546875" style="171" customWidth="1"/>
    <col min="14871" max="14875" width="0" style="171" hidden="1" customWidth="1"/>
    <col min="14876" max="14876" width="6.88671875" style="171" customWidth="1"/>
    <col min="14877" max="14877" width="5.6640625" style="171" customWidth="1"/>
    <col min="14878" max="14878" width="7" style="171" customWidth="1"/>
    <col min="14879" max="14879" width="15.44140625" style="171" customWidth="1"/>
    <col min="14880" max="14880" width="9.44140625" style="171" customWidth="1"/>
    <col min="14881" max="14881" width="15.44140625" style="171" customWidth="1"/>
    <col min="14882" max="14882" width="9.5546875" style="171" customWidth="1"/>
    <col min="14883" max="14883" width="9.44140625" style="171" customWidth="1"/>
    <col min="14884" max="14884" width="15.44140625" style="171" customWidth="1"/>
    <col min="14885" max="14885" width="0" style="171" hidden="1" customWidth="1"/>
    <col min="14886" max="15104" width="0" style="171" hidden="1"/>
    <col min="15105" max="15105" width="6.88671875" style="171" customWidth="1"/>
    <col min="15106" max="15106" width="5.6640625" style="171" customWidth="1"/>
    <col min="15107" max="15107" width="7" style="171" customWidth="1"/>
    <col min="15108" max="15110" width="15.44140625" style="171" customWidth="1"/>
    <col min="15111" max="15111" width="9.44140625" style="171" customWidth="1"/>
    <col min="15112" max="15112" width="15.44140625" style="171" customWidth="1"/>
    <col min="15113" max="15113" width="9.5546875" style="171" customWidth="1"/>
    <col min="15114" max="15114" width="9.44140625" style="171" customWidth="1"/>
    <col min="15115" max="15115" width="15.44140625" style="171" customWidth="1"/>
    <col min="15116" max="15116" width="8.33203125" style="171" customWidth="1"/>
    <col min="15117" max="15117" width="9.109375" style="171" customWidth="1"/>
    <col min="15118" max="15118" width="6.109375" style="171" customWidth="1"/>
    <col min="15119" max="15119" width="7.6640625" style="171" customWidth="1"/>
    <col min="15120" max="15125" width="15.44140625" style="171" customWidth="1"/>
    <col min="15126" max="15126" width="8.5546875" style="171" customWidth="1"/>
    <col min="15127" max="15131" width="0" style="171" hidden="1" customWidth="1"/>
    <col min="15132" max="15132" width="6.88671875" style="171" customWidth="1"/>
    <col min="15133" max="15133" width="5.6640625" style="171" customWidth="1"/>
    <col min="15134" max="15134" width="7" style="171" customWidth="1"/>
    <col min="15135" max="15135" width="15.44140625" style="171" customWidth="1"/>
    <col min="15136" max="15136" width="9.44140625" style="171" customWidth="1"/>
    <col min="15137" max="15137" width="15.44140625" style="171" customWidth="1"/>
    <col min="15138" max="15138" width="9.5546875" style="171" customWidth="1"/>
    <col min="15139" max="15139" width="9.44140625" style="171" customWidth="1"/>
    <col min="15140" max="15140" width="15.44140625" style="171" customWidth="1"/>
    <col min="15141" max="15141" width="0" style="171" hidden="1" customWidth="1"/>
    <col min="15142" max="15360" width="0" style="171" hidden="1"/>
    <col min="15361" max="15361" width="6.88671875" style="171" customWidth="1"/>
    <col min="15362" max="15362" width="5.6640625" style="171" customWidth="1"/>
    <col min="15363" max="15363" width="7" style="171" customWidth="1"/>
    <col min="15364" max="15366" width="15.44140625" style="171" customWidth="1"/>
    <col min="15367" max="15367" width="9.44140625" style="171" customWidth="1"/>
    <col min="15368" max="15368" width="15.44140625" style="171" customWidth="1"/>
    <col min="15369" max="15369" width="9.5546875" style="171" customWidth="1"/>
    <col min="15370" max="15370" width="9.44140625" style="171" customWidth="1"/>
    <col min="15371" max="15371" width="15.44140625" style="171" customWidth="1"/>
    <col min="15372" max="15372" width="8.33203125" style="171" customWidth="1"/>
    <col min="15373" max="15373" width="9.109375" style="171" customWidth="1"/>
    <col min="15374" max="15374" width="6.109375" style="171" customWidth="1"/>
    <col min="15375" max="15375" width="7.6640625" style="171" customWidth="1"/>
    <col min="15376" max="15381" width="15.44140625" style="171" customWidth="1"/>
    <col min="15382" max="15382" width="8.5546875" style="171" customWidth="1"/>
    <col min="15383" max="15387" width="0" style="171" hidden="1" customWidth="1"/>
    <col min="15388" max="15388" width="6.88671875" style="171" customWidth="1"/>
    <col min="15389" max="15389" width="5.6640625" style="171" customWidth="1"/>
    <col min="15390" max="15390" width="7" style="171" customWidth="1"/>
    <col min="15391" max="15391" width="15.44140625" style="171" customWidth="1"/>
    <col min="15392" max="15392" width="9.44140625" style="171" customWidth="1"/>
    <col min="15393" max="15393" width="15.44140625" style="171" customWidth="1"/>
    <col min="15394" max="15394" width="9.5546875" style="171" customWidth="1"/>
    <col min="15395" max="15395" width="9.44140625" style="171" customWidth="1"/>
    <col min="15396" max="15396" width="15.44140625" style="171" customWidth="1"/>
    <col min="15397" max="15397" width="0" style="171" hidden="1" customWidth="1"/>
    <col min="15398" max="15616" width="0" style="171" hidden="1"/>
    <col min="15617" max="15617" width="6.88671875" style="171" customWidth="1"/>
    <col min="15618" max="15618" width="5.6640625" style="171" customWidth="1"/>
    <col min="15619" max="15619" width="7" style="171" customWidth="1"/>
    <col min="15620" max="15622" width="15.44140625" style="171" customWidth="1"/>
    <col min="15623" max="15623" width="9.44140625" style="171" customWidth="1"/>
    <col min="15624" max="15624" width="15.44140625" style="171" customWidth="1"/>
    <col min="15625" max="15625" width="9.5546875" style="171" customWidth="1"/>
    <col min="15626" max="15626" width="9.44140625" style="171" customWidth="1"/>
    <col min="15627" max="15627" width="15.44140625" style="171" customWidth="1"/>
    <col min="15628" max="15628" width="8.33203125" style="171" customWidth="1"/>
    <col min="15629" max="15629" width="9.109375" style="171" customWidth="1"/>
    <col min="15630" max="15630" width="6.109375" style="171" customWidth="1"/>
    <col min="15631" max="15631" width="7.6640625" style="171" customWidth="1"/>
    <col min="15632" max="15637" width="15.44140625" style="171" customWidth="1"/>
    <col min="15638" max="15638" width="8.5546875" style="171" customWidth="1"/>
    <col min="15639" max="15643" width="0" style="171" hidden="1" customWidth="1"/>
    <col min="15644" max="15644" width="6.88671875" style="171" customWidth="1"/>
    <col min="15645" max="15645" width="5.6640625" style="171" customWidth="1"/>
    <col min="15646" max="15646" width="7" style="171" customWidth="1"/>
    <col min="15647" max="15647" width="15.44140625" style="171" customWidth="1"/>
    <col min="15648" max="15648" width="9.44140625" style="171" customWidth="1"/>
    <col min="15649" max="15649" width="15.44140625" style="171" customWidth="1"/>
    <col min="15650" max="15650" width="9.5546875" style="171" customWidth="1"/>
    <col min="15651" max="15651" width="9.44140625" style="171" customWidth="1"/>
    <col min="15652" max="15652" width="15.44140625" style="171" customWidth="1"/>
    <col min="15653" max="15653" width="0" style="171" hidden="1" customWidth="1"/>
    <col min="15654" max="15872" width="0" style="171" hidden="1"/>
    <col min="15873" max="15873" width="6.88671875" style="171" customWidth="1"/>
    <col min="15874" max="15874" width="5.6640625" style="171" customWidth="1"/>
    <col min="15875" max="15875" width="7" style="171" customWidth="1"/>
    <col min="15876" max="15878" width="15.44140625" style="171" customWidth="1"/>
    <col min="15879" max="15879" width="9.44140625" style="171" customWidth="1"/>
    <col min="15880" max="15880" width="15.44140625" style="171" customWidth="1"/>
    <col min="15881" max="15881" width="9.5546875" style="171" customWidth="1"/>
    <col min="15882" max="15882" width="9.44140625" style="171" customWidth="1"/>
    <col min="15883" max="15883" width="15.44140625" style="171" customWidth="1"/>
    <col min="15884" max="15884" width="8.33203125" style="171" customWidth="1"/>
    <col min="15885" max="15885" width="9.109375" style="171" customWidth="1"/>
    <col min="15886" max="15886" width="6.109375" style="171" customWidth="1"/>
    <col min="15887" max="15887" width="7.6640625" style="171" customWidth="1"/>
    <col min="15888" max="15893" width="15.44140625" style="171" customWidth="1"/>
    <col min="15894" max="15894" width="8.5546875" style="171" customWidth="1"/>
    <col min="15895" max="15899" width="0" style="171" hidden="1" customWidth="1"/>
    <col min="15900" max="15900" width="6.88671875" style="171" customWidth="1"/>
    <col min="15901" max="15901" width="5.6640625" style="171" customWidth="1"/>
    <col min="15902" max="15902" width="7" style="171" customWidth="1"/>
    <col min="15903" max="15903" width="15.44140625" style="171" customWidth="1"/>
    <col min="15904" max="15904" width="9.44140625" style="171" customWidth="1"/>
    <col min="15905" max="15905" width="15.44140625" style="171" customWidth="1"/>
    <col min="15906" max="15906" width="9.5546875" style="171" customWidth="1"/>
    <col min="15907" max="15907" width="9.44140625" style="171" customWidth="1"/>
    <col min="15908" max="15908" width="15.44140625" style="171" customWidth="1"/>
    <col min="15909" max="15909" width="0" style="171" hidden="1" customWidth="1"/>
    <col min="15910" max="16128" width="0" style="171" hidden="1"/>
    <col min="16129" max="16129" width="6.88671875" style="171" customWidth="1"/>
    <col min="16130" max="16130" width="5.6640625" style="171" customWidth="1"/>
    <col min="16131" max="16131" width="7" style="171" customWidth="1"/>
    <col min="16132" max="16134" width="15.44140625" style="171" customWidth="1"/>
    <col min="16135" max="16135" width="9.44140625" style="171" customWidth="1"/>
    <col min="16136" max="16136" width="15.44140625" style="171" customWidth="1"/>
    <col min="16137" max="16137" width="9.5546875" style="171" customWidth="1"/>
    <col min="16138" max="16138" width="9.44140625" style="171" customWidth="1"/>
    <col min="16139" max="16139" width="15.44140625" style="171" customWidth="1"/>
    <col min="16140" max="16140" width="8.33203125" style="171" customWidth="1"/>
    <col min="16141" max="16141" width="9.109375" style="171" customWidth="1"/>
    <col min="16142" max="16142" width="6.109375" style="171" customWidth="1"/>
    <col min="16143" max="16143" width="7.6640625" style="171" customWidth="1"/>
    <col min="16144" max="16149" width="15.44140625" style="171" customWidth="1"/>
    <col min="16150" max="16150" width="8.5546875" style="171" customWidth="1"/>
    <col min="16151" max="16155" width="0" style="171" hidden="1" customWidth="1"/>
    <col min="16156" max="16156" width="6.88671875" style="171" customWidth="1"/>
    <col min="16157" max="16157" width="5.6640625" style="171" customWidth="1"/>
    <col min="16158" max="16158" width="7" style="171" customWidth="1"/>
    <col min="16159" max="16159" width="15.44140625" style="171" customWidth="1"/>
    <col min="16160" max="16160" width="9.44140625" style="171" customWidth="1"/>
    <col min="16161" max="16161" width="15.44140625" style="171" customWidth="1"/>
    <col min="16162" max="16162" width="9.5546875" style="171" customWidth="1"/>
    <col min="16163" max="16163" width="9.44140625" style="171" customWidth="1"/>
    <col min="16164" max="16164" width="15.44140625" style="171" customWidth="1"/>
    <col min="16165" max="16165" width="0" style="171" hidden="1" customWidth="1"/>
    <col min="16166" max="16384" width="0" style="171" hidden="1"/>
  </cols>
  <sheetData>
    <row r="1" spans="1:36" ht="27.75" customHeight="1" thickBot="1" x14ac:dyDescent="0.3">
      <c r="A1" s="375"/>
      <c r="B1" s="170"/>
      <c r="C1" s="170"/>
      <c r="D1" s="170"/>
      <c r="E1" s="375" t="s">
        <v>279</v>
      </c>
      <c r="F1" s="375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</row>
    <row r="2" spans="1:36" ht="13.2" x14ac:dyDescent="0.25">
      <c r="A2" s="172" t="str">
        <f>IF(Sheet1!D$8=1,IF(NOT(Sheet1!D$192=1),"6.  Costs and Benefits Display (     ECONOMIC ANALYSIS - NO STATUS QUO FORMAT    ):","6.  Costs and Benefits Display (    ECONOMIC ANALYSIS FORMAT     ):"),IF(Sheet1!D$8=2,IF(NOT(Sheet1!D$192=1),"6.  Costs and Benefits Display (COST COMPARISON ( NO SQ) FORMAT (complies w/policy Oct 1996 f/OSCR Initiatives)    ):","6.  Costs and Benefits Display (  COST COMPARISON FORMAT (complies with policy amended Oct 1996 for OSCR Initiatives)   ):"),IF(NOT(Sheet1!D$192=1),"6.  Costs and Benefits Display (COST COMPARISON (NO SQ) FORMAT (complies with policy dated Dec 1996)     ): ","6. Costs and Benefits Display (COST COMPARISON FORMAT (complies with policy dated Dec 1996)    ): ")))</f>
        <v>6.  Costs and Benefits Display (    ECONOMIC ANALYSIS FORMAT     ):</v>
      </c>
      <c r="B2" s="173"/>
      <c r="C2" s="173"/>
      <c r="D2" s="173"/>
      <c r="E2" s="174"/>
      <c r="F2" s="174"/>
      <c r="G2" s="173"/>
      <c r="H2" s="173"/>
      <c r="I2" s="175"/>
      <c r="J2" s="173"/>
      <c r="K2" s="176"/>
      <c r="L2" s="177"/>
      <c r="M2" s="178" t="s">
        <v>280</v>
      </c>
      <c r="N2" s="179"/>
      <c r="O2" s="173"/>
      <c r="P2" s="180"/>
      <c r="Q2" s="180"/>
      <c r="R2" s="180"/>
      <c r="S2" s="180"/>
      <c r="T2" s="180"/>
      <c r="U2" s="181"/>
      <c r="V2" s="182"/>
      <c r="W2" s="183"/>
      <c r="AB2" s="178" t="s">
        <v>326</v>
      </c>
      <c r="AC2" s="184"/>
      <c r="AD2" s="185"/>
      <c r="AE2" s="186"/>
      <c r="AF2" s="187"/>
      <c r="AG2" s="186"/>
      <c r="AH2" s="188"/>
      <c r="AI2" s="187"/>
      <c r="AJ2" s="189"/>
    </row>
    <row r="3" spans="1:36" ht="13.8" thickBot="1" x14ac:dyDescent="0.3">
      <c r="A3" s="190"/>
      <c r="B3" s="191" t="str">
        <f>IF(AND(Sheet1!D$8=2,Sheet1!D$22&lt;&gt;3),"(*) WARNING:  This ''COST COMPARISON FORMAT''  only applies for  ''OSCR INITIATIVES'' - USE OTHER FORMAT!!!!",IF(AND(Sheet1!D$8=3,Sheet1!D$22=3),"WARNING:  This ''COST COMPARISON FORMAT'' does not apply for ''OSCR INITIATIVES'' - USE OTHER FORMAT!!!"," "))</f>
        <v xml:space="preserve"> </v>
      </c>
      <c r="C3" s="192"/>
      <c r="D3" s="192"/>
      <c r="E3" s="193"/>
      <c r="F3" s="194"/>
      <c r="G3" s="192"/>
      <c r="H3" s="192"/>
      <c r="I3" s="192"/>
      <c r="J3" s="195"/>
      <c r="K3" s="196"/>
      <c r="L3" s="177"/>
      <c r="M3" s="197"/>
      <c r="N3" s="198"/>
      <c r="O3" s="192"/>
      <c r="P3" s="199"/>
      <c r="Q3" s="199"/>
      <c r="R3" s="199"/>
      <c r="S3" s="199"/>
      <c r="T3" s="199"/>
      <c r="U3" s="200"/>
      <c r="V3" s="182"/>
      <c r="W3" s="183"/>
      <c r="AB3" s="201" t="s">
        <v>282</v>
      </c>
      <c r="AC3" s="202"/>
      <c r="AD3" s="203"/>
      <c r="AE3" s="204"/>
      <c r="AF3" s="205"/>
      <c r="AG3" s="204"/>
      <c r="AH3" s="206"/>
      <c r="AI3" s="205"/>
      <c r="AJ3" s="207"/>
    </row>
    <row r="4" spans="1:36" ht="11.4" x14ac:dyDescent="0.2">
      <c r="A4" s="208" t="s">
        <v>283</v>
      </c>
      <c r="B4" s="208" t="s">
        <v>284</v>
      </c>
      <c r="C4" s="209"/>
      <c r="D4" s="210" t="str">
        <f>IF(Sheet1!D$192=1,"6c.","n/a.")</f>
        <v>6c.</v>
      </c>
      <c r="E4" s="210" t="str">
        <f>IF(Sheet1!D$192=1,"6d.","6c.")</f>
        <v>6d.</v>
      </c>
      <c r="F4" s="210" t="str">
        <f>IF(Sheet1!D$192=1,"6e.","n/a.")</f>
        <v>6e.</v>
      </c>
      <c r="G4" s="210" t="str">
        <f>IF(Sheet1!D$192=1,"6f.","6d.")</f>
        <v>6f.</v>
      </c>
      <c r="H4" s="210" t="str">
        <f>IF(Sheet1!D$192=1,"6g.","6e.")</f>
        <v>6g.</v>
      </c>
      <c r="I4" s="210" t="str">
        <f>IF(Sheet1!D$192=1,"6h.","6f.")</f>
        <v>6h.</v>
      </c>
      <c r="J4" s="210" t="str">
        <f>IF(Sheet1!D$192=1,"6i.","6g.")</f>
        <v>6i.</v>
      </c>
      <c r="K4" s="210" t="str">
        <f>IF(Sheet1!D$192=1,"6j.","6h.")</f>
        <v>6j.</v>
      </c>
      <c r="L4" s="177"/>
      <c r="M4" s="210" t="str">
        <f>IF(Sheet1!D$192=1,"6k.","6j.")</f>
        <v>6k.</v>
      </c>
      <c r="N4" s="210" t="str">
        <f>IF(Sheet1!D$192=1,"6l.","6k.")</f>
        <v>6l.</v>
      </c>
      <c r="O4" s="210" t="str">
        <f>IF(Sheet1!D$192=1,"6m.","6l.")</f>
        <v>6m.</v>
      </c>
      <c r="P4" s="210" t="str">
        <f>IF(Sheet1!D$192=1,"6n.","6m.")</f>
        <v>6n.</v>
      </c>
      <c r="Q4" s="210" t="str">
        <f>IF(Sheet1!D$192=1,"6o.","6n.")</f>
        <v>6o.</v>
      </c>
      <c r="R4" s="210" t="str">
        <f>IF(Sheet1!D$192=1,"6p.","6o.")</f>
        <v>6p.</v>
      </c>
      <c r="S4" s="210" t="str">
        <f>IF(Sheet1!D$192=1,"6q.","6p.")</f>
        <v>6q.</v>
      </c>
      <c r="T4" s="210" t="str">
        <f>IF(Sheet1!D$192=1,"6r.","6q.")</f>
        <v>6r.</v>
      </c>
      <c r="U4" s="210" t="str">
        <f>IF(Sheet1!D$192=1,"6s.","6r.")</f>
        <v>6s.</v>
      </c>
      <c r="V4" s="211"/>
      <c r="W4" s="212"/>
      <c r="AB4" s="208" t="s">
        <v>285</v>
      </c>
      <c r="AC4" s="208" t="s">
        <v>286</v>
      </c>
      <c r="AD4" s="209"/>
      <c r="AE4" s="210" t="str">
        <f>IF(Sheet1!D$194=1,"A3.","n/a.")</f>
        <v>n/a.</v>
      </c>
      <c r="AF4" s="210" t="str">
        <f>IF(Sheet1!D$194=1,"A4.","n/a.")</f>
        <v>n/a.</v>
      </c>
      <c r="AG4" s="210" t="str">
        <f>IF(Sheet1!D$194=1,"A5.","n/a.")</f>
        <v>n/a.</v>
      </c>
      <c r="AH4" s="210" t="str">
        <f>IF(Sheet1!D$194=1,"A6.","n/a.")</f>
        <v>n/a.</v>
      </c>
      <c r="AI4" s="210" t="str">
        <f>IF(Sheet1!D$194=1,"A7.","n/a.")</f>
        <v>n/a.</v>
      </c>
      <c r="AJ4" s="210" t="str">
        <f>IF(Sheet1!D$194=1,"A8.","n/a.")</f>
        <v>n/a.</v>
      </c>
    </row>
    <row r="5" spans="1:36" ht="12" x14ac:dyDescent="0.25">
      <c r="A5" s="213"/>
      <c r="B5" s="213"/>
      <c r="C5" s="214"/>
      <c r="D5" s="213"/>
      <c r="E5" s="215"/>
      <c r="F5" s="216" t="str">
        <f>IF(Sheet1!D$192=1,"Monetary Benefits","Costs")</f>
        <v>Monetary Benefits</v>
      </c>
      <c r="G5" s="217" t="str">
        <f>IF(OR(Sheet1!D$8=2,Sheet1!D$8=3)," ","Discount")</f>
        <v>Discount</v>
      </c>
      <c r="H5" s="215"/>
      <c r="I5" s="218" t="s">
        <v>287</v>
      </c>
      <c r="J5" s="217" t="s">
        <v>288</v>
      </c>
      <c r="K5" s="215"/>
      <c r="L5" s="219"/>
      <c r="M5" s="213"/>
      <c r="N5" s="213"/>
      <c r="O5" s="213"/>
      <c r="P5" s="220" t="str">
        <f>IF(OR(Sheet1!D$8=2,Sheet1!D$8=3,Sheet1!D$22=3),"''  Restricted """," ")</f>
        <v xml:space="preserve"> </v>
      </c>
      <c r="Q5" s="220" t="str">
        <f>IF(OR(Sheet1!D$8=2,Sheet1!D$8=3,Sheet1!D$22=3),"''  Restricted """," ")</f>
        <v xml:space="preserve"> </v>
      </c>
      <c r="R5" s="220" t="str">
        <f>IF(OR(Sheet1!D$8=2,Sheet1!D$8=3,Sheet1!D$22=3),"''  Restricted """," ")</f>
        <v xml:space="preserve"> </v>
      </c>
      <c r="S5" s="220" t="str">
        <f>IF(OR(Sheet1!D$8=2,Sheet1!D$8=3,Sheet1!D$22=3),"''  Restricted """," ")</f>
        <v xml:space="preserve"> </v>
      </c>
      <c r="T5" s="220" t="str">
        <f>IF(OR(Sheet1!D$8=2,Sheet1!D$8=3,Sheet1!D$22=3),"''  Restricted """," ")</f>
        <v xml:space="preserve"> </v>
      </c>
      <c r="U5" s="220" t="str">
        <f>IF(OR(Sheet1!D$8=2,Sheet1!D$8=3,Sheet1!D$22=3),"''  Restricted """," ")</f>
        <v xml:space="preserve"> </v>
      </c>
      <c r="V5" s="211"/>
      <c r="W5" s="212"/>
      <c r="AA5" s="220" t="str">
        <f>IF(OR(Sheet1!J$8=2,Sheet1!J$8=3,Sheet1!J$22=3),"''  Restricted """," ")</f>
        <v xml:space="preserve"> </v>
      </c>
      <c r="AB5" s="213"/>
      <c r="AC5" s="213"/>
      <c r="AD5" s="214"/>
      <c r="AE5" s="213"/>
      <c r="AF5" s="217" t="str">
        <f>IF(OR(Sheet1!D$8=2,Sheet1!D$8=3)," ","Discount")</f>
        <v>Discount</v>
      </c>
      <c r="AG5" s="215"/>
      <c r="AH5" s="218" t="s">
        <v>287</v>
      </c>
      <c r="AI5" s="217" t="s">
        <v>288</v>
      </c>
      <c r="AJ5" s="233" t="s">
        <v>289</v>
      </c>
    </row>
    <row r="6" spans="1:36" ht="12" x14ac:dyDescent="0.25">
      <c r="A6" s="215"/>
      <c r="B6" s="215"/>
      <c r="C6" s="222"/>
      <c r="D6" s="221" t="s">
        <v>290</v>
      </c>
      <c r="E6" s="221" t="s">
        <v>325</v>
      </c>
      <c r="F6" s="215"/>
      <c r="G6" s="223" t="str">
        <f>IF(OR(Sheet1!D$8=2,Sheet1!D$8=3)," ","Factors")</f>
        <v>Factors</v>
      </c>
      <c r="H6" s="215"/>
      <c r="I6" s="224" t="s">
        <v>292</v>
      </c>
      <c r="J6" s="223" t="s">
        <v>293</v>
      </c>
      <c r="K6" s="215"/>
      <c r="L6" s="219"/>
      <c r="M6" s="215"/>
      <c r="N6" s="215"/>
      <c r="O6" s="216"/>
      <c r="P6" s="225" t="s">
        <v>290</v>
      </c>
      <c r="Q6" s="225" t="s">
        <v>325</v>
      </c>
      <c r="R6" s="226" t="s">
        <v>294</v>
      </c>
      <c r="S6" s="227"/>
      <c r="T6" s="227"/>
      <c r="U6" s="224" t="s">
        <v>294</v>
      </c>
      <c r="V6" s="211"/>
      <c r="W6" s="212"/>
      <c r="AA6" s="224" t="s">
        <v>295</v>
      </c>
      <c r="AB6" s="215"/>
      <c r="AC6" s="215"/>
      <c r="AD6" s="222"/>
      <c r="AE6" s="221" t="s">
        <v>325</v>
      </c>
      <c r="AF6" s="223" t="str">
        <f>IF(OR(Sheet1!D$8=2,Sheet1!D$8=3)," ","Factors")</f>
        <v>Factors</v>
      </c>
      <c r="AG6" s="215"/>
      <c r="AH6" s="224" t="s">
        <v>292</v>
      </c>
      <c r="AI6" s="223" t="s">
        <v>293</v>
      </c>
      <c r="AJ6" s="220" t="str">
        <f>IF(OR(Sheet1!D$8=2,Sheet1!D$8=3,Sheet1!D$22=3),"''  Restricted ''"," ")</f>
        <v xml:space="preserve"> </v>
      </c>
    </row>
    <row r="7" spans="1:36" ht="12" x14ac:dyDescent="0.25">
      <c r="A7" s="215"/>
      <c r="B7" s="215"/>
      <c r="C7" s="228"/>
      <c r="D7" s="215"/>
      <c r="E7" s="215"/>
      <c r="F7" s="216" t="str">
        <f>IF(Sheet1!D$192=1,"Operating Cost"," ")</f>
        <v>Operating Cost</v>
      </c>
      <c r="G7" s="224" t="str">
        <f>IF(OR(Sheet1!D$8=2,Sheet1!D$8=3)," ","dated")</f>
        <v>dated</v>
      </c>
      <c r="H7" s="216" t="str">
        <f>IF(Sheet1!D$192=1,"Monetary Benefits","Costs")</f>
        <v>Monetary Benefits</v>
      </c>
      <c r="I7" s="224" t="s">
        <v>296</v>
      </c>
      <c r="J7" s="224" t="s">
        <v>297</v>
      </c>
      <c r="K7" s="216" t="str">
        <f>IF(Sheet1!D$192=1,"Monetary Benefits","Costs")</f>
        <v>Monetary Benefits</v>
      </c>
      <c r="L7" s="219"/>
      <c r="M7" s="215"/>
      <c r="N7" s="215"/>
      <c r="O7" s="229"/>
      <c r="P7" s="230" t="s">
        <v>298</v>
      </c>
      <c r="Q7" s="230" t="s">
        <v>298</v>
      </c>
      <c r="R7" s="216" t="str">
        <f>IF(Sheet1!D$192=1,"Operating Cost"," ")</f>
        <v>Operating Cost</v>
      </c>
      <c r="S7" s="226" t="s">
        <v>294</v>
      </c>
      <c r="T7" s="226" t="s">
        <v>294</v>
      </c>
      <c r="U7" s="224" t="s">
        <v>299</v>
      </c>
      <c r="V7" s="211"/>
      <c r="W7" s="212"/>
      <c r="AA7" s="224" t="s">
        <v>299</v>
      </c>
      <c r="AB7" s="215"/>
      <c r="AC7" s="215"/>
      <c r="AD7" s="228"/>
      <c r="AE7" s="215"/>
      <c r="AF7" s="224" t="str">
        <f>IF(OR(Sheet1!D$8=2,Sheet1!D$8=3)," ","dated")</f>
        <v>dated</v>
      </c>
      <c r="AG7" s="221" t="s">
        <v>289</v>
      </c>
      <c r="AH7" s="224" t="s">
        <v>296</v>
      </c>
      <c r="AI7" s="224" t="s">
        <v>297</v>
      </c>
      <c r="AJ7" s="231" t="str">
        <f>IF(OR(Sheet1!D$8=2,Sheet1!D$22=3),"For OSCR PayBack''"," ")</f>
        <v xml:space="preserve"> </v>
      </c>
    </row>
    <row r="8" spans="1:36" ht="24.75" customHeight="1" x14ac:dyDescent="0.3">
      <c r="A8" s="221"/>
      <c r="B8" s="221" t="s">
        <v>300</v>
      </c>
      <c r="C8" s="232"/>
      <c r="D8" s="229" t="s">
        <v>298</v>
      </c>
      <c r="E8" s="229" t="s">
        <v>298</v>
      </c>
      <c r="F8" s="233" t="str">
        <f>IF(Sheet1!D$192=1,"Differential (Constant $'s)", "  Costs      (Constant $'s)")</f>
        <v>Differential (Constant $'s)</v>
      </c>
      <c r="G8" s="374">
        <f>IF(OR(Sheet1!D$8=2,Sheet1!D$8=3)," ",Discount!B$6)</f>
        <v>45288</v>
      </c>
      <c r="H8" s="233" t="str">
        <f>IF(OR(Sheet1!D$8=2,Sheet1!D$8=3),"(Constant $'s)","(Discounted $'s)      ( Present Value )")</f>
        <v>(Discounted $'s)      ( Present Value )</v>
      </c>
      <c r="I8" s="235">
        <f>VLOOKUP(Sheet1!D$233,Sheet1!A$232:H$239,8)</f>
        <v>2024</v>
      </c>
      <c r="J8" s="374">
        <f>VLOOKUP(Sheet1!D$233,Sheet1!A$232:H$239,6)</f>
        <v>45348</v>
      </c>
      <c r="K8" s="221" t="s">
        <v>301</v>
      </c>
      <c r="L8" s="236"/>
      <c r="M8" s="221"/>
      <c r="N8" s="221" t="s">
        <v>300</v>
      </c>
      <c r="O8" s="237"/>
      <c r="P8" s="238" t="s">
        <v>302</v>
      </c>
      <c r="Q8" s="238" t="s">
        <v>302</v>
      </c>
      <c r="R8" s="233" t="str">
        <f>IF(Sheet1!D$192=1,"Differential (Constant $'s)", "  Costs      (Constant $'s)")</f>
        <v>Differential (Constant $'s)</v>
      </c>
      <c r="S8" s="233" t="str">
        <f>IF(OR(Sheet1!D$8=2,Sheet1!D$8=3),"(Constant $'s)","(Discounted $'s)      ( Present Value )")</f>
        <v>(Discounted $'s)      ( Present Value )</v>
      </c>
      <c r="T8" s="239" t="s">
        <v>301</v>
      </c>
      <c r="U8" s="225" t="s">
        <v>301</v>
      </c>
      <c r="V8" s="240"/>
      <c r="W8" s="241" t="s">
        <v>303</v>
      </c>
      <c r="X8" s="242" t="s">
        <v>303</v>
      </c>
      <c r="Y8" s="242" t="s">
        <v>303</v>
      </c>
      <c r="Z8" s="242" t="s">
        <v>303</v>
      </c>
      <c r="AA8" s="225" t="s">
        <v>301</v>
      </c>
      <c r="AB8" s="221"/>
      <c r="AC8" s="221" t="s">
        <v>300</v>
      </c>
      <c r="AD8" s="232"/>
      <c r="AE8" s="221" t="s">
        <v>289</v>
      </c>
      <c r="AF8" s="374">
        <f>IF(OR(Sheet1!D$8=2,Sheet1!D$8=3)," ",Discount!B$6)</f>
        <v>45288</v>
      </c>
      <c r="AG8" s="233" t="str">
        <f>IF(OR(Sheet1!D$8=2,Sheet1!D$8=3),"(Constant $'s)","(Discounted $'s)      ( Present Value )")</f>
        <v>(Discounted $'s)      ( Present Value )</v>
      </c>
      <c r="AH8" s="235">
        <f>VLOOKUP(Sheet1!D$213,Sheet1!A$212:H$219,8)</f>
        <v>2024</v>
      </c>
      <c r="AI8" s="374">
        <f>VLOOKUP(Sheet1!D$213,Sheet1!A$212:H$219,6)</f>
        <v>45348</v>
      </c>
      <c r="AJ8" s="221" t="s">
        <v>301</v>
      </c>
    </row>
    <row r="9" spans="1:36" ht="12" x14ac:dyDescent="0.25">
      <c r="A9" s="221"/>
      <c r="B9" s="221"/>
      <c r="C9" s="243"/>
      <c r="D9" s="229" t="s">
        <v>304</v>
      </c>
      <c r="E9" s="229" t="s">
        <v>304</v>
      </c>
      <c r="F9" s="244" t="str">
        <f>VLOOKUP(Sheet1!D$67,Sheet1!A$66:B$68,2)</f>
        <v xml:space="preserve"> ($)</v>
      </c>
      <c r="G9" s="221"/>
      <c r="H9" s="244" t="str">
        <f>VLOOKUP(Sheet1!D$67,Sheet1!A$66:B$68,2)</f>
        <v xml:space="preserve"> ($)</v>
      </c>
      <c r="I9" s="224" t="s">
        <v>305</v>
      </c>
      <c r="J9" s="245" t="str">
        <f>VLOOKUP(Sheet1!D$233,Sheet1!A$232:H$232,7)</f>
        <v>DASA-CE</v>
      </c>
      <c r="K9" s="244" t="str">
        <f>VLOOKUP(Sheet1!D$67,Sheet1!A$66:B$68,2)</f>
        <v xml:space="preserve"> ($)</v>
      </c>
      <c r="L9" s="219"/>
      <c r="M9" s="221"/>
      <c r="N9" s="221"/>
      <c r="O9" s="215"/>
      <c r="P9" s="230" t="s">
        <v>304</v>
      </c>
      <c r="Q9" s="230" t="s">
        <v>304</v>
      </c>
      <c r="R9" s="246" t="str">
        <f>VLOOKUP(Sheet1!D$67,Sheet1!A$66:B$68,2)</f>
        <v xml:space="preserve"> ($)</v>
      </c>
      <c r="S9" s="246" t="str">
        <f>VLOOKUP(Sheet1!D$67,Sheet1!A$66:B$68,2)</f>
        <v xml:space="preserve"> ($)</v>
      </c>
      <c r="T9" s="246" t="str">
        <f>VLOOKUP(Sheet1!D$67,Sheet1!A$66:B$68,2)</f>
        <v xml:space="preserve"> ($)</v>
      </c>
      <c r="U9" s="247" t="str">
        <f>VLOOKUP(Sheet1!D$67,Sheet1!A$66:B$68,2)</f>
        <v xml:space="preserve"> ($)</v>
      </c>
      <c r="V9" s="211"/>
      <c r="W9" s="212"/>
      <c r="AA9" s="247" t="str">
        <f>VLOOKUP(Sheet1!D$67,Sheet1!A$66:B$68,2)</f>
        <v xml:space="preserve"> ($)</v>
      </c>
      <c r="AB9" s="221"/>
      <c r="AC9" s="221"/>
      <c r="AD9" s="243"/>
      <c r="AE9" s="221" t="s">
        <v>324</v>
      </c>
      <c r="AF9" s="221"/>
      <c r="AG9" s="244" t="str">
        <f>VLOOKUP(Sheet1!D$67,Sheet1!A$66:B$68,2)</f>
        <v xml:space="preserve"> ($)</v>
      </c>
      <c r="AH9" s="224" t="s">
        <v>305</v>
      </c>
      <c r="AI9" s="245" t="str">
        <f>VLOOKUP(Sheet1!D$213,Sheet1!A$212:H$212,7)</f>
        <v>DASA-CE</v>
      </c>
      <c r="AJ9" s="244" t="str">
        <f>VLOOKUP(Sheet1!D$67,Sheet1!A$66:B$68,2)</f>
        <v xml:space="preserve"> ($)</v>
      </c>
    </row>
    <row r="10" spans="1:36" ht="36" x14ac:dyDescent="0.25">
      <c r="A10" s="248" t="s">
        <v>306</v>
      </c>
      <c r="B10" s="248" t="s">
        <v>307</v>
      </c>
      <c r="C10" s="232"/>
      <c r="D10" s="249" t="str">
        <f>" "&amp;" ' "&amp;VLOOKUP(Sheet1!D$82,Sheet1!A$82:B$135,2)&amp;" '     Constant Dollars "&amp;VLOOKUP(Sheet1!D$67,Sheet1!A$66:B$68,2)</f>
        <v xml:space="preserve">  ' 2024 '     Constant Dollars  ($)</v>
      </c>
      <c r="E10" s="250" t="str">
        <f>"  "&amp;" ' "&amp;VLOOKUP(Sheet1!D$82,Sheet1!A$82:B$135,2)&amp;" '        Constant Dollars "&amp;VLOOKUP(Sheet1!D$67,Sheet1!A$66:B$68,2)</f>
        <v xml:space="preserve">   ' 2024 '        Constant Dollars  ($)</v>
      </c>
      <c r="F10" s="251" t="str">
        <f>IF(Sheet1!D$192=1,"(6c. - 6d.)","(6c.)")</f>
        <v>(6c. - 6d.)</v>
      </c>
      <c r="G10" s="252">
        <f>IF(OR(Sheet1!D$8=2,Sheet1!D$8=3)," ",HLOOKUP(Sheet1!D$148,DiscLinearInterp,2))</f>
        <v>2.1999999999999999E-2</v>
      </c>
      <c r="H10" s="251" t="str">
        <f>IF(Sheet1!D$192=1,"(6e. x  6f.)","(6c.  x  6d.)")</f>
        <v>(6e. x  6f.)</v>
      </c>
      <c r="I10" s="251"/>
      <c r="J10" s="253" t="str">
        <f>CHOOSE(Sheet1!D$233,"OMA weighted","APA weighted","MIPA weighted","WTCV weighted","AMMO weighted","OPA weighted","RDTE weighted","MCA weighted")</f>
        <v>OMA weighted</v>
      </c>
      <c r="K10" s="251" t="str">
        <f>IF(Sheet1!D$192=1,"((6e.  /  6h.) x 6i.)","((6c. / 6f. ) x 6g.)")</f>
        <v>((6e.  /  6h.) x 6i.)</v>
      </c>
      <c r="L10" s="254" t="str">
        <f>IF(Sheet1!D$192=1,IF(AND(AA10&gt;AJ$61,AA9&lt;=AJ$61),"&lt;-Payback"," ")," ")</f>
        <v xml:space="preserve"> </v>
      </c>
      <c r="M10" s="248" t="s">
        <v>306</v>
      </c>
      <c r="N10" s="255" t="s">
        <v>307</v>
      </c>
      <c r="O10" s="256" t="s">
        <v>308</v>
      </c>
      <c r="P10" s="249" t="str">
        <f>" "&amp;" ' "&amp;VLOOKUP(Sheet1!D$82,Sheet1!A$82:B$135,2)&amp;" '     Constant Dollars "&amp;VLOOKUP(Sheet1!D$67,Sheet1!A$66:B$68,2)</f>
        <v xml:space="preserve">  ' 2024 '     Constant Dollars  ($)</v>
      </c>
      <c r="Q10" s="249" t="str">
        <f>"  "&amp;" ' "&amp;VLOOKUP(Sheet1!D$82,Sheet1!A$82:B$135,2)&amp;" '        Constant Dollars "&amp;VLOOKUP(Sheet1!D$67,Sheet1!A$66:B$68,2)</f>
        <v xml:space="preserve">   ' 2024 '        Constant Dollars  ($)</v>
      </c>
      <c r="R10" s="257" t="str">
        <f>IF(Sheet1!D$192=1,"(6n. - 6o.)","n/a")</f>
        <v>(6n. - 6o.)</v>
      </c>
      <c r="S10" s="257" t="str">
        <f>IF(Sheet1!D$192=1,"(6p. x 6f.)","n/a")</f>
        <v>(6p. x 6f.)</v>
      </c>
      <c r="T10" s="257" t="str">
        <f>IF(Sheet1!D$192=1,"((6p. /  6h.) x 6i.)","n/a")</f>
        <v>((6p. /  6h.) x 6i.)</v>
      </c>
      <c r="U10" s="258">
        <v>0</v>
      </c>
      <c r="V10" s="254" t="str">
        <f t="shared" ref="V10:V42" si="0">IF(AND(U10&gt;AJ$61,U9&lt;=AJ$61),".."," ")</f>
        <v xml:space="preserve"> </v>
      </c>
      <c r="W10" s="259">
        <f>IF(AND(AA10&gt;AJ$61,AA9&lt;=AJ$61),99,0)</f>
        <v>0</v>
      </c>
      <c r="X10" s="171">
        <v>0</v>
      </c>
      <c r="Z10" s="260"/>
      <c r="AA10" s="171">
        <v>0</v>
      </c>
      <c r="AB10" s="248" t="s">
        <v>306</v>
      </c>
      <c r="AC10" s="248" t="s">
        <v>307</v>
      </c>
      <c r="AD10" s="232"/>
      <c r="AE10" s="249" t="str">
        <f>"  "&amp;" ' "&amp;VLOOKUP(Sheet1!D$82,Sheet1!A$82:B$135,2)&amp;" '        Constant Dollars "&amp;VLOOKUP(Sheet1!D$67,Sheet1!A$66:B$68,2)</f>
        <v xml:space="preserve">   ' 2024 '        Constant Dollars  ($)</v>
      </c>
      <c r="AF10" s="252">
        <f>IF(OR(Sheet1!D$8=2,Sheet1!D$8=3)," ",HLOOKUP(Sheet1!D$148,DiscLinearInterp,2))</f>
        <v>2.1999999999999999E-2</v>
      </c>
      <c r="AG10" s="251" t="str">
        <f>IF(Sheet1!D$194=1,"(A3. x  A4.)","n/a")</f>
        <v>n/a</v>
      </c>
      <c r="AH10" s="251"/>
      <c r="AI10" s="253" t="str">
        <f>CHOOSE(Sheet1!D$213,"RDTE weighted","APA weighted","MIPA weighted","WTCV weighted","AMMO weighted","OPA weighted","OMA weighted","MCA weighted")</f>
        <v>RDTE weighted</v>
      </c>
      <c r="AJ10" s="251" t="str">
        <f>IF(Sheet1!D$194=1,"((A3.  /  A6.) x  A7.)","n/a")</f>
        <v>n/a</v>
      </c>
    </row>
    <row r="11" spans="1:36" ht="11.4" x14ac:dyDescent="0.2">
      <c r="A11" s="261">
        <f>IF(OR(Sheet1!D$192=1,Sheet1!D$194=1),VLOOKUP(1,Sheet1!A148:B197,2),NA())</f>
        <v>1</v>
      </c>
      <c r="B11" s="261">
        <f>IF(OR(Sheet1!D$192=1,Sheet1!D$194=1),VLOOKUP(Sheet1!D$86,Sheet1!A80:B147,2),NA())</f>
        <v>2024</v>
      </c>
      <c r="C11" s="262"/>
      <c r="D11" s="263">
        <f>IF(AND(Sheet1!D$192=1,A11&lt;&gt;" "),ROUND(VLOOKUP(A11,StatusQuo!A$19:M$68,12),Sheet1!D$75),IF(Sheet1!D$192=1," ","SQ not feasible "))</f>
        <v>0</v>
      </c>
      <c r="E11" s="263" t="str">
        <f>IF(AND(Sheet1!D$194=1,A11&lt;&gt;" "),ROUND(VLOOKUP(A11,AlternativeB!A$110:M$159,12),Sheet1!D$75),IF(Sheet1!D$194=1," ","Alt  'B'  not feasible"))</f>
        <v>Alt  'B'  not feasible</v>
      </c>
      <c r="F11" s="263" t="str">
        <f>IF(AND(A11&lt;&gt;" ",Sheet1!D$192=1,Sheet1!D$194=1),D11-E11,IF(AND(Sheet1!D$194=1,A11&lt;&gt;" ")," "," "))</f>
        <v xml:space="preserve"> </v>
      </c>
      <c r="G11" s="264">
        <f>IF(A11&lt;=Sheet1!D$148, (1/((1+$G$10)^(A11-0.5)))," ")</f>
        <v>0.98917823531116333</v>
      </c>
      <c r="H11" s="263" t="str">
        <f>IF(AND(A11&lt;&gt;" ",Sheet1!D$192=1,Sheet1!D$194=1),ROUND(F11*G11,Sheet1!D$75),IF(AND(A11&lt;&gt;" ",Sheet1!D$194=1),ROUND(E11*G11,Sheet1!D$75)," "))</f>
        <v xml:space="preserve"> </v>
      </c>
      <c r="I11" s="264">
        <f>IF(A11&lt;&gt;" ",ROUND(VLOOKUP(Sheet1!E$82,CHOOSE(Sheet1!D$233,Inflate7,Inflate2,Inflate3,Inflate4,Inflate5,Inflate6,Inflate1,Inflate8),2),4)," ")</f>
        <v>1</v>
      </c>
      <c r="J11" s="264">
        <f>IF(A11&lt;&gt;" ",ROUND(VLOOKUP(B11,CHOOSE(Sheet1!D$233,Inflate7,Inflate2,Inflate3,Inflate4,Inflate5,Inflate6,Inflate1,Inflate8),3),4)," ")</f>
        <v>1.0186999999999999</v>
      </c>
      <c r="K11" s="265" t="str">
        <f>IF(AND(A11&lt;&gt;" ",Sheet1!D$192=1,Sheet1!D$194=1),ROUND((F11/I11)*J11,Sheet1!D$75),IF(AND(A11&lt;&gt;" ",Sheet1!D$194=1),ROUND((E11/I11)*J11,Sheet1!D$75)," "))</f>
        <v xml:space="preserve"> </v>
      </c>
      <c r="L11" s="254" t="str">
        <f>IF(Sheet1!D$192=1,IF(AND(AA11&gt;AJ$61,AA10&lt;=AJ$61),"&lt;-Payback"," ")," ")</f>
        <v xml:space="preserve"> </v>
      </c>
      <c r="M11" s="261">
        <f>IF(OR(Sheet1!D$192=1,Sheet1!D$194=1),VLOOKUP(1,Sheet1!A148:B197,2),NA())</f>
        <v>1</v>
      </c>
      <c r="N11" s="261">
        <f>IF(OR(Sheet1!D$192=1,Sheet1!D$194=1),VLOOKUP(Sheet1!D$86,Sheet1!A80:B147,2),NA())</f>
        <v>2024</v>
      </c>
      <c r="O11" s="266" t="e">
        <f>IF(OR(Sheet1!D$192=1,Sheet1!D$194=1),IF(NOT(Sheet1!D$192=1),0,IF(ROUND(VLOOKUP(A11,StatusQuo!A$19:M$68,13),Sheet1!D$75)-ROUND(VLOOKUP(A11,AlternativeB!A$110:M$159,13),Sheet1!D$75)&gt;0,1,0))," ")</f>
        <v>#VALUE!</v>
      </c>
      <c r="P11" s="263" t="str">
        <f>IF(AND(A11&lt;&gt;" ",Sheet1!D$192=1,Sheet1!D$194=1),IF(AND(OR(Sheet1!D$8=2,Sheet1!D$22=3),O11&gt;10),0,ROUND(VLOOKUP(A11,StatusQuo!A$19:M$68,13),Sheet1!D$75)),IF(NOT(Sheet1!D$192=1),"not feasible",IF(A11=" "," ", "Savings is  n/a=&gt;")))</f>
        <v>Savings is  n/a=&gt;</v>
      </c>
      <c r="Q11" s="263" t="str">
        <f>IF(AND(A11&lt;&gt;" ",Sheet1!D$192=1,Sheet1!D$194=1),IF(AND(OR(Sheet1!D$8=2,Sheet1!D$22=3),O11&gt;10),0,ROUND(VLOOKUP(A11,AlternativeB!A$110:M$159,13),Sheet1!D$75)),IF(NOT(Sheet1!D$194=1),"not feasible",IF(A11=" "," ","&lt;== Savings is n/a")))</f>
        <v>not feasible</v>
      </c>
      <c r="R11" s="263" t="str">
        <f>IF(AND(A11&lt;&gt;" ",Sheet1!D$192=1,Sheet1!D$194=1),IF(G$81&lt;&gt;" ","???????",P11-Q11)," ")</f>
        <v xml:space="preserve"> </v>
      </c>
      <c r="S11" s="263" t="str">
        <f>IF(AND(A11&lt;&gt;" ",Sheet1!D$192=1,Sheet1!D$194=1),ROUND(R11*G11,Sheet1!D$75)," ")</f>
        <v xml:space="preserve"> </v>
      </c>
      <c r="T11" s="263" t="str">
        <f>IF(AND(A11&lt;&gt;" ",Sheet1!D$192=1,Sheet1!D$194=1),ROUND((R11/I11)*J11,Sheet1!D$75)," ")</f>
        <v xml:space="preserve"> </v>
      </c>
      <c r="U11" s="267">
        <f>SUM(T$11:T11)</f>
        <v>0</v>
      </c>
      <c r="V11" s="254" t="str">
        <f t="shared" si="0"/>
        <v xml:space="preserve"> </v>
      </c>
      <c r="W11" s="268">
        <f t="shared" ref="W11:W42" si="1">IF(AND(AA11&gt;AJ$61,AA10&lt;=AJ$61),99,W10+1)</f>
        <v>1</v>
      </c>
      <c r="X11" s="171">
        <f t="shared" ref="X11:X42" si="2">+A11</f>
        <v>1</v>
      </c>
      <c r="Y11" s="269" t="str">
        <f>IF(K61&gt;=AJ61,VLOOKUP(99,W10:X60,2)," ")</f>
        <v xml:space="preserve"> </v>
      </c>
      <c r="Z11" s="270" t="s">
        <v>309</v>
      </c>
      <c r="AA11" s="265">
        <f>SUM(K$11:K11)</f>
        <v>0</v>
      </c>
      <c r="AB11" s="261">
        <f>IF(OR(Sheet1!D$192=1,Sheet1!D$194=1),VLOOKUP(1,Sheet1!A148:B197,2),NA())</f>
        <v>1</v>
      </c>
      <c r="AC11" s="261">
        <f>IF(OR(Sheet1!D$192=1,Sheet1!D$194=1),VLOOKUP(Sheet1!D$86,Sheet1!A80:B147,2),NA())</f>
        <v>2024</v>
      </c>
      <c r="AD11" s="262"/>
      <c r="AE11" s="263" t="str">
        <f>IF(AND(Sheet1!D$194=1,AB11&lt;&gt;" "),ROUND(VLOOKUP(AB11,AlternativeB!A$17:M$66,12),Sheet1!D$75),IF(Sheet1!D$194=1," ","Alt  'B'  not feasible"))</f>
        <v>Alt  'B'  not feasible</v>
      </c>
      <c r="AF11" s="264">
        <f>IF(AB11&lt;=Sheet1!D$148, (1/((1+$AF$10)^(AB11-0.5)))," ")</f>
        <v>0.98917823531116333</v>
      </c>
      <c r="AG11" s="263" t="str">
        <f>IF(AND(Sheet1!D$194=1,AB11&lt;&gt;" "),ROUND(+AE11*AF11,Sheet1!D$75)," ")</f>
        <v xml:space="preserve"> </v>
      </c>
      <c r="AH11" s="264">
        <f>IF(AB11&lt;&gt;" ",ROUND(VLOOKUP(Sheet1!E$82,CHOOSE(Sheet1!D$213,Inflate1,Inflate2,Inflate3,Inflate4,Inflate5,Inflate6,Inflate7,Inflate8),2),4)," ")</f>
        <v>1</v>
      </c>
      <c r="AI11" s="264">
        <f>IF(AB11&lt;&gt;" ",ROUND(VLOOKUP(AC11,CHOOSE(Sheet1!D$213,Inflate1,Inflate2,Inflate3,Inflate4,Inflate5,Inflate6,Inflate7,Inflate8),3),4)," ")</f>
        <v>1.0225</v>
      </c>
      <c r="AJ11" s="263" t="b">
        <f>IF(AND(Sheet1!D$194=1,AB11&lt;&gt;" "),IF(AND(O11&lt;=10,OR(Sheet1!D$8=2,Sheet1!D$8=3,Sheet1!D$22=3)),ROUND((AE11/AH11)*AI11,Sheet1!D$75),IF(AND(Sheet1!D$8&lt;&gt;2,Sheet1!D$8&lt;&gt;3,Sheet1!D$22&lt;&gt;3),ROUND((AE11/AH11)*AI11,Sheet1!D$75)," ")))</f>
        <v>0</v>
      </c>
    </row>
    <row r="12" spans="1:36" ht="11.4" x14ac:dyDescent="0.2">
      <c r="A12" s="271" t="str">
        <f>IF(OR(Sheet1!D$192=1,Sheet1!D$194=1),IF(OR((A11&gt;=(Sheet1!D$148+$A$11)-1),AND(Sheet1!D$8=3,A11&gt;=6))," ",A11+1),NA())</f>
        <v xml:space="preserve"> </v>
      </c>
      <c r="B12" s="271" t="str">
        <f>IF(OR(Sheet1!D$192=1,Sheet1!D$194=1),IF(OR((B11&gt;=(Sheet1!D$148+$B$11)-1),AND(Sheet1!D$8=3,A11&gt;=6))," ",B11+1),NA())</f>
        <v xml:space="preserve"> </v>
      </c>
      <c r="C12" s="262"/>
      <c r="D12" s="263" t="str">
        <f>IF(AND(Sheet1!D$192=1,A12&lt;&gt;" "),ROUND(VLOOKUP(A12,StatusQuo!A$19:M$68,12),Sheet1!D$75),IF(Sheet1!D$192=1," ","SQ not feasible "))</f>
        <v xml:space="preserve"> </v>
      </c>
      <c r="E12" s="263" t="str">
        <f>IF(AND(Sheet1!D$194=1,A12&lt;&gt;" "),ROUND(VLOOKUP(A12,AlternativeB!A$110:M$159,12),Sheet1!D$75),IF(Sheet1!D$194=1," ","Alt  'B'  not feasible"))</f>
        <v>Alt  'B'  not feasible</v>
      </c>
      <c r="F12" s="263" t="str">
        <f>IF(AND(A12&lt;&gt;" ",Sheet1!D$192=1,Sheet1!D$194=1),D12-E12,IF(AND(Sheet1!D$194=1,A12&lt;&gt;" ")," "," "))</f>
        <v xml:space="preserve"> </v>
      </c>
      <c r="G12" s="264" t="str">
        <f>IF(A12&lt;=Sheet1!D$148, (1/((1+$G$10)^(A12-0.5)))," ")</f>
        <v xml:space="preserve"> </v>
      </c>
      <c r="H12" s="263" t="str">
        <f>IF(AND(A12&lt;&gt;" ",Sheet1!D$192=1,Sheet1!D$194=1),ROUND(F12*G12,Sheet1!D$75),IF(AND(A12&lt;&gt;" ",Sheet1!D$194=1),ROUND(E12*G12,Sheet1!D$75)," "))</f>
        <v xml:space="preserve"> </v>
      </c>
      <c r="I12" s="264" t="str">
        <f>IF(A12&lt;&gt;" ",ROUND(VLOOKUP(Sheet1!E$82,CHOOSE(Sheet1!D$233,Inflate7,Inflate2,Inflate3,Inflate4,Inflate5,Inflate6,Inflate1,Inflate8),2),4)," ")</f>
        <v xml:space="preserve"> </v>
      </c>
      <c r="J12" s="264" t="str">
        <f>IF(A12&lt;&gt;" ",ROUND(VLOOKUP(B12,CHOOSE(Sheet1!D$233,Inflate7,Inflate2,Inflate3,Inflate4,Inflate5,Inflate6,Inflate1,Inflate8),3),4)," ")</f>
        <v xml:space="preserve"> </v>
      </c>
      <c r="K12" s="265" t="str">
        <f>IF(AND(A12&lt;&gt;" ",Sheet1!D$192=1,Sheet1!D$194=1),ROUND((F12/I12)*J12,Sheet1!D$75),IF(AND(A12&lt;&gt;" ",Sheet1!D$194=1),ROUND((E12/I12)*J12,Sheet1!D$75)," "))</f>
        <v xml:space="preserve"> </v>
      </c>
      <c r="L12" s="254" t="str">
        <f>IF(Sheet1!D$192=1,IF(AND(AA12&gt;AJ$61,AA11&lt;=AJ$61),"&lt;-Payback"," ")," ")</f>
        <v xml:space="preserve"> </v>
      </c>
      <c r="M12" s="271" t="str">
        <f>IF(OR(Sheet1!D$192=1,Sheet1!D$194=1),IF(OR((A11&gt;=(Sheet1!D$148+$A$11)-1),AND(Sheet1!D$8=3,A11&gt;=6))," ",A11+1),NA())</f>
        <v xml:space="preserve"> </v>
      </c>
      <c r="N12" s="271" t="str">
        <f>IF(OR(Sheet1!D$192=1,Sheet1!D$194=1),IF(OR((B11&gt;=(Sheet1!D$148+$B$11)-1),AND(Sheet1!D$8=3,A11&gt;=6))," ",B11+1),NA())</f>
        <v xml:space="preserve"> </v>
      </c>
      <c r="O12" s="266" t="e">
        <f>IF(OR(Sheet1!D$192=1,Sheet1!D$194=1),IF(NOT(Sheet1!D$192=1),0,IF(ROUND(VLOOKUP(A12,StatusQuo!A$19:M$68,13),Sheet1!D$75)-ROUND(VLOOKUP(A12,AlternativeB!A$110:M$159,13),Sheet1!D$75)&gt;0,1,0))," ")</f>
        <v>#VALUE!</v>
      </c>
      <c r="P12" s="263" t="str">
        <f>IF(AND(A12&lt;&gt;" ",Sheet1!D$192=1,Sheet1!D$194=1),IF(AND(OR(Sheet1!D$8=2,Sheet1!D$22=3),O12&gt;10),0,ROUND(VLOOKUP(A12,StatusQuo!A$19:M$68,13),Sheet1!D$75)),IF(NOT(Sheet1!D$192=1),"not feasible",IF(A12=" "," ", "Savings is  n/a=&gt;")))</f>
        <v xml:space="preserve"> </v>
      </c>
      <c r="Q12" s="263" t="str">
        <f>IF(AND(A12&lt;&gt;" ",Sheet1!D$192=1,Sheet1!D$194=1),IF(AND(OR(Sheet1!D$8=2,Sheet1!D$22=3),O12&gt;10),0,ROUND(VLOOKUP(A12,AlternativeB!A$110:M$159,13),Sheet1!D$75)),IF(NOT(Sheet1!D$194=1),"not feasible",IF(A12=" "," ","&lt;== Savings is n/a")))</f>
        <v>not feasible</v>
      </c>
      <c r="R12" s="263" t="str">
        <f>IF(AND(A12&lt;&gt;" ",Sheet1!D$192=1,Sheet1!D$194=1),IF(G$81&lt;&gt;" ","???????",P12-Q12)," ")</f>
        <v xml:space="preserve"> </v>
      </c>
      <c r="S12" s="263" t="str">
        <f>IF(AND(A12&lt;&gt;" ",Sheet1!D$192=1,Sheet1!D$194=1),ROUND(R12*G12,Sheet1!D$75)," ")</f>
        <v xml:space="preserve"> </v>
      </c>
      <c r="T12" s="263" t="str">
        <f>IF(AND(A12&lt;&gt;" ",Sheet1!D$192=1,Sheet1!D$194=1),ROUND((R12/I12)*J12,Sheet1!D$75)," ")</f>
        <v xml:space="preserve"> </v>
      </c>
      <c r="U12" s="265">
        <f>SUM(T$11:T12)</f>
        <v>0</v>
      </c>
      <c r="V12" s="254" t="str">
        <f t="shared" si="0"/>
        <v xml:space="preserve"> </v>
      </c>
      <c r="W12" s="268">
        <f t="shared" si="1"/>
        <v>2</v>
      </c>
      <c r="X12" s="171" t="str">
        <f t="shared" si="2"/>
        <v xml:space="preserve"> </v>
      </c>
      <c r="Y12" s="269" t="e">
        <f>IF(K61&gt;=AJ61,IF(Y11-1=0,0,VLOOKUP(Y11-1,A11:AA60,27))," ")</f>
        <v>#VALUE!</v>
      </c>
      <c r="Z12" s="270" t="s">
        <v>310</v>
      </c>
      <c r="AA12" s="265">
        <f>SUM(K$11:K12)</f>
        <v>0</v>
      </c>
      <c r="AB12" s="271" t="str">
        <f>IF(OR(Sheet1!D$192=1,Sheet1!D$194=1),IF(OR((AB11&gt;=(Sheet1!D$148+$A$11)-1),AND(Sheet1!D$8=3,AB11&gt;=6))," ",AB11+1),NA())</f>
        <v xml:space="preserve"> </v>
      </c>
      <c r="AC12" s="271" t="str">
        <f>IF(OR(Sheet1!D$192=1,Sheet1!D$194=1),IF(OR((AC11&gt;=(Sheet1!D$148+$B$11)-1),AND(Sheet1!D$8=3,AB11&gt;=6))," ",AC11+1),NA())</f>
        <v xml:space="preserve"> </v>
      </c>
      <c r="AD12" s="262"/>
      <c r="AE12" s="263" t="str">
        <f>IF(AND(Sheet1!D$194=1,AB12&lt;&gt;" "),ROUND(VLOOKUP(AB12,AlternativeB!A$17:M$66,12),Sheet1!D$75),IF(Sheet1!D$194=1," ","Alt  'B'  not feasible"))</f>
        <v>Alt  'B'  not feasible</v>
      </c>
      <c r="AF12" s="264" t="str">
        <f>IF(AB12&lt;=Sheet1!D$148, (1/((1+$AF$10)^(AB12-0.5)))," ")</f>
        <v xml:space="preserve"> </v>
      </c>
      <c r="AG12" s="263" t="str">
        <f>IF(AND(Sheet1!D$194=1,AB12&lt;&gt;" "),ROUND(+AE12*AF12,Sheet1!D$75)," ")</f>
        <v xml:space="preserve"> </v>
      </c>
      <c r="AH12" s="264" t="str">
        <f>IF(AB12&lt;&gt;" ",ROUND(VLOOKUP(Sheet1!E$82,CHOOSE(Sheet1!D$213,Inflate1,Inflate2,Inflate3,Inflate4,Inflate5,Inflate6,Inflate7,Inflate8),2),4)," ")</f>
        <v xml:space="preserve"> </v>
      </c>
      <c r="AI12" s="264" t="str">
        <f>IF(AB12&lt;&gt;" ",ROUND(VLOOKUP(AC12,CHOOSE(Sheet1!D$213,Inflate1,Inflate2,Inflate3,Inflate4,Inflate5,Inflate6,Inflate7,Inflate8),3),4)," ")</f>
        <v xml:space="preserve"> </v>
      </c>
      <c r="AJ12" s="263" t="b">
        <f>IF(AND(Sheet1!D$194=1,AB12&lt;&gt;" "),IF(AND(O12&lt;=10,OR(Sheet1!D$8=2,Sheet1!D$8=3,Sheet1!D$22=3)),ROUND((AE12/AH12)*AI12,Sheet1!D$75),IF(AND(Sheet1!D$8&lt;&gt;2,Sheet1!D$8&lt;&gt;3,Sheet1!D$22&lt;&gt;3),ROUND((AE12/AH12)*AI12,Sheet1!D$75)," ")))</f>
        <v>0</v>
      </c>
    </row>
    <row r="13" spans="1:36" ht="11.4" x14ac:dyDescent="0.2">
      <c r="A13" s="271" t="str">
        <f>IF(OR(Sheet1!D$192=1,Sheet1!D$194=1),IF(OR((A12&gt;=(Sheet1!D$148+$A$11)-1),AND(Sheet1!D$8=3,A12&gt;=6))," ",A12+1),NA())</f>
        <v xml:space="preserve"> </v>
      </c>
      <c r="B13" s="271" t="str">
        <f>IF(OR(Sheet1!D$192=1,Sheet1!D$194=1),IF(OR((B12&gt;=(Sheet1!D$148+$B$11)-1),AND(Sheet1!D$8=3,A12&gt;=6))," ",B12+1),NA())</f>
        <v xml:space="preserve"> </v>
      </c>
      <c r="C13" s="262"/>
      <c r="D13" s="263" t="str">
        <f>IF(AND(Sheet1!D$192=1,A13&lt;&gt;" "),ROUND(VLOOKUP(A13,StatusQuo!A$19:M$68,12),Sheet1!D$75),IF(Sheet1!D$192=1," ","SQ not feasible "))</f>
        <v xml:space="preserve"> </v>
      </c>
      <c r="E13" s="263" t="str">
        <f>IF(AND(Sheet1!D$194=1,A13&lt;&gt;" "),ROUND(VLOOKUP(A13,AlternativeB!A$110:M$159,12),Sheet1!D$75),IF(Sheet1!D$194=1," ","Alt  'B'  not feasible"))</f>
        <v>Alt  'B'  not feasible</v>
      </c>
      <c r="F13" s="263" t="str">
        <f>IF(AND(A13&lt;&gt;" ",Sheet1!D$192=1,Sheet1!D$194=1),D13-E13,IF(AND(Sheet1!D$194=1,A13&lt;&gt;" ")," "," "))</f>
        <v xml:space="preserve"> </v>
      </c>
      <c r="G13" s="264" t="str">
        <f>IF(A13&lt;=Sheet1!D$148, (1/((1+$G$10)^(A13-0.5)))," ")</f>
        <v xml:space="preserve"> </v>
      </c>
      <c r="H13" s="263" t="str">
        <f>IF(AND(A13&lt;&gt;" ",Sheet1!D$192=1,Sheet1!D$194=1),ROUND(F13*G13,Sheet1!D$75),IF(AND(A13&lt;&gt;" ",Sheet1!D$194=1),ROUND(E13*G13,Sheet1!D$75)," "))</f>
        <v xml:space="preserve"> </v>
      </c>
      <c r="I13" s="264" t="str">
        <f>IF(A13&lt;&gt;" ",ROUND(VLOOKUP(Sheet1!E$82,CHOOSE(Sheet1!D$233,Inflate7,Inflate2,Inflate3,Inflate4,Inflate5,Inflate6,Inflate1,Inflate8),2),4)," ")</f>
        <v xml:space="preserve"> </v>
      </c>
      <c r="J13" s="264" t="str">
        <f>IF(A13&lt;&gt;" ",ROUND(VLOOKUP(B13,CHOOSE(Sheet1!D$233,Inflate7,Inflate2,Inflate3,Inflate4,Inflate5,Inflate6,Inflate1,Inflate8),3),4)," ")</f>
        <v xml:space="preserve"> </v>
      </c>
      <c r="K13" s="265" t="str">
        <f>IF(AND(A13&lt;&gt;" ",Sheet1!D$192=1,Sheet1!D$194=1),ROUND((F13/I13)*J13,Sheet1!D$75),IF(AND(A13&lt;&gt;" ",Sheet1!D$194=1),ROUND((E13/I13)*J13,Sheet1!D$75)," "))</f>
        <v xml:space="preserve"> </v>
      </c>
      <c r="L13" s="254" t="str">
        <f>IF(Sheet1!D$192=1,IF(AND(AA13&gt;AJ$61,AA12&lt;=AJ$61),"&lt;-Payback"," ")," ")</f>
        <v xml:space="preserve"> </v>
      </c>
      <c r="M13" s="271" t="str">
        <f>IF(OR(Sheet1!D$192=1,Sheet1!D$194=1),IF(OR((A12&gt;=(Sheet1!D$148+$A$11)-1),AND(Sheet1!D$8=3,A12&gt;=6))," ",A12+1),NA())</f>
        <v xml:space="preserve"> </v>
      </c>
      <c r="N13" s="271" t="str">
        <f>IF(OR(Sheet1!D$192=1,Sheet1!D$194=1),IF(OR((B12&gt;=(Sheet1!D$148+$B$11)-1),AND(Sheet1!D$8=3,A12&gt;=6))," ",B12+1),NA())</f>
        <v xml:space="preserve"> </v>
      </c>
      <c r="O13" s="266" t="e">
        <f>IF(OR(Sheet1!D$192=1,Sheet1!D$194=1),IF(NOT(Sheet1!D$192=1),0,IF(ROUND(VLOOKUP(A13,StatusQuo!A$19:M$68,13),Sheet1!D$75)-ROUND(VLOOKUP(A13,AlternativeB!A$110:M$159,13),Sheet1!D$75)&gt;0,1,0))," ")</f>
        <v>#VALUE!</v>
      </c>
      <c r="P13" s="263" t="str">
        <f>IF(AND(A13&lt;&gt;" ",Sheet1!D$192=1,Sheet1!D$194=1),IF(AND(OR(Sheet1!D$8=2,Sheet1!D$22=3),O13&gt;10),0,ROUND(VLOOKUP(A13,StatusQuo!A$19:M$68,13),Sheet1!D$75)),IF(NOT(Sheet1!D$192=1),"not feasible",IF(A13=" "," ", "Savings is  n/a=&gt;")))</f>
        <v xml:space="preserve"> </v>
      </c>
      <c r="Q13" s="263" t="str">
        <f>IF(AND(A13&lt;&gt;" ",Sheet1!D$192=1,Sheet1!D$194=1),IF(AND(OR(Sheet1!D$8=2,Sheet1!D$22=3),O13&gt;10),0,ROUND(VLOOKUP(A13,AlternativeB!A$110:M$159,13),Sheet1!D$75)),IF(NOT(Sheet1!D$194=1),"not feasible",IF(A13=" "," ","&lt;== Savings is n/a")))</f>
        <v>not feasible</v>
      </c>
      <c r="R13" s="263" t="str">
        <f>IF(AND(A13&lt;&gt;" ",Sheet1!D$192=1,Sheet1!D$194=1),IF(G$81&lt;&gt;" ","???????",P13-Q13)," ")</f>
        <v xml:space="preserve"> </v>
      </c>
      <c r="S13" s="263" t="str">
        <f>IF(AND(A13&lt;&gt;" ",Sheet1!D$192=1,Sheet1!D$194=1),ROUND(R13*G13,Sheet1!D$75)," ")</f>
        <v xml:space="preserve"> </v>
      </c>
      <c r="T13" s="263" t="str">
        <f>IF(AND(A13&lt;&gt;" ",Sheet1!D$192=1,Sheet1!D$194=1),ROUND((R13/I13)*J13,Sheet1!D$75)," ")</f>
        <v xml:space="preserve"> </v>
      </c>
      <c r="U13" s="265">
        <f>SUM(T$11:T13)</f>
        <v>0</v>
      </c>
      <c r="V13" s="254" t="str">
        <f t="shared" si="0"/>
        <v xml:space="preserve"> </v>
      </c>
      <c r="W13" s="268">
        <f t="shared" si="1"/>
        <v>3</v>
      </c>
      <c r="X13" s="171" t="str">
        <f t="shared" si="2"/>
        <v xml:space="preserve"> </v>
      </c>
      <c r="Y13" s="269">
        <f>IF(K61&gt;=AJ61,VLOOKUP(Y11,A11:AA60,27)," ")</f>
        <v>0</v>
      </c>
      <c r="Z13" s="270" t="s">
        <v>323</v>
      </c>
      <c r="AA13" s="265">
        <f>SUM(K$11:K13)</f>
        <v>0</v>
      </c>
      <c r="AB13" s="271" t="str">
        <f>IF(OR(Sheet1!D$192=1,Sheet1!D$194=1),IF(OR((AB12&gt;=(Sheet1!D$148+$A$11)-1),AND(Sheet1!D$8=3,AB12&gt;=6))," ",AB12+1),NA())</f>
        <v xml:space="preserve"> </v>
      </c>
      <c r="AC13" s="271" t="str">
        <f>IF(OR(Sheet1!D$192=1,Sheet1!D$194=1),IF(OR((AC12&gt;=(Sheet1!D$148+$B$11)-1),AND(Sheet1!D$8=3,AB12&gt;=6))," ",AC12+1),NA())</f>
        <v xml:space="preserve"> </v>
      </c>
      <c r="AD13" s="262"/>
      <c r="AE13" s="263" t="str">
        <f>IF(AND(Sheet1!D$194=1,AB13&lt;&gt;" "),ROUND(VLOOKUP(AB13,AlternativeB!A$17:M$66,12),Sheet1!D$75),IF(Sheet1!D$194=1," ","Alt  'B'  not feasible"))</f>
        <v>Alt  'B'  not feasible</v>
      </c>
      <c r="AF13" s="264" t="str">
        <f>IF(AB13&lt;=Sheet1!D$148, (1/((1+$AF$10)^(AB13-0.5)))," ")</f>
        <v xml:space="preserve"> </v>
      </c>
      <c r="AG13" s="263" t="str">
        <f>IF(AND(Sheet1!D$194=1,AB13&lt;&gt;" "),ROUND(+AE13*AF13,Sheet1!D$75)," ")</f>
        <v xml:space="preserve"> </v>
      </c>
      <c r="AH13" s="264" t="str">
        <f>IF(AB13&lt;&gt;" ",ROUND(VLOOKUP(Sheet1!E$82,CHOOSE(Sheet1!D$213,Inflate1,Inflate2,Inflate3,Inflate4,Inflate5,Inflate6,Inflate7,Inflate8),2),4)," ")</f>
        <v xml:space="preserve"> </v>
      </c>
      <c r="AI13" s="264" t="str">
        <f>IF(AB13&lt;&gt;" ",ROUND(VLOOKUP(AC13,CHOOSE(Sheet1!D$213,Inflate1,Inflate2,Inflate3,Inflate4,Inflate5,Inflate6,Inflate7,Inflate8),3),4)," ")</f>
        <v xml:space="preserve"> </v>
      </c>
      <c r="AJ13" s="263" t="b">
        <f>IF(AND(Sheet1!D$194=1,AB13&lt;&gt;" "),IF(AND(O13&lt;=10,OR(Sheet1!D$8=2,Sheet1!D$8=3,Sheet1!D$22=3)),ROUND((AE13/AH13)*AI13,Sheet1!D$75),IF(AND(Sheet1!D$8&lt;&gt;2,Sheet1!D$8&lt;&gt;3,Sheet1!D$22&lt;&gt;3),ROUND((AE13/AH13)*AI13,Sheet1!D$75)," ")))</f>
        <v>0</v>
      </c>
    </row>
    <row r="14" spans="1:36" ht="11.4" x14ac:dyDescent="0.2">
      <c r="A14" s="271" t="str">
        <f>IF(OR(Sheet1!D$192=1,Sheet1!D$194=1),IF(OR((A13&gt;=(Sheet1!D$148+$A$11)-1),AND(Sheet1!D$8=3,A13&gt;=6))," ",A13+1),NA())</f>
        <v xml:space="preserve"> </v>
      </c>
      <c r="B14" s="271" t="str">
        <f>IF(OR(Sheet1!D$192=1,Sheet1!D$194=1),IF(OR((B13&gt;=(Sheet1!D$148+$B$11)-1),AND(Sheet1!D$8=3,A13&gt;=6))," ",B13+1),NA())</f>
        <v xml:space="preserve"> </v>
      </c>
      <c r="C14" s="262"/>
      <c r="D14" s="263" t="str">
        <f>IF(AND(Sheet1!D$192=1,A14&lt;&gt;" "),ROUND(VLOOKUP(A14,StatusQuo!A$19:M$68,12),Sheet1!D$75),IF(Sheet1!D$192=1," ","SQ not feasible "))</f>
        <v xml:space="preserve"> </v>
      </c>
      <c r="E14" s="263" t="str">
        <f>IF(AND(Sheet1!D$194=1,A14&lt;&gt;" "),ROUND(VLOOKUP(A14,AlternativeB!A$110:M$159,12),Sheet1!D$75),IF(Sheet1!D$194=1," ","Alt  'B'  not feasible"))</f>
        <v>Alt  'B'  not feasible</v>
      </c>
      <c r="F14" s="263" t="str">
        <f>IF(AND(A14&lt;&gt;" ",Sheet1!D$192=1,Sheet1!D$194=1),D14-E14,IF(AND(Sheet1!D$194=1,A14&lt;&gt;" ")," "," "))</f>
        <v xml:space="preserve"> </v>
      </c>
      <c r="G14" s="264" t="str">
        <f>IF(A14&lt;=Sheet1!D$148, (1/((1+$G$10)^(A14-0.5)))," ")</f>
        <v xml:space="preserve"> </v>
      </c>
      <c r="H14" s="263" t="str">
        <f>IF(AND(A14&lt;&gt;" ",Sheet1!D$192=1,Sheet1!D$194=1),ROUND(F14*G14,Sheet1!D$75),IF(AND(A14&lt;&gt;" ",Sheet1!D$194=1),ROUND(E14*G14,Sheet1!D$75)," "))</f>
        <v xml:space="preserve"> </v>
      </c>
      <c r="I14" s="264" t="str">
        <f>IF(A14&lt;&gt;" ",ROUND(VLOOKUP(Sheet1!E$82,CHOOSE(Sheet1!D$233,Inflate7,Inflate2,Inflate3,Inflate4,Inflate5,Inflate6,Inflate1,Inflate8),2),4)," ")</f>
        <v xml:space="preserve"> </v>
      </c>
      <c r="J14" s="264" t="str">
        <f>IF(A14&lt;&gt;" ",ROUND(VLOOKUP(B14,CHOOSE(Sheet1!D$233,Inflate7,Inflate2,Inflate3,Inflate4,Inflate5,Inflate6,Inflate1,Inflate8),3),4)," ")</f>
        <v xml:space="preserve"> </v>
      </c>
      <c r="K14" s="265" t="str">
        <f>IF(AND(A14&lt;&gt;" ",Sheet1!D$192=1,Sheet1!D$194=1),ROUND((F14/I14)*J14,Sheet1!D$75),IF(AND(A14&lt;&gt;" ",Sheet1!D$194=1),ROUND((E14/I14)*J14,Sheet1!D$75)," "))</f>
        <v xml:space="preserve"> </v>
      </c>
      <c r="L14" s="254" t="str">
        <f>IF(Sheet1!D$192=1,IF(AND(AA14&gt;AJ$61,AA13&lt;=AJ$61),"&lt;-Payback"," ")," ")</f>
        <v xml:space="preserve"> </v>
      </c>
      <c r="M14" s="271" t="str">
        <f>IF(OR(Sheet1!D$192=1,Sheet1!D$194=1),IF(OR((A13&gt;=(Sheet1!D$148+$A$11)-1),AND(Sheet1!D$8=3,A13&gt;=6))," ",A13+1),NA())</f>
        <v xml:space="preserve"> </v>
      </c>
      <c r="N14" s="271" t="str">
        <f>IF(OR(Sheet1!D$192=1,Sheet1!D$194=1),IF(OR((B13&gt;=(Sheet1!D$148+$B$11)-1),AND(Sheet1!D$8=3,A13&gt;=6))," ",B13+1),NA())</f>
        <v xml:space="preserve"> </v>
      </c>
      <c r="O14" s="266" t="e">
        <f>IF(OR(Sheet1!D$192=1,Sheet1!D$194=1),IF(NOT(Sheet1!D$192=1),0,IF(ROUND(VLOOKUP(A14,StatusQuo!A$19:M$68,13),Sheet1!D$75)-ROUND(VLOOKUP(A14,AlternativeB!A$110:M$159,13),Sheet1!D$75)&gt;0,1,0))," ")</f>
        <v>#VALUE!</v>
      </c>
      <c r="P14" s="263" t="str">
        <f>IF(AND(A14&lt;&gt;" ",Sheet1!D$192=1,Sheet1!D$194=1),IF(AND(OR(Sheet1!D$8=2,Sheet1!D$22=3),O14&gt;10),0,ROUND(VLOOKUP(A14,StatusQuo!A$19:M$68,13),Sheet1!D$75)),IF(NOT(Sheet1!D$192=1),"not feasible",IF(A14=" "," ", "Savings is  n/a=&gt;")))</f>
        <v xml:space="preserve"> </v>
      </c>
      <c r="Q14" s="263" t="str">
        <f>IF(AND(A14&lt;&gt;" ",Sheet1!D$192=1,Sheet1!D$194=1),IF(AND(OR(Sheet1!D$8=2,Sheet1!D$22=3),O14&gt;10),0,ROUND(VLOOKUP(A14,AlternativeB!A$110:M$159,13),Sheet1!D$75)),IF(NOT(Sheet1!D$194=1),"not feasible",IF(A14=" "," ","&lt;== Savings is n/a")))</f>
        <v>not feasible</v>
      </c>
      <c r="R14" s="263" t="str">
        <f>IF(AND(A14&lt;&gt;" ",Sheet1!D$192=1,Sheet1!D$194=1),IF(G$81&lt;&gt;" ","???????",P14-Q14)," ")</f>
        <v xml:space="preserve"> </v>
      </c>
      <c r="S14" s="263" t="str">
        <f>IF(AND(A14&lt;&gt;" ",Sheet1!D$192=1,Sheet1!D$194=1),ROUND(R14*G14,Sheet1!D$75)," ")</f>
        <v xml:space="preserve"> </v>
      </c>
      <c r="T14" s="263" t="str">
        <f>IF(AND(A14&lt;&gt;" ",Sheet1!D$192=1,Sheet1!D$194=1),ROUND((R14/I14)*J14,Sheet1!D$75)," ")</f>
        <v xml:space="preserve"> </v>
      </c>
      <c r="U14" s="265">
        <f>SUM(T$11:T14)</f>
        <v>0</v>
      </c>
      <c r="V14" s="254" t="str">
        <f t="shared" si="0"/>
        <v xml:space="preserve"> </v>
      </c>
      <c r="W14" s="268">
        <f t="shared" si="1"/>
        <v>4</v>
      </c>
      <c r="X14" s="171" t="str">
        <f t="shared" si="2"/>
        <v xml:space="preserve"> </v>
      </c>
      <c r="Y14" s="373" t="e">
        <f>IF(AJ61&gt;K61," ",ROUND((AJ61-Y12)/(Y13-Y12),3))</f>
        <v>#VALUE!</v>
      </c>
      <c r="Z14" s="270" t="s">
        <v>322</v>
      </c>
      <c r="AA14" s="265">
        <f>SUM(K$11:K14)</f>
        <v>0</v>
      </c>
      <c r="AB14" s="271" t="str">
        <f>IF(OR(Sheet1!D$192=1,Sheet1!D$194=1),IF(OR((AB13&gt;=(Sheet1!D$148+$A$11)-1),AND(Sheet1!D$8=3,AB13&gt;=6))," ",AB13+1),NA())</f>
        <v xml:space="preserve"> </v>
      </c>
      <c r="AC14" s="271" t="str">
        <f>IF(OR(Sheet1!D$192=1,Sheet1!D$194=1),IF(OR((AC13&gt;=(Sheet1!D$148+$B$11)-1),AND(Sheet1!D$8=3,AB13&gt;=6))," ",AC13+1),NA())</f>
        <v xml:space="preserve"> </v>
      </c>
      <c r="AD14" s="262"/>
      <c r="AE14" s="263" t="str">
        <f>IF(AND(Sheet1!D$194=1,AB14&lt;&gt;" "),ROUND(VLOOKUP(AB14,AlternativeB!A$17:M$66,12),Sheet1!D$75),IF(Sheet1!D$194=1," ","Alt  'B'  not feasible"))</f>
        <v>Alt  'B'  not feasible</v>
      </c>
      <c r="AF14" s="264" t="str">
        <f>IF(AB14&lt;=Sheet1!D$148, (1/((1+$AF$10)^(AB14-0.5)))," ")</f>
        <v xml:space="preserve"> </v>
      </c>
      <c r="AG14" s="263" t="str">
        <f>IF(AND(Sheet1!D$194=1,AB14&lt;&gt;" "),ROUND(+AE14*AF14,Sheet1!D$75)," ")</f>
        <v xml:space="preserve"> </v>
      </c>
      <c r="AH14" s="264" t="str">
        <f>IF(AB14&lt;&gt;" ",ROUND(VLOOKUP(Sheet1!E$82,CHOOSE(Sheet1!D$213,Inflate1,Inflate2,Inflate3,Inflate4,Inflate5,Inflate6,Inflate7,Inflate8),2),4)," ")</f>
        <v xml:space="preserve"> </v>
      </c>
      <c r="AI14" s="264" t="str">
        <f>IF(AB14&lt;&gt;" ",ROUND(VLOOKUP(AC14,CHOOSE(Sheet1!D$213,Inflate1,Inflate2,Inflate3,Inflate4,Inflate5,Inflate6,Inflate7,Inflate8),3),4)," ")</f>
        <v xml:space="preserve"> </v>
      </c>
      <c r="AJ14" s="263" t="b">
        <f>IF(AND(Sheet1!D$194=1,AB14&lt;&gt;" "),IF(AND(O14&lt;=10,OR(Sheet1!D$8=2,Sheet1!D$8=3,Sheet1!D$22=3)),ROUND((AE14/AH14)*AI14,Sheet1!D$75),IF(AND(Sheet1!D$8&lt;&gt;2,Sheet1!D$8&lt;&gt;3,Sheet1!D$22&lt;&gt;3),ROUND((AE14/AH14)*AI14,Sheet1!D$75)," ")))</f>
        <v>0</v>
      </c>
    </row>
    <row r="15" spans="1:36" ht="13.2" x14ac:dyDescent="0.25">
      <c r="A15" s="271" t="str">
        <f>IF(OR(Sheet1!D$192=1,Sheet1!D$194=1),IF(OR((A14&gt;=(Sheet1!D$148+$A$11)-1),AND(Sheet1!D$8=3,A14&gt;=6))," ",A14+1),NA())</f>
        <v xml:space="preserve"> </v>
      </c>
      <c r="B15" s="271" t="str">
        <f>IF(OR(Sheet1!D$192=1,Sheet1!D$194=1),IF(OR((B14&gt;=(Sheet1!D$148+$B$11)-1),AND(Sheet1!D$8=3,A14&gt;=6))," ",B14+1),NA())</f>
        <v xml:space="preserve"> </v>
      </c>
      <c r="C15" s="262"/>
      <c r="D15" s="263" t="str">
        <f>IF(AND(Sheet1!D$192=1,A15&lt;&gt;" "),ROUND(VLOOKUP(A15,StatusQuo!A$19:M$68,12),Sheet1!D$75),IF(Sheet1!D$192=1," ","SQ not feasible "))</f>
        <v xml:space="preserve"> </v>
      </c>
      <c r="E15" s="263" t="str">
        <f>IF(AND(Sheet1!D$194=1,A15&lt;&gt;" "),ROUND(VLOOKUP(A15,AlternativeB!A$110:M$159,12),Sheet1!D$75),IF(Sheet1!D$194=1," ","Alt  'B'  not feasible"))</f>
        <v>Alt  'B'  not feasible</v>
      </c>
      <c r="F15" s="263" t="str">
        <f>IF(AND(A15&lt;&gt;" ",Sheet1!D$192=1,Sheet1!D$194=1),D15-E15,IF(AND(Sheet1!D$194=1,A15&lt;&gt;" ")," "," "))</f>
        <v xml:space="preserve"> </v>
      </c>
      <c r="G15" s="264" t="str">
        <f>IF(A15&lt;=Sheet1!D$148, (1/((1+$G$10)^(A15-0.5)))," ")</f>
        <v xml:space="preserve"> </v>
      </c>
      <c r="H15" s="263" t="str">
        <f>IF(AND(A15&lt;&gt;" ",Sheet1!D$192=1,Sheet1!D$194=1),ROUND(F15*G15,Sheet1!D$75),IF(AND(A15&lt;&gt;" ",Sheet1!D$194=1),ROUND(E15*G15,Sheet1!D$75)," "))</f>
        <v xml:space="preserve"> </v>
      </c>
      <c r="I15" s="264" t="str">
        <f>IF(A15&lt;&gt;" ",ROUND(VLOOKUP(Sheet1!E$82,CHOOSE(Sheet1!D$233,Inflate7,Inflate2,Inflate3,Inflate4,Inflate5,Inflate6,Inflate1,Inflate8),2),4)," ")</f>
        <v xml:space="preserve"> </v>
      </c>
      <c r="J15" s="264" t="str">
        <f>IF(A15&lt;&gt;" ",ROUND(VLOOKUP(B15,CHOOSE(Sheet1!D$233,Inflate7,Inflate2,Inflate3,Inflate4,Inflate5,Inflate6,Inflate1,Inflate8),3),4)," ")</f>
        <v xml:space="preserve"> </v>
      </c>
      <c r="K15" s="265" t="str">
        <f>IF(AND(A15&lt;&gt;" ",Sheet1!D$192=1,Sheet1!D$194=1),ROUND((F15/I15)*J15,Sheet1!D$75),IF(AND(A15&lt;&gt;" ",Sheet1!D$194=1),ROUND((E15/I15)*J15,Sheet1!D$75)," "))</f>
        <v xml:space="preserve"> </v>
      </c>
      <c r="L15" s="254" t="str">
        <f>IF(Sheet1!D$192=1,IF(AND(AA15&gt;AJ$61,AA14&lt;=AJ$61),"&lt;-Payback"," ")," ")</f>
        <v xml:space="preserve"> </v>
      </c>
      <c r="M15" s="271" t="str">
        <f>IF(OR(Sheet1!D$192=1,Sheet1!D$194=1),IF(OR((A14&gt;=(Sheet1!D$148+$A$11)-1),AND(Sheet1!D$8=3,A14&gt;=6))," ",A14+1),NA())</f>
        <v xml:space="preserve"> </v>
      </c>
      <c r="N15" s="271" t="str">
        <f>IF(OR(Sheet1!D$192=1,Sheet1!D$194=1),IF(OR((B14&gt;=(Sheet1!D$148+$B$11)-1),AND(Sheet1!D$8=3,A14&gt;=6))," ",B14+1),NA())</f>
        <v xml:space="preserve"> </v>
      </c>
      <c r="O15" s="266" t="e">
        <f>IF(OR(Sheet1!D$192=1,Sheet1!D$194=1),IF(NOT(Sheet1!D$192=1),0,IF(ROUND(VLOOKUP(A15,StatusQuo!A$19:M$68,13),Sheet1!D$75)-ROUND(VLOOKUP(A15,AlternativeB!A$110:M$159,13),Sheet1!D$75)&gt;0,1,0))," ")</f>
        <v>#VALUE!</v>
      </c>
      <c r="P15" s="263" t="str">
        <f>IF(AND(A15&lt;&gt;" ",Sheet1!D$192=1,Sheet1!D$194=1),IF(AND(OR(Sheet1!D$8=2,Sheet1!D$22=3),O15&gt;10),0,ROUND(VLOOKUP(A15,StatusQuo!A$19:M$68,13),Sheet1!D$75)),IF(NOT(Sheet1!D$192=1),"not feasible",IF(A15=" "," ", "Savings is  n/a=&gt;")))</f>
        <v xml:space="preserve"> </v>
      </c>
      <c r="Q15" s="263" t="str">
        <f>IF(AND(A15&lt;&gt;" ",Sheet1!D$192=1,Sheet1!D$194=1),IF(AND(OR(Sheet1!D$8=2,Sheet1!D$22=3),O15&gt;10),0,ROUND(VLOOKUP(A15,AlternativeB!A$110:M$159,13),Sheet1!D$75)),IF(NOT(Sheet1!D$194=1),"not feasible",IF(A15=" "," ","&lt;== Savings is n/a")))</f>
        <v>not feasible</v>
      </c>
      <c r="R15" s="263" t="str">
        <f>IF(AND(A15&lt;&gt;" ",Sheet1!D$192=1,Sheet1!D$194=1),IF(G$81&lt;&gt;" ","???????",P15-Q15)," ")</f>
        <v xml:space="preserve"> </v>
      </c>
      <c r="S15" s="263" t="str">
        <f>IF(AND(A15&lt;&gt;" ",Sheet1!D$192=1,Sheet1!D$194=1),ROUND(R15*G15,Sheet1!D$75)," ")</f>
        <v xml:space="preserve"> </v>
      </c>
      <c r="T15" s="263" t="str">
        <f>IF(AND(A15&lt;&gt;" ",Sheet1!D$192=1,Sheet1!D$194=1),ROUND((R15/I15)*J15,Sheet1!D$75)," ")</f>
        <v xml:space="preserve"> </v>
      </c>
      <c r="U15" s="265">
        <f>SUM(T$11:T15)</f>
        <v>0</v>
      </c>
      <c r="V15" s="254" t="str">
        <f t="shared" si="0"/>
        <v xml:space="preserve"> </v>
      </c>
      <c r="W15" s="268">
        <f t="shared" si="1"/>
        <v>5</v>
      </c>
      <c r="X15" s="171" t="str">
        <f t="shared" si="2"/>
        <v xml:space="preserve"> </v>
      </c>
      <c r="Y15" s="316"/>
      <c r="AA15" s="265">
        <f>SUM(K$11:K15)</f>
        <v>0</v>
      </c>
      <c r="AB15" s="271" t="str">
        <f>IF(OR(Sheet1!D$192=1,Sheet1!D$194=1),IF(OR((AB14&gt;=(Sheet1!D$148+$A$11)-1),AND(Sheet1!D$8=3,AB14&gt;=6))," ",AB14+1),NA())</f>
        <v xml:space="preserve"> </v>
      </c>
      <c r="AC15" s="271" t="str">
        <f>IF(OR(Sheet1!D$192=1,Sheet1!D$194=1),IF(OR((AC14&gt;=(Sheet1!D$148+$B$11)-1),AND(Sheet1!D$8=3,AB14&gt;=6))," ",AC14+1),NA())</f>
        <v xml:space="preserve"> </v>
      </c>
      <c r="AD15" s="262"/>
      <c r="AE15" s="263" t="str">
        <f>IF(AND(Sheet1!D$194=1,AB15&lt;&gt;" "),ROUND(VLOOKUP(AB15,AlternativeB!A$17:M$66,12),Sheet1!D$75),IF(Sheet1!D$194=1," ","Alt  'B'  not feasible"))</f>
        <v>Alt  'B'  not feasible</v>
      </c>
      <c r="AF15" s="264" t="str">
        <f>IF(AB15&lt;=Sheet1!D$148, (1/((1+$AF$10)^(AB15-0.5)))," ")</f>
        <v xml:space="preserve"> </v>
      </c>
      <c r="AG15" s="263" t="str">
        <f>IF(AND(Sheet1!D$194=1,AB15&lt;&gt;" "),ROUND(+AE15*AF15,Sheet1!D$75)," ")</f>
        <v xml:space="preserve"> </v>
      </c>
      <c r="AH15" s="264" t="str">
        <f>IF(AB15&lt;&gt;" ",ROUND(VLOOKUP(Sheet1!E$82,CHOOSE(Sheet1!D$213,Inflate1,Inflate2,Inflate3,Inflate4,Inflate5,Inflate6,Inflate7,Inflate8),2),4)," ")</f>
        <v xml:space="preserve"> </v>
      </c>
      <c r="AI15" s="264" t="str">
        <f>IF(AB15&lt;&gt;" ",ROUND(VLOOKUP(AC15,CHOOSE(Sheet1!D$213,Inflate1,Inflate2,Inflate3,Inflate4,Inflate5,Inflate6,Inflate7,Inflate8),3),4)," ")</f>
        <v xml:space="preserve"> </v>
      </c>
      <c r="AJ15" s="263" t="b">
        <f>IF(AND(Sheet1!D$194=1,AB15&lt;&gt;" "),IF(AND(O15&lt;=10,OR(Sheet1!D$8=2,Sheet1!D$8=3,Sheet1!D$22=3)),ROUND((AE15/AH15)*AI15,Sheet1!D$75),IF(AND(Sheet1!D$8&lt;&gt;2,Sheet1!D$8&lt;&gt;3,Sheet1!D$22&lt;&gt;3),ROUND((AE15/AH15)*AI15,Sheet1!D$75)," ")))</f>
        <v>0</v>
      </c>
    </row>
    <row r="16" spans="1:36" ht="11.4" x14ac:dyDescent="0.2">
      <c r="A16" s="271" t="str">
        <f>IF(OR(Sheet1!D$192=1,Sheet1!D$194=1),IF(OR((A15&gt;=(Sheet1!D$148+$A$11)-1),AND(Sheet1!D$8=3,A15&gt;=6))," ",A15+1),NA())</f>
        <v xml:space="preserve"> </v>
      </c>
      <c r="B16" s="271" t="str">
        <f>IF(OR(Sheet1!D$192=1,Sheet1!D$194=1),IF(OR((B15&gt;=(Sheet1!D$148+$B$11)-1),AND(Sheet1!D$8=3,A15&gt;=6))," ",B15+1),NA())</f>
        <v xml:space="preserve"> </v>
      </c>
      <c r="C16" s="262"/>
      <c r="D16" s="263" t="str">
        <f>IF(AND(Sheet1!D$192=1,A16&lt;&gt;" "),ROUND(VLOOKUP(A16,StatusQuo!A$19:M$68,12),Sheet1!D$75),IF(Sheet1!D$192=1," ","SQ not feasible "))</f>
        <v xml:space="preserve"> </v>
      </c>
      <c r="E16" s="263" t="str">
        <f>IF(AND(Sheet1!D$194=1,A16&lt;&gt;" "),ROUND(VLOOKUP(A16,AlternativeB!A$110:M$159,12),Sheet1!D$75),IF(Sheet1!D$194=1," ","Alt  'B'  not feasible"))</f>
        <v>Alt  'B'  not feasible</v>
      </c>
      <c r="F16" s="263" t="str">
        <f>IF(AND(A16&lt;&gt;" ",Sheet1!D$192=1,Sheet1!D$194=1),D16-E16,IF(AND(Sheet1!D$194=1,A16&lt;&gt;" ")," "," "))</f>
        <v xml:space="preserve"> </v>
      </c>
      <c r="G16" s="264" t="str">
        <f>IF(A16&lt;=Sheet1!D$148, (1/((1+$G$10)^(A16-0.5)))," ")</f>
        <v xml:space="preserve"> </v>
      </c>
      <c r="H16" s="263" t="str">
        <f>IF(AND(A16&lt;&gt;" ",Sheet1!D$192=1,Sheet1!D$194=1),ROUND(F16*G16,Sheet1!D$75),IF(AND(A16&lt;&gt;" ",Sheet1!D$194=1),ROUND(E16*G16,Sheet1!D$75)," "))</f>
        <v xml:space="preserve"> </v>
      </c>
      <c r="I16" s="264" t="str">
        <f>IF(A16&lt;&gt;" ",ROUND(VLOOKUP(Sheet1!E$82,CHOOSE(Sheet1!D$233,Inflate7,Inflate2,Inflate3,Inflate4,Inflate5,Inflate6,Inflate1,Inflate8),2),4)," ")</f>
        <v xml:space="preserve"> </v>
      </c>
      <c r="J16" s="264" t="str">
        <f>IF(A16&lt;&gt;" ",ROUND(VLOOKUP(B16,CHOOSE(Sheet1!D$233,Inflate7,Inflate2,Inflate3,Inflate4,Inflate5,Inflate6,Inflate1,Inflate8),3),4)," ")</f>
        <v xml:space="preserve"> </v>
      </c>
      <c r="K16" s="265" t="str">
        <f>IF(AND(A16&lt;&gt;" ",Sheet1!D$192=1,Sheet1!D$194=1),ROUND((F16/I16)*J16,Sheet1!D$75),IF(AND(A16&lt;&gt;" ",Sheet1!D$194=1),ROUND((E16/I16)*J16,Sheet1!D$75)," "))</f>
        <v xml:space="preserve"> </v>
      </c>
      <c r="L16" s="254" t="str">
        <f>IF(Sheet1!D$192=1,IF(AND(AA16&gt;AJ$61,AA15&lt;=AJ$61),"&lt;-Payback"," ")," ")</f>
        <v xml:space="preserve"> </v>
      </c>
      <c r="M16" s="271" t="str">
        <f>IF(OR(Sheet1!D$192=1,Sheet1!D$194=1),IF(OR((A15&gt;=(Sheet1!D$148+$A$11)-1),AND(Sheet1!D$8=3,A15&gt;=6))," ",A15+1),NA())</f>
        <v xml:space="preserve"> </v>
      </c>
      <c r="N16" s="271" t="str">
        <f>IF(OR(Sheet1!D$192=1,Sheet1!D$194=1),IF(OR((B15&gt;=(Sheet1!D$148+$B$11)-1),AND(Sheet1!D$8=3,A15&gt;=6))," ",B15+1),NA())</f>
        <v xml:space="preserve"> </v>
      </c>
      <c r="O16" s="266" t="e">
        <f>IF(OR(Sheet1!D$192=1,Sheet1!D$194=1),IF(NOT(Sheet1!D$192=1),0,IF(ROUND(VLOOKUP(A16,StatusQuo!A$19:M$68,13),Sheet1!D$75)-ROUND(VLOOKUP(A16,AlternativeB!A$110:M$159,13),Sheet1!D$75)&gt;0,1,0))," ")</f>
        <v>#VALUE!</v>
      </c>
      <c r="P16" s="263" t="str">
        <f>IF(AND(A16&lt;&gt;" ",Sheet1!D$192=1,Sheet1!D$194=1),IF(AND(OR(Sheet1!D$8=2,Sheet1!D$22=3),O16&gt;10),0,ROUND(VLOOKUP(A16,StatusQuo!A$19:M$68,13),Sheet1!D$75)),IF(NOT(Sheet1!D$192=1),"not feasible",IF(A16=" "," ", "Savings is  n/a=&gt;")))</f>
        <v xml:space="preserve"> </v>
      </c>
      <c r="Q16" s="263" t="str">
        <f>IF(AND(A16&lt;&gt;" ",Sheet1!D$192=1,Sheet1!D$194=1),IF(AND(OR(Sheet1!D$8=2,Sheet1!D$22=3),O16&gt;10),0,ROUND(VLOOKUP(A16,AlternativeB!A$110:M$159,13),Sheet1!D$75)),IF(NOT(Sheet1!D$194=1),"not feasible",IF(A16=" "," ","&lt;== Savings is n/a")))</f>
        <v>not feasible</v>
      </c>
      <c r="R16" s="263" t="str">
        <f>IF(AND(A16&lt;&gt;" ",Sheet1!D$192=1,Sheet1!D$194=1),IF(G$81&lt;&gt;" ","???????",P16-Q16)," ")</f>
        <v xml:space="preserve"> </v>
      </c>
      <c r="S16" s="263" t="str">
        <f>IF(AND(A16&lt;&gt;" ",Sheet1!D$192=1,Sheet1!D$194=1),ROUND(R16*G16,Sheet1!D$75)," ")</f>
        <v xml:space="preserve"> </v>
      </c>
      <c r="T16" s="263" t="str">
        <f>IF(AND(A16&lt;&gt;" ",Sheet1!D$192=1,Sheet1!D$194=1),ROUND((R16/I16)*J16,Sheet1!D$75)," ")</f>
        <v xml:space="preserve"> </v>
      </c>
      <c r="U16" s="265">
        <f>SUM(T$11:T16)</f>
        <v>0</v>
      </c>
      <c r="V16" s="254" t="str">
        <f t="shared" si="0"/>
        <v xml:space="preserve"> </v>
      </c>
      <c r="W16" s="268">
        <f t="shared" si="1"/>
        <v>6</v>
      </c>
      <c r="X16" s="171" t="str">
        <f t="shared" si="2"/>
        <v xml:space="preserve"> </v>
      </c>
      <c r="AA16" s="265">
        <f>SUM(K$11:K16)</f>
        <v>0</v>
      </c>
      <c r="AB16" s="271" t="str">
        <f>IF(OR(Sheet1!D$192=1,Sheet1!D$194=1),IF(OR((AB15&gt;=(Sheet1!D$148+$A$11)-1),AND(Sheet1!D$8=3,AB15&gt;=6))," ",AB15+1),NA())</f>
        <v xml:space="preserve"> </v>
      </c>
      <c r="AC16" s="271" t="str">
        <f>IF(OR(Sheet1!D$192=1,Sheet1!D$194=1),IF(OR((AC15&gt;=(Sheet1!D$148+$B$11)-1),AND(Sheet1!D$8=3,AB15&gt;=6))," ",AC15+1),NA())</f>
        <v xml:space="preserve"> </v>
      </c>
      <c r="AD16" s="262"/>
      <c r="AE16" s="263" t="str">
        <f>IF(AND(Sheet1!D$194=1,AB16&lt;&gt;" "),ROUND(VLOOKUP(AB16,AlternativeB!A$17:M$66,12),Sheet1!D$75),IF(Sheet1!D$194=1," ","Alt  'B'  not feasible"))</f>
        <v>Alt  'B'  not feasible</v>
      </c>
      <c r="AF16" s="264" t="str">
        <f>IF(AB16&lt;=Sheet1!D$148, (1/((1+$AF$10)^(AB16-0.5)))," ")</f>
        <v xml:space="preserve"> </v>
      </c>
      <c r="AG16" s="263" t="str">
        <f>IF(AND(Sheet1!D$194=1,AB16&lt;&gt;" "),ROUND(+AE16*AF16,Sheet1!D$75)," ")</f>
        <v xml:space="preserve"> </v>
      </c>
      <c r="AH16" s="264" t="str">
        <f>IF(AB16&lt;&gt;" ",ROUND(VLOOKUP(Sheet1!E$82,CHOOSE(Sheet1!D$213,Inflate1,Inflate2,Inflate3,Inflate4,Inflate5,Inflate6,Inflate7,Inflate8),2),4)," ")</f>
        <v xml:space="preserve"> </v>
      </c>
      <c r="AI16" s="264" t="str">
        <f>IF(AB16&lt;&gt;" ",ROUND(VLOOKUP(AC16,CHOOSE(Sheet1!D$213,Inflate1,Inflate2,Inflate3,Inflate4,Inflate5,Inflate6,Inflate7,Inflate8),3),4)," ")</f>
        <v xml:space="preserve"> </v>
      </c>
      <c r="AJ16" s="263" t="b">
        <f>IF(AND(Sheet1!D$194=1,AB16&lt;&gt;" "),IF(AND(O16&lt;=10,OR(Sheet1!D$8=2,Sheet1!D$8=3,Sheet1!D$22=3)),ROUND((AE16/AH16)*AI16,Sheet1!D$75),IF(AND(Sheet1!D$8&lt;&gt;2,Sheet1!D$8&lt;&gt;3,Sheet1!D$22&lt;&gt;3),ROUND((AE16/AH16)*AI16,Sheet1!D$75)," ")))</f>
        <v>0</v>
      </c>
    </row>
    <row r="17" spans="1:36" ht="11.4" x14ac:dyDescent="0.2">
      <c r="A17" s="271" t="str">
        <f>IF(OR(Sheet1!D$192=1,Sheet1!D$194=1),IF(OR((A16&gt;=(Sheet1!D$148+$A$11)-1),AND(Sheet1!D$8=3,A16&gt;=6))," ",A16+1),NA())</f>
        <v xml:space="preserve"> </v>
      </c>
      <c r="B17" s="271" t="str">
        <f>IF(OR(Sheet1!D$192=1,Sheet1!D$194=1),IF(OR((B16&gt;=(Sheet1!D$148+$B$11)-1),AND(Sheet1!D$8=3,A16&gt;=6))," ",B16+1),NA())</f>
        <v xml:space="preserve"> </v>
      </c>
      <c r="C17" s="262"/>
      <c r="D17" s="263" t="str">
        <f>IF(AND(Sheet1!D$192=1,A17&lt;&gt;" "),ROUND(VLOOKUP(A17,StatusQuo!A$19:M$68,12),Sheet1!D$75),IF(Sheet1!D$192=1," ","SQ not feasible "))</f>
        <v xml:space="preserve"> </v>
      </c>
      <c r="E17" s="263" t="str">
        <f>IF(AND(Sheet1!D$194=1,A17&lt;&gt;" "),ROUND(VLOOKUP(A17,AlternativeB!A$110:M$159,12),Sheet1!D$75),IF(Sheet1!D$194=1," ","Alt  'B'  not feasible"))</f>
        <v>Alt  'B'  not feasible</v>
      </c>
      <c r="F17" s="263" t="str">
        <f>IF(AND(A17&lt;&gt;" ",Sheet1!D$192=1,Sheet1!D$194=1),D17-E17,IF(AND(Sheet1!D$194=1,A17&lt;&gt;" ")," "," "))</f>
        <v xml:space="preserve"> </v>
      </c>
      <c r="G17" s="264" t="str">
        <f>IF(A17&lt;=Sheet1!D$148, (1/((1+$G$10)^(A17-0.5)))," ")</f>
        <v xml:space="preserve"> </v>
      </c>
      <c r="H17" s="263" t="str">
        <f>IF(AND(A17&lt;&gt;" ",Sheet1!D$192=1,Sheet1!D$194=1),ROUND(F17*G17,Sheet1!D$75),IF(AND(A17&lt;&gt;" ",Sheet1!D$194=1),ROUND(E17*G17,Sheet1!D$75)," "))</f>
        <v xml:space="preserve"> </v>
      </c>
      <c r="I17" s="264" t="str">
        <f>IF(A17&lt;&gt;" ",ROUND(VLOOKUP(Sheet1!E$82,CHOOSE(Sheet1!D$233,Inflate7,Inflate2,Inflate3,Inflate4,Inflate5,Inflate6,Inflate1,Inflate8),2),4)," ")</f>
        <v xml:space="preserve"> </v>
      </c>
      <c r="J17" s="264" t="str">
        <f>IF(A17&lt;&gt;" ",ROUND(VLOOKUP(B17,CHOOSE(Sheet1!D$233,Inflate7,Inflate2,Inflate3,Inflate4,Inflate5,Inflate6,Inflate1,Inflate8),3),4)," ")</f>
        <v xml:space="preserve"> </v>
      </c>
      <c r="K17" s="265" t="str">
        <f>IF(AND(A17&lt;&gt;" ",Sheet1!D$192=1,Sheet1!D$194=1),ROUND((F17/I17)*J17,Sheet1!D$75),IF(AND(A17&lt;&gt;" ",Sheet1!D$194=1),ROUND((E17/I17)*J17,Sheet1!D$75)," "))</f>
        <v xml:space="preserve"> </v>
      </c>
      <c r="L17" s="254" t="str">
        <f>IF(Sheet1!D$192=1,IF(AND(AA17&gt;AJ$61,AA16&lt;=AJ$61),"&lt;-Payback"," ")," ")</f>
        <v xml:space="preserve"> </v>
      </c>
      <c r="M17" s="271" t="str">
        <f>IF(OR(Sheet1!D$192=1,Sheet1!D$194=1),IF(OR((A16&gt;=(Sheet1!D$148+$A$11)-1),AND(Sheet1!D$8=3,A16&gt;=6))," ",A16+1),NA())</f>
        <v xml:space="preserve"> </v>
      </c>
      <c r="N17" s="271" t="str">
        <f>IF(OR(Sheet1!D$192=1,Sheet1!D$194=1),IF(OR((B16&gt;=(Sheet1!D$148+$B$11)-1),AND(Sheet1!D$8=3,A16&gt;=6))," ",B16+1),NA())</f>
        <v xml:space="preserve"> </v>
      </c>
      <c r="O17" s="266" t="e">
        <f>IF(OR(Sheet1!D$192=1,Sheet1!D$194=1),IF(NOT(Sheet1!D$192=1),0,IF(ROUND(VLOOKUP(A17,StatusQuo!A$19:M$68,13),Sheet1!D$75)-ROUND(VLOOKUP(A17,AlternativeB!A$110:M$159,13),Sheet1!D$75)&gt;0,1,0))," ")</f>
        <v>#VALUE!</v>
      </c>
      <c r="P17" s="263" t="str">
        <f>IF(AND(A17&lt;&gt;" ",Sheet1!D$192=1,Sheet1!D$194=1),IF(AND(OR(Sheet1!D$8=2,Sheet1!D$22=3),O17&gt;10),0,ROUND(VLOOKUP(A17,StatusQuo!A$19:M$68,13),Sheet1!D$75)),IF(NOT(Sheet1!D$192=1),"not feasible",IF(A17=" "," ", "Savings is  n/a=&gt;")))</f>
        <v xml:space="preserve"> </v>
      </c>
      <c r="Q17" s="263" t="str">
        <f>IF(AND(A17&lt;&gt;" ",Sheet1!D$192=1,Sheet1!D$194=1),IF(AND(OR(Sheet1!D$8=2,Sheet1!D$22=3),O17&gt;10),0,ROUND(VLOOKUP(A17,AlternativeB!A$110:M$159,13),Sheet1!D$75)),IF(NOT(Sheet1!D$194=1),"not feasible",IF(A17=" "," ","&lt;== Savings is n/a")))</f>
        <v>not feasible</v>
      </c>
      <c r="R17" s="263" t="str">
        <f>IF(AND(A17&lt;&gt;" ",Sheet1!D$192=1,Sheet1!D$194=1),IF(G$81&lt;&gt;" ","???????",P17-Q17)," ")</f>
        <v xml:space="preserve"> </v>
      </c>
      <c r="S17" s="263" t="str">
        <f>IF(AND(A17&lt;&gt;" ",Sheet1!D$192=1,Sheet1!D$194=1),ROUND(R17*G17,Sheet1!D$75)," ")</f>
        <v xml:space="preserve"> </v>
      </c>
      <c r="T17" s="263" t="str">
        <f>IF(AND(A17&lt;&gt;" ",Sheet1!D$192=1,Sheet1!D$194=1),ROUND((R17/I17)*J17,Sheet1!D$75)," ")</f>
        <v xml:space="preserve"> </v>
      </c>
      <c r="U17" s="265">
        <f>SUM(T$11:T17)</f>
        <v>0</v>
      </c>
      <c r="V17" s="254" t="str">
        <f t="shared" si="0"/>
        <v xml:space="preserve"> </v>
      </c>
      <c r="W17" s="268">
        <f t="shared" si="1"/>
        <v>7</v>
      </c>
      <c r="X17" s="171" t="str">
        <f t="shared" si="2"/>
        <v xml:space="preserve"> </v>
      </c>
      <c r="AA17" s="265">
        <f>SUM(K$11:K17)</f>
        <v>0</v>
      </c>
      <c r="AB17" s="271" t="str">
        <f>IF(OR(Sheet1!D$192=1,Sheet1!D$194=1),IF(OR((AB16&gt;=(Sheet1!D$148+$A$11)-1),AND(Sheet1!D$8=3,AB16&gt;=6))," ",AB16+1),NA())</f>
        <v xml:space="preserve"> </v>
      </c>
      <c r="AC17" s="271" t="str">
        <f>IF(OR(Sheet1!D$192=1,Sheet1!D$194=1),IF(OR((AC16&gt;=(Sheet1!D$148+$B$11)-1),AND(Sheet1!D$8=3,AB16&gt;=6))," ",AC16+1),NA())</f>
        <v xml:space="preserve"> </v>
      </c>
      <c r="AD17" s="262"/>
      <c r="AE17" s="263" t="str">
        <f>IF(AND(Sheet1!D$194=1,AB17&lt;&gt;" "),ROUND(VLOOKUP(AB17,AlternativeB!A$17:M$66,12),Sheet1!D$75),IF(Sheet1!D$194=1," ","Alt  'B'  not feasible"))</f>
        <v>Alt  'B'  not feasible</v>
      </c>
      <c r="AF17" s="264" t="str">
        <f>IF(AB17&lt;=Sheet1!D$148, (1/((1+$AF$10)^(AB17-0.5)))," ")</f>
        <v xml:space="preserve"> </v>
      </c>
      <c r="AG17" s="263" t="str">
        <f>IF(AND(Sheet1!D$194=1,AB17&lt;&gt;" "),ROUND(+AE17*AF17,Sheet1!D$75)," ")</f>
        <v xml:space="preserve"> </v>
      </c>
      <c r="AH17" s="264" t="str">
        <f>IF(AB17&lt;&gt;" ",ROUND(VLOOKUP(Sheet1!E$82,CHOOSE(Sheet1!D$213,Inflate1,Inflate2,Inflate3,Inflate4,Inflate5,Inflate6,Inflate7,Inflate8),2),4)," ")</f>
        <v xml:space="preserve"> </v>
      </c>
      <c r="AI17" s="264" t="str">
        <f>IF(AB17&lt;&gt;" ",ROUND(VLOOKUP(AC17,CHOOSE(Sheet1!D$213,Inflate1,Inflate2,Inflate3,Inflate4,Inflate5,Inflate6,Inflate7,Inflate8),3),4)," ")</f>
        <v xml:space="preserve"> </v>
      </c>
      <c r="AJ17" s="263" t="b">
        <f>IF(AND(Sheet1!D$194=1,AB17&lt;&gt;" "),IF(AND(O17&lt;=10,OR(Sheet1!D$8=2,Sheet1!D$8=3,Sheet1!D$22=3)),ROUND((AE17/AH17)*AI17,Sheet1!D$75),IF(AND(Sheet1!D$8&lt;&gt;2,Sheet1!D$8&lt;&gt;3,Sheet1!D$22&lt;&gt;3),ROUND((AE17/AH17)*AI17,Sheet1!D$75)," ")))</f>
        <v>0</v>
      </c>
    </row>
    <row r="18" spans="1:36" ht="11.4" x14ac:dyDescent="0.2">
      <c r="A18" s="271" t="str">
        <f>IF(OR(Sheet1!D$192=1,Sheet1!D$194=1),IF(OR((A17&gt;=(Sheet1!D$148+$A$11)-1),AND(Sheet1!D$8=3,A17&gt;=6))," ",A17+1),NA())</f>
        <v xml:space="preserve"> </v>
      </c>
      <c r="B18" s="271" t="str">
        <f>IF(OR(Sheet1!D$192=1,Sheet1!D$194=1),IF(OR((B17&gt;=(Sheet1!D$148+$B$11)-1),AND(Sheet1!D$8=3,A17&gt;=6))," ",B17+1),NA())</f>
        <v xml:space="preserve"> </v>
      </c>
      <c r="C18" s="262"/>
      <c r="D18" s="263" t="str">
        <f>IF(AND(Sheet1!D$192=1,A18&lt;&gt;" "),ROUND(VLOOKUP(A18,StatusQuo!A$19:M$68,12),Sheet1!D$75),IF(Sheet1!D$192=1," ","SQ not feasible "))</f>
        <v xml:space="preserve"> </v>
      </c>
      <c r="E18" s="263" t="str">
        <f>IF(AND(Sheet1!D$194=1,A18&lt;&gt;" "),ROUND(VLOOKUP(A18,AlternativeB!A$110:M$159,12),Sheet1!D$75),IF(Sheet1!D$194=1," ","Alt  'B'  not feasible"))</f>
        <v>Alt  'B'  not feasible</v>
      </c>
      <c r="F18" s="263" t="str">
        <f>IF(AND(A18&lt;&gt;" ",Sheet1!D$192=1,Sheet1!D$194=1),D18-E18,IF(AND(Sheet1!D$194=1,A18&lt;&gt;" ")," "," "))</f>
        <v xml:space="preserve"> </v>
      </c>
      <c r="G18" s="264" t="str">
        <f>IF(A18&lt;=Sheet1!D$148, (1/((1+$G$10)^(A18-0.5)))," ")</f>
        <v xml:space="preserve"> </v>
      </c>
      <c r="H18" s="263" t="str">
        <f>IF(AND(A18&lt;&gt;" ",Sheet1!D$192=1,Sheet1!D$194=1),ROUND(F18*G18,Sheet1!D$75),IF(AND(A18&lt;&gt;" ",Sheet1!D$194=1),ROUND(E18*G18,Sheet1!D$75)," "))</f>
        <v xml:space="preserve"> </v>
      </c>
      <c r="I18" s="264" t="str">
        <f>IF(A18&lt;&gt;" ",ROUND(VLOOKUP(Sheet1!E$82,CHOOSE(Sheet1!D$233,Inflate7,Inflate2,Inflate3,Inflate4,Inflate5,Inflate6,Inflate1,Inflate8),2),4)," ")</f>
        <v xml:space="preserve"> </v>
      </c>
      <c r="J18" s="264" t="str">
        <f>IF(A18&lt;&gt;" ",ROUND(VLOOKUP(B18,CHOOSE(Sheet1!D$233,Inflate7,Inflate2,Inflate3,Inflate4,Inflate5,Inflate6,Inflate1,Inflate8),3),4)," ")</f>
        <v xml:space="preserve"> </v>
      </c>
      <c r="K18" s="265" t="str">
        <f>IF(AND(A18&lt;&gt;" ",Sheet1!D$192=1,Sheet1!D$194=1),ROUND((F18/I18)*J18,Sheet1!D$75),IF(AND(A18&lt;&gt;" ",Sheet1!D$194=1),ROUND((E18/I18)*J18,Sheet1!D$75)," "))</f>
        <v xml:space="preserve"> </v>
      </c>
      <c r="L18" s="254" t="str">
        <f>IF(Sheet1!D$192=1,IF(AND(AA18&gt;AJ$61,AA17&lt;=AJ$61),"&lt;-Payback"," ")," ")</f>
        <v xml:space="preserve"> </v>
      </c>
      <c r="M18" s="271" t="str">
        <f>IF(OR(Sheet1!D$192=1,Sheet1!D$194=1),IF(OR((A17&gt;=(Sheet1!D$148+$A$11)-1),AND(Sheet1!D$8=3,A17&gt;=6))," ",A17+1),NA())</f>
        <v xml:space="preserve"> </v>
      </c>
      <c r="N18" s="271" t="str">
        <f>IF(OR(Sheet1!D$192=1,Sheet1!D$194=1),IF(OR((B17&gt;=(Sheet1!D$148+$B$11)-1),AND(Sheet1!D$8=3,A17&gt;=6))," ",B17+1),NA())</f>
        <v xml:space="preserve"> </v>
      </c>
      <c r="O18" s="266" t="e">
        <f>IF(OR(Sheet1!D$192=1,Sheet1!D$194=1),IF(NOT(Sheet1!D$192=1),0,IF(ROUND(VLOOKUP(A18,StatusQuo!A$19:M$68,13),Sheet1!D$75)-ROUND(VLOOKUP(A18,AlternativeB!A$110:M$159,13),Sheet1!D$75)&gt;0,1,0))," ")</f>
        <v>#VALUE!</v>
      </c>
      <c r="P18" s="263" t="str">
        <f>IF(AND(A18&lt;&gt;" ",Sheet1!D$192=1,Sheet1!D$194=1),IF(AND(OR(Sheet1!D$8=2,Sheet1!D$22=3),O18&gt;10),0,ROUND(VLOOKUP(A18,StatusQuo!A$19:M$68,13),Sheet1!D$75)),IF(NOT(Sheet1!D$192=1),"not feasible",IF(A18=" "," ", "Savings is  n/a=&gt;")))</f>
        <v xml:space="preserve"> </v>
      </c>
      <c r="Q18" s="263" t="str">
        <f>IF(AND(A18&lt;&gt;" ",Sheet1!D$192=1,Sheet1!D$194=1),IF(AND(OR(Sheet1!D$8=2,Sheet1!D$22=3),O18&gt;10),0,ROUND(VLOOKUP(A18,AlternativeB!A$110:M$159,13),Sheet1!D$75)),IF(NOT(Sheet1!D$194=1),"not feasible",IF(A18=" "," ","&lt;== Savings is n/a")))</f>
        <v>not feasible</v>
      </c>
      <c r="R18" s="263" t="str">
        <f>IF(AND(A18&lt;&gt;" ",Sheet1!D$192=1,Sheet1!D$194=1),IF(G$81&lt;&gt;" ","???????",P18-Q18)," ")</f>
        <v xml:space="preserve"> </v>
      </c>
      <c r="S18" s="263" t="str">
        <f>IF(AND(A18&lt;&gt;" ",Sheet1!D$192=1,Sheet1!D$194=1),ROUND(R18*G18,Sheet1!D$75)," ")</f>
        <v xml:space="preserve"> </v>
      </c>
      <c r="T18" s="263" t="str">
        <f>IF(AND(A18&lt;&gt;" ",Sheet1!D$192=1,Sheet1!D$194=1),ROUND((R18/I18)*J18,Sheet1!D$75)," ")</f>
        <v xml:space="preserve"> </v>
      </c>
      <c r="U18" s="265">
        <f>SUM(T$11:T18)</f>
        <v>0</v>
      </c>
      <c r="V18" s="254" t="str">
        <f t="shared" si="0"/>
        <v xml:space="preserve"> </v>
      </c>
      <c r="W18" s="268">
        <f t="shared" si="1"/>
        <v>8</v>
      </c>
      <c r="X18" s="171" t="str">
        <f t="shared" si="2"/>
        <v xml:space="preserve"> </v>
      </c>
      <c r="AA18" s="265">
        <f>SUM(K$11:K18)</f>
        <v>0</v>
      </c>
      <c r="AB18" s="271" t="str">
        <f>IF(OR(Sheet1!D$192=1,Sheet1!D$194=1),IF(OR((AB17&gt;=(Sheet1!D$148+$A$11)-1),AND(Sheet1!D$8=3,AB17&gt;=6))," ",AB17+1),NA())</f>
        <v xml:space="preserve"> </v>
      </c>
      <c r="AC18" s="271" t="str">
        <f>IF(OR(Sheet1!D$192=1,Sheet1!D$194=1),IF(OR((AC17&gt;=(Sheet1!D$148+$B$11)-1),AND(Sheet1!D$8=3,AB17&gt;=6))," ",AC17+1),NA())</f>
        <v xml:space="preserve"> </v>
      </c>
      <c r="AD18" s="262"/>
      <c r="AE18" s="263" t="str">
        <f>IF(AND(Sheet1!D$194=1,AB18&lt;&gt;" "),ROUND(VLOOKUP(AB18,AlternativeB!A$17:M$66,12),Sheet1!D$75),IF(Sheet1!D$194=1," ","Alt  'B'  not feasible"))</f>
        <v>Alt  'B'  not feasible</v>
      </c>
      <c r="AF18" s="264" t="str">
        <f>IF(AB18&lt;=Sheet1!D$148, (1/((1+$AF$10)^(AB18-0.5)))," ")</f>
        <v xml:space="preserve"> </v>
      </c>
      <c r="AG18" s="263" t="str">
        <f>IF(AND(Sheet1!D$194=1,AB18&lt;&gt;" "),ROUND(+AE18*AF18,Sheet1!D$75)," ")</f>
        <v xml:space="preserve"> </v>
      </c>
      <c r="AH18" s="264" t="str">
        <f>IF(AB18&lt;&gt;" ",ROUND(VLOOKUP(Sheet1!E$82,CHOOSE(Sheet1!D$213,Inflate1,Inflate2,Inflate3,Inflate4,Inflate5,Inflate6,Inflate7,Inflate8),2),4)," ")</f>
        <v xml:space="preserve"> </v>
      </c>
      <c r="AI18" s="264" t="str">
        <f>IF(AB18&lt;&gt;" ",ROUND(VLOOKUP(AC18,CHOOSE(Sheet1!D$213,Inflate1,Inflate2,Inflate3,Inflate4,Inflate5,Inflate6,Inflate7,Inflate8),3),4)," ")</f>
        <v xml:space="preserve"> </v>
      </c>
      <c r="AJ18" s="263" t="b">
        <f>IF(AND(Sheet1!D$194=1,AB18&lt;&gt;" "),IF(AND(O18&lt;=10,OR(Sheet1!D$8=2,Sheet1!D$8=3,Sheet1!D$22=3)),ROUND((AE18/AH18)*AI18,Sheet1!D$75),IF(AND(Sheet1!D$8&lt;&gt;2,Sheet1!D$8&lt;&gt;3,Sheet1!D$22&lt;&gt;3),ROUND((AE18/AH18)*AI18,Sheet1!D$75)," ")))</f>
        <v>0</v>
      </c>
    </row>
    <row r="19" spans="1:36" ht="11.4" x14ac:dyDescent="0.2">
      <c r="A19" s="271" t="str">
        <f>IF(OR(Sheet1!D$192=1,Sheet1!D$194=1),IF(OR((A18&gt;=(Sheet1!D$148+$A$11)-1),AND(Sheet1!D$8=3,A18&gt;=6))," ",A18+1),NA())</f>
        <v xml:space="preserve"> </v>
      </c>
      <c r="B19" s="271" t="str">
        <f>IF(OR(Sheet1!D$192=1,Sheet1!D$194=1),IF(OR((B18&gt;=(Sheet1!D$148+$B$11)-1),AND(Sheet1!D$8=3,A18&gt;=6))," ",B18+1),NA())</f>
        <v xml:space="preserve"> </v>
      </c>
      <c r="C19" s="262"/>
      <c r="D19" s="263" t="str">
        <f>IF(AND(Sheet1!D$192=1,A19&lt;&gt;" "),ROUND(VLOOKUP(A19,StatusQuo!A$19:M$68,12),Sheet1!D$75),IF(Sheet1!D$192=1," ","SQ not feasible "))</f>
        <v xml:space="preserve"> </v>
      </c>
      <c r="E19" s="263" t="str">
        <f>IF(AND(Sheet1!D$194=1,A19&lt;&gt;" "),ROUND(VLOOKUP(A19,AlternativeB!A$110:M$159,12),Sheet1!D$75),IF(Sheet1!D$194=1," ","Alt  'B'  not feasible"))</f>
        <v>Alt  'B'  not feasible</v>
      </c>
      <c r="F19" s="263" t="str">
        <f>IF(AND(A19&lt;&gt;" ",Sheet1!D$192=1,Sheet1!D$194=1),D19-E19,IF(AND(Sheet1!D$194=1,A19&lt;&gt;" ")," "," "))</f>
        <v xml:space="preserve"> </v>
      </c>
      <c r="G19" s="264" t="str">
        <f>IF(A19&lt;=Sheet1!D$148, (1/((1+$G$10)^(A19-0.5)))," ")</f>
        <v xml:space="preserve"> </v>
      </c>
      <c r="H19" s="263" t="str">
        <f>IF(AND(A19&lt;&gt;" ",Sheet1!D$192=1,Sheet1!D$194=1),ROUND(F19*G19,Sheet1!D$75),IF(AND(A19&lt;&gt;" ",Sheet1!D$194=1),ROUND(E19*G19,Sheet1!D$75)," "))</f>
        <v xml:space="preserve"> </v>
      </c>
      <c r="I19" s="264" t="str">
        <f>IF(A19&lt;&gt;" ",ROUND(VLOOKUP(Sheet1!E$82,CHOOSE(Sheet1!D$233,Inflate7,Inflate2,Inflate3,Inflate4,Inflate5,Inflate6,Inflate1,Inflate8),2),4)," ")</f>
        <v xml:space="preserve"> </v>
      </c>
      <c r="J19" s="264" t="str">
        <f>IF(A19&lt;&gt;" ",ROUND(VLOOKUP(B19,CHOOSE(Sheet1!D$233,Inflate7,Inflate2,Inflate3,Inflate4,Inflate5,Inflate6,Inflate1,Inflate8),3),4)," ")</f>
        <v xml:space="preserve"> </v>
      </c>
      <c r="K19" s="265" t="str">
        <f>IF(AND(A19&lt;&gt;" ",Sheet1!D$192=1,Sheet1!D$194=1),ROUND((F19/I19)*J19,Sheet1!D$75),IF(AND(A19&lt;&gt;" ",Sheet1!D$194=1),ROUND((E19/I19)*J19,Sheet1!D$75)," "))</f>
        <v xml:space="preserve"> </v>
      </c>
      <c r="L19" s="254" t="str">
        <f>IF(Sheet1!D$192=1,IF(AND(AA19&gt;AJ$61,AA18&lt;=AJ$61),"&lt;-Payback"," ")," ")</f>
        <v xml:space="preserve"> </v>
      </c>
      <c r="M19" s="271" t="str">
        <f>IF(OR(Sheet1!D$192=1,Sheet1!D$194=1),IF(OR((A18&gt;=(Sheet1!D$148+$A$11)-1),AND(Sheet1!D$8=3,A18&gt;=6))," ",A18+1),NA())</f>
        <v xml:space="preserve"> </v>
      </c>
      <c r="N19" s="271" t="str">
        <f>IF(OR(Sheet1!D$192=1,Sheet1!D$194=1),IF(OR((B18&gt;=(Sheet1!D$148+$B$11)-1),AND(Sheet1!D$8=3,A18&gt;=6))," ",B18+1),NA())</f>
        <v xml:space="preserve"> </v>
      </c>
      <c r="O19" s="266" t="e">
        <f>IF(OR(Sheet1!D$192=1,Sheet1!D$194=1),IF(NOT(Sheet1!D$192=1),0,IF(ROUND(VLOOKUP(A19,StatusQuo!A$19:M$68,13),Sheet1!D$75)-ROUND(VLOOKUP(A19,AlternativeB!A$110:M$159,13),Sheet1!D$75)&gt;0,1,0))," ")</f>
        <v>#VALUE!</v>
      </c>
      <c r="P19" s="263" t="str">
        <f>IF(AND(A19&lt;&gt;" ",Sheet1!D$192=1,Sheet1!D$194=1),IF(AND(OR(Sheet1!D$8=2,Sheet1!D$22=3),O19&gt;10),0,ROUND(VLOOKUP(A19,StatusQuo!A$19:M$68,13),Sheet1!D$75)),IF(NOT(Sheet1!D$192=1),"not feasible",IF(A19=" "," ", "Savings is  n/a=&gt;")))</f>
        <v xml:space="preserve"> </v>
      </c>
      <c r="Q19" s="263" t="str">
        <f>IF(AND(A19&lt;&gt;" ",Sheet1!D$192=1,Sheet1!D$194=1),IF(AND(OR(Sheet1!D$8=2,Sheet1!D$22=3),O19&gt;10),0,ROUND(VLOOKUP(A19,AlternativeB!A$110:M$159,13),Sheet1!D$75)),IF(NOT(Sheet1!D$194=1),"not feasible",IF(A19=" "," ","&lt;== Savings is n/a")))</f>
        <v>not feasible</v>
      </c>
      <c r="R19" s="263" t="str">
        <f>IF(AND(A19&lt;&gt;" ",Sheet1!D$192=1,Sheet1!D$194=1),IF(G$81&lt;&gt;" ","???????",P19-Q19)," ")</f>
        <v xml:space="preserve"> </v>
      </c>
      <c r="S19" s="263" t="str">
        <f>IF(AND(A19&lt;&gt;" ",Sheet1!D$192=1,Sheet1!D$194=1),ROUND(R19*G19,Sheet1!D$75)," ")</f>
        <v xml:space="preserve"> </v>
      </c>
      <c r="T19" s="263" t="str">
        <f>IF(AND(A19&lt;&gt;" ",Sheet1!D$192=1,Sheet1!D$194=1),ROUND((R19/I19)*J19,Sheet1!D$75)," ")</f>
        <v xml:space="preserve"> </v>
      </c>
      <c r="U19" s="265">
        <f>SUM(T$11:T19)</f>
        <v>0</v>
      </c>
      <c r="V19" s="254" t="str">
        <f t="shared" si="0"/>
        <v xml:space="preserve"> </v>
      </c>
      <c r="W19" s="268">
        <f t="shared" si="1"/>
        <v>9</v>
      </c>
      <c r="X19" s="171" t="str">
        <f t="shared" si="2"/>
        <v xml:space="preserve"> </v>
      </c>
      <c r="Z19" s="260"/>
      <c r="AA19" s="265">
        <f>SUM(K$11:K19)</f>
        <v>0</v>
      </c>
      <c r="AB19" s="271" t="str">
        <f>IF(OR(Sheet1!D$192=1,Sheet1!D$194=1),IF(OR((AB18&gt;=(Sheet1!D$148+$A$11)-1),AND(Sheet1!D$8=3,AB18&gt;=6))," ",AB18+1),NA())</f>
        <v xml:space="preserve"> </v>
      </c>
      <c r="AC19" s="271" t="str">
        <f>IF(OR(Sheet1!D$192=1,Sheet1!D$194=1),IF(OR((AC18&gt;=(Sheet1!D$148+$B$11)-1),AND(Sheet1!D$8=3,AB18&gt;=6))," ",AC18+1),NA())</f>
        <v xml:space="preserve"> </v>
      </c>
      <c r="AD19" s="262"/>
      <c r="AE19" s="263" t="str">
        <f>IF(AND(Sheet1!D$194=1,AB19&lt;&gt;" "),ROUND(VLOOKUP(AB19,AlternativeB!A$17:M$66,12),Sheet1!D$75),IF(Sheet1!D$194=1," ","Alt  'B'  not feasible"))</f>
        <v>Alt  'B'  not feasible</v>
      </c>
      <c r="AF19" s="264" t="str">
        <f>IF(AB19&lt;=Sheet1!D$148, (1/((1+$AF$10)^(AB19-0.5)))," ")</f>
        <v xml:space="preserve"> </v>
      </c>
      <c r="AG19" s="263" t="str">
        <f>IF(AND(Sheet1!D$194=1,AB19&lt;&gt;" "),ROUND(+AE19*AF19,Sheet1!D$75)," ")</f>
        <v xml:space="preserve"> </v>
      </c>
      <c r="AH19" s="264" t="str">
        <f>IF(AB19&lt;&gt;" ",ROUND(VLOOKUP(Sheet1!E$82,CHOOSE(Sheet1!D$213,Inflate1,Inflate2,Inflate3,Inflate4,Inflate5,Inflate6,Inflate7,Inflate8),2),4)," ")</f>
        <v xml:space="preserve"> </v>
      </c>
      <c r="AI19" s="264" t="str">
        <f>IF(AB19&lt;&gt;" ",ROUND(VLOOKUP(AC19,CHOOSE(Sheet1!D$213,Inflate1,Inflate2,Inflate3,Inflate4,Inflate5,Inflate6,Inflate7,Inflate8),3),4)," ")</f>
        <v xml:space="preserve"> </v>
      </c>
      <c r="AJ19" s="263" t="b">
        <f>IF(AND(Sheet1!D$194=1,AB19&lt;&gt;" "),IF(AND(O19&lt;=10,OR(Sheet1!D$8=2,Sheet1!D$8=3,Sheet1!D$22=3)),ROUND((AE19/AH19)*AI19,Sheet1!D$75),IF(AND(Sheet1!D$8&lt;&gt;2,Sheet1!D$8&lt;&gt;3,Sheet1!D$22&lt;&gt;3),ROUND((AE19/AH19)*AI19,Sheet1!D$75)," ")))</f>
        <v>0</v>
      </c>
    </row>
    <row r="20" spans="1:36" ht="11.4" x14ac:dyDescent="0.2">
      <c r="A20" s="271" t="str">
        <f>IF(OR(Sheet1!D$192=1,Sheet1!D$194=1),IF(OR((A19&gt;=(Sheet1!D$148+$A$11)-1),AND(Sheet1!D$8=3,A19&gt;=6))," ",A19+1),NA())</f>
        <v xml:space="preserve"> </v>
      </c>
      <c r="B20" s="271" t="str">
        <f>IF(OR(Sheet1!D$192=1,Sheet1!D$194=1),IF(OR((B19&gt;=(Sheet1!D$148+$B$11)-1),AND(Sheet1!D$8=3,A19&gt;=6))," ",B19+1),NA())</f>
        <v xml:space="preserve"> </v>
      </c>
      <c r="C20" s="262"/>
      <c r="D20" s="263" t="str">
        <f>IF(AND(Sheet1!D$192=1,A20&lt;&gt;" "),ROUND(VLOOKUP(A20,StatusQuo!A$19:M$68,12),Sheet1!D$75),IF(Sheet1!D$192=1," ","SQ not feasible "))</f>
        <v xml:space="preserve"> </v>
      </c>
      <c r="E20" s="263" t="str">
        <f>IF(AND(Sheet1!D$194=1,A20&lt;&gt;" "),ROUND(VLOOKUP(A20,AlternativeB!A$110:M$159,12),Sheet1!D$75),IF(Sheet1!D$194=1," ","Alt  'B'  not feasible"))</f>
        <v>Alt  'B'  not feasible</v>
      </c>
      <c r="F20" s="263" t="str">
        <f>IF(AND(A20&lt;&gt;" ",Sheet1!D$192=1,Sheet1!D$194=1),D20-E20,IF(AND(Sheet1!D$194=1,A20&lt;&gt;" ")," "," "))</f>
        <v xml:space="preserve"> </v>
      </c>
      <c r="G20" s="264" t="str">
        <f>IF(A20&lt;=Sheet1!D$148, (1/((1+$G$10)^(A20-0.5)))," ")</f>
        <v xml:space="preserve"> </v>
      </c>
      <c r="H20" s="263" t="str">
        <f>IF(AND(A20&lt;&gt;" ",Sheet1!D$192=1,Sheet1!D$194=1),ROUND(F20*G20,Sheet1!D$75),IF(AND(A20&lt;&gt;" ",Sheet1!D$194=1),ROUND(E20*G20,Sheet1!D$75)," "))</f>
        <v xml:space="preserve"> </v>
      </c>
      <c r="I20" s="264" t="str">
        <f>IF(A20&lt;&gt;" ",ROUND(VLOOKUP(Sheet1!E$82,CHOOSE(Sheet1!D$233,Inflate7,Inflate2,Inflate3,Inflate4,Inflate5,Inflate6,Inflate1,Inflate8),2),4)," ")</f>
        <v xml:space="preserve"> </v>
      </c>
      <c r="J20" s="264" t="str">
        <f>IF(A20&lt;&gt;" ",ROUND(VLOOKUP(B20,CHOOSE(Sheet1!D$233,Inflate7,Inflate2,Inflate3,Inflate4,Inflate5,Inflate6,Inflate1,Inflate8),3),4)," ")</f>
        <v xml:space="preserve"> </v>
      </c>
      <c r="K20" s="265" t="str">
        <f>IF(AND(A20&lt;&gt;" ",Sheet1!D$192=1,Sheet1!D$194=1),ROUND((F20/I20)*J20,Sheet1!D$75),IF(AND(A20&lt;&gt;" ",Sheet1!D$194=1),ROUND((E20/I20)*J20,Sheet1!D$75)," "))</f>
        <v xml:space="preserve"> </v>
      </c>
      <c r="L20" s="254" t="str">
        <f>IF(Sheet1!D$192=1,IF(AND(AA20&gt;AJ$61,AA19&lt;=AJ$61),"&lt;-Payback"," ")," ")</f>
        <v xml:space="preserve"> </v>
      </c>
      <c r="M20" s="271" t="str">
        <f>IF(OR(Sheet1!D$192=1,Sheet1!D$194=1),IF(OR((A19&gt;=(Sheet1!D$148+$A$11)-1),AND(Sheet1!D$8=3,A19&gt;=6))," ",A19+1),NA())</f>
        <v xml:space="preserve"> </v>
      </c>
      <c r="N20" s="271" t="str">
        <f>IF(OR(Sheet1!D$192=1,Sheet1!D$194=1),IF(OR((B19&gt;=(Sheet1!D$148+$B$11)-1),AND(Sheet1!D$8=3,A19&gt;=6))," ",B19+1),NA())</f>
        <v xml:space="preserve"> </v>
      </c>
      <c r="O20" s="266" t="e">
        <f>IF(OR(Sheet1!D$192=1,Sheet1!D$194=1),IF(NOT(Sheet1!D$192=1),0,IF(ROUND(VLOOKUP(A20,StatusQuo!A$19:M$68,13),Sheet1!D$75)-ROUND(VLOOKUP(A20,AlternativeB!A$110:M$159,13),Sheet1!D$75)&gt;0,1,0))," ")</f>
        <v>#VALUE!</v>
      </c>
      <c r="P20" s="263" t="str">
        <f>IF(AND(A20&lt;&gt;" ",Sheet1!D$192=1,Sheet1!D$194=1),IF(AND(OR(Sheet1!D$8=2,Sheet1!D$22=3),O20&gt;10),0,ROUND(VLOOKUP(A20,StatusQuo!A$19:M$68,13),Sheet1!D$75)),IF(NOT(Sheet1!D$192=1),"not feasible",IF(A20=" "," ", "Savings is  n/a=&gt;")))</f>
        <v xml:space="preserve"> </v>
      </c>
      <c r="Q20" s="263" t="str">
        <f>IF(AND(A20&lt;&gt;" ",Sheet1!D$192=1,Sheet1!D$194=1),IF(AND(OR(Sheet1!D$8=2,Sheet1!D$22=3),O20&gt;10),0,ROUND(VLOOKUP(A20,AlternativeB!A$110:M$159,13),Sheet1!D$75)),IF(NOT(Sheet1!D$194=1),"not feasible",IF(A20=" "," ","&lt;== Savings is n/a")))</f>
        <v>not feasible</v>
      </c>
      <c r="R20" s="263" t="str">
        <f>IF(AND(A20&lt;&gt;" ",Sheet1!D$192=1,Sheet1!D$194=1),IF(G$81&lt;&gt;" ","???????",P20-Q20)," ")</f>
        <v xml:space="preserve"> </v>
      </c>
      <c r="S20" s="263" t="str">
        <f>IF(AND(A20&lt;&gt;" ",Sheet1!D$192=1,Sheet1!D$194=1),ROUND(R20*G20,Sheet1!D$75)," ")</f>
        <v xml:space="preserve"> </v>
      </c>
      <c r="T20" s="263" t="str">
        <f>IF(AND(A20&lt;&gt;" ",Sheet1!D$192=1,Sheet1!D$194=1),ROUND((R20/I20)*J20,Sheet1!D$75)," ")</f>
        <v xml:space="preserve"> </v>
      </c>
      <c r="U20" s="265">
        <f>SUM(T$11:T20)</f>
        <v>0</v>
      </c>
      <c r="V20" s="254" t="str">
        <f t="shared" si="0"/>
        <v xml:space="preserve"> </v>
      </c>
      <c r="W20" s="268">
        <f t="shared" si="1"/>
        <v>10</v>
      </c>
      <c r="X20" s="171" t="str">
        <f t="shared" si="2"/>
        <v xml:space="preserve"> </v>
      </c>
      <c r="AA20" s="265">
        <f>SUM(K$11:K20)</f>
        <v>0</v>
      </c>
      <c r="AB20" s="271" t="str">
        <f>IF(OR(Sheet1!D$192=1,Sheet1!D$194=1),IF(OR((AB19&gt;=(Sheet1!D$148+$A$11)-1),AND(Sheet1!D$8=3,AB19&gt;=6))," ",AB19+1),NA())</f>
        <v xml:space="preserve"> </v>
      </c>
      <c r="AC20" s="271" t="str">
        <f>IF(OR(Sheet1!D$192=1,Sheet1!D$194=1),IF(OR((AC19&gt;=(Sheet1!D$148+$B$11)-1),AND(Sheet1!D$8=3,AB19&gt;=6))," ",AC19+1),NA())</f>
        <v xml:space="preserve"> </v>
      </c>
      <c r="AD20" s="262"/>
      <c r="AE20" s="263" t="str">
        <f>IF(AND(Sheet1!D$194=1,AB20&lt;&gt;" "),ROUND(VLOOKUP(AB20,AlternativeB!A$17:M$66,12),Sheet1!D$75),IF(Sheet1!D$194=1," ","Alt  'B'  not feasible"))</f>
        <v>Alt  'B'  not feasible</v>
      </c>
      <c r="AF20" s="264" t="str">
        <f>IF(AB20&lt;=Sheet1!D$148, (1/((1+$AF$10)^(AB20-0.5)))," ")</f>
        <v xml:space="preserve"> </v>
      </c>
      <c r="AG20" s="263" t="str">
        <f>IF(AND(Sheet1!D$194=1,AB20&lt;&gt;" "),ROUND(+AE20*AF20,Sheet1!D$75)," ")</f>
        <v xml:space="preserve"> </v>
      </c>
      <c r="AH20" s="264" t="str">
        <f>IF(AB20&lt;&gt;" ",ROUND(VLOOKUP(Sheet1!E$82,CHOOSE(Sheet1!D$213,Inflate1,Inflate2,Inflate3,Inflate4,Inflate5,Inflate6,Inflate7,Inflate8),2),4)," ")</f>
        <v xml:space="preserve"> </v>
      </c>
      <c r="AI20" s="264" t="str">
        <f>IF(AB20&lt;&gt;" ",ROUND(VLOOKUP(AC20,CHOOSE(Sheet1!D$213,Inflate1,Inflate2,Inflate3,Inflate4,Inflate5,Inflate6,Inflate7,Inflate8),3),4)," ")</f>
        <v xml:space="preserve"> </v>
      </c>
      <c r="AJ20" s="263" t="b">
        <f>IF(AND(Sheet1!D$194=1,AB20&lt;&gt;" "),IF(AND(O20&lt;=10,OR(Sheet1!D$8=2,Sheet1!D$8=3,Sheet1!D$22=3)),ROUND((AE20/AH20)*AI20,Sheet1!D$75),IF(AND(Sheet1!D$8&lt;&gt;2,Sheet1!D$8&lt;&gt;3,Sheet1!D$22&lt;&gt;3),ROUND((AE20/AH20)*AI20,Sheet1!D$75)," ")))</f>
        <v>0</v>
      </c>
    </row>
    <row r="21" spans="1:36" ht="11.4" x14ac:dyDescent="0.2">
      <c r="A21" s="271" t="str">
        <f>IF(OR(Sheet1!D$192=1,Sheet1!D$194=1),IF(OR((A20&gt;=(Sheet1!D$148+$A$11)-1),AND(Sheet1!D$8=3,A20&gt;=6))," ",A20+1),NA())</f>
        <v xml:space="preserve"> </v>
      </c>
      <c r="B21" s="271" t="str">
        <f>IF(OR(Sheet1!D$192=1,Sheet1!D$194=1),IF(OR((B20&gt;=(Sheet1!D$148+$B$11)-1),AND(Sheet1!D$8=3,A20&gt;=6))," ",B20+1),NA())</f>
        <v xml:space="preserve"> </v>
      </c>
      <c r="C21" s="262"/>
      <c r="D21" s="263" t="str">
        <f>IF(AND(Sheet1!D$192=1,A21&lt;&gt;" "),ROUND(VLOOKUP(A21,StatusQuo!A$19:M$68,12),Sheet1!D$75),IF(Sheet1!D$192=1," ","SQ not feasible "))</f>
        <v xml:space="preserve"> </v>
      </c>
      <c r="E21" s="263" t="str">
        <f>IF(AND(Sheet1!D$194=1,A21&lt;&gt;" "),ROUND(VLOOKUP(A21,AlternativeB!A$110:M$159,12),Sheet1!D$75),IF(Sheet1!D$194=1," ","Alt  'B'  not feasible"))</f>
        <v>Alt  'B'  not feasible</v>
      </c>
      <c r="F21" s="263" t="str">
        <f>IF(AND(A21&lt;&gt;" ",Sheet1!D$192=1,Sheet1!D$194=1),D21-E21,IF(AND(Sheet1!D$194=1,A21&lt;&gt;" ")," "," "))</f>
        <v xml:space="preserve"> </v>
      </c>
      <c r="G21" s="264" t="str">
        <f>IF(A21&lt;=Sheet1!D$148, (1/((1+$G$10)^(A21-0.5)))," ")</f>
        <v xml:space="preserve"> </v>
      </c>
      <c r="H21" s="263" t="str">
        <f>IF(AND(A21&lt;&gt;" ",Sheet1!D$192=1,Sheet1!D$194=1),ROUND(F21*G21,Sheet1!D$75),IF(AND(A21&lt;&gt;" ",Sheet1!D$194=1),ROUND(E21*G21,Sheet1!D$75)," "))</f>
        <v xml:space="preserve"> </v>
      </c>
      <c r="I21" s="264" t="str">
        <f>IF(A21&lt;&gt;" ",ROUND(VLOOKUP(Sheet1!E$82,CHOOSE(Sheet1!D$233,Inflate7,Inflate2,Inflate3,Inflate4,Inflate5,Inflate6,Inflate1,Inflate8),2),4)," ")</f>
        <v xml:space="preserve"> </v>
      </c>
      <c r="J21" s="264" t="str">
        <f>IF(A21&lt;&gt;" ",ROUND(VLOOKUP(B21,CHOOSE(Sheet1!D$233,Inflate7,Inflate2,Inflate3,Inflate4,Inflate5,Inflate6,Inflate1,Inflate8),3),4)," ")</f>
        <v xml:space="preserve"> </v>
      </c>
      <c r="K21" s="265" t="str">
        <f>IF(AND(A21&lt;&gt;" ",Sheet1!D$192=1,Sheet1!D$194=1),ROUND((F21/I21)*J21,Sheet1!D$75),IF(AND(A21&lt;&gt;" ",Sheet1!D$194=1),ROUND((E21/I21)*J21,Sheet1!D$75)," "))</f>
        <v xml:space="preserve"> </v>
      </c>
      <c r="L21" s="254" t="str">
        <f>IF(Sheet1!D$192=1,IF(AND(AA21&gt;AJ$61,AA20&lt;=AJ$61),"&lt;-Payback"," ")," ")</f>
        <v xml:space="preserve"> </v>
      </c>
      <c r="M21" s="271" t="str">
        <f>IF(OR(Sheet1!D$192=1,Sheet1!D$194=1),IF(OR((A20&gt;=(Sheet1!D$148+$A$11)-1),AND(Sheet1!D$8=3,A20&gt;=6))," ",A20+1),NA())</f>
        <v xml:space="preserve"> </v>
      </c>
      <c r="N21" s="271" t="str">
        <f>IF(OR(Sheet1!D$192=1,Sheet1!D$194=1),IF(OR((B20&gt;=(Sheet1!D$148+$B$11)-1),AND(Sheet1!D$8=3,A20&gt;=6))," ",B20+1),NA())</f>
        <v xml:space="preserve"> </v>
      </c>
      <c r="O21" s="266" t="e">
        <f>IF(OR(Sheet1!D$192=1,Sheet1!D$194=1),IF(NOT(Sheet1!D$192=1),0,IF(ROUND(VLOOKUP(A21,StatusQuo!A$19:M$68,13),Sheet1!D$75)-ROUND(VLOOKUP(A21,AlternativeB!A$110:M$159,13),Sheet1!D$75)&gt;0,1,0))," ")</f>
        <v>#VALUE!</v>
      </c>
      <c r="P21" s="263" t="str">
        <f>IF(AND(A21&lt;&gt;" ",Sheet1!D$192=1,Sheet1!D$194=1),IF(AND(OR(Sheet1!D$8=2,Sheet1!D$22=3),O21&gt;10),0,ROUND(VLOOKUP(A21,StatusQuo!A$19:M$68,13),Sheet1!D$75)),IF(NOT(Sheet1!D$192=1),"not feasible",IF(A21=" "," ", "Savings is  n/a=&gt;")))</f>
        <v xml:space="preserve"> </v>
      </c>
      <c r="Q21" s="263" t="str">
        <f>IF(AND(A21&lt;&gt;" ",Sheet1!D$192=1,Sheet1!D$194=1),IF(AND(OR(Sheet1!D$8=2,Sheet1!D$22=3),O21&gt;10),0,ROUND(VLOOKUP(A21,AlternativeB!A$110:M$159,13),Sheet1!D$75)),IF(NOT(Sheet1!D$194=1),"not feasible",IF(A21=" "," ","&lt;== Savings is n/a")))</f>
        <v>not feasible</v>
      </c>
      <c r="R21" s="263" t="str">
        <f>IF(AND(A21&lt;&gt;" ",Sheet1!D$192=1,Sheet1!D$194=1),IF(G$81&lt;&gt;" ","???????",P21-Q21)," ")</f>
        <v xml:space="preserve"> </v>
      </c>
      <c r="S21" s="263" t="str">
        <f>IF(AND(A21&lt;&gt;" ",Sheet1!D$192=1,Sheet1!D$194=1),ROUND(R21*G21,Sheet1!D$75)," ")</f>
        <v xml:space="preserve"> </v>
      </c>
      <c r="T21" s="263" t="str">
        <f>IF(AND(A21&lt;&gt;" ",Sheet1!D$192=1,Sheet1!D$194=1),ROUND((R21/I21)*J21,Sheet1!D$75)," ")</f>
        <v xml:space="preserve"> </v>
      </c>
      <c r="U21" s="265">
        <f>SUM(T$11:T21)</f>
        <v>0</v>
      </c>
      <c r="V21" s="254" t="str">
        <f t="shared" si="0"/>
        <v xml:space="preserve"> </v>
      </c>
      <c r="W21" s="268">
        <f t="shared" si="1"/>
        <v>11</v>
      </c>
      <c r="X21" s="171" t="str">
        <f t="shared" si="2"/>
        <v xml:space="preserve"> </v>
      </c>
      <c r="AA21" s="265">
        <f>SUM(K$11:K21)</f>
        <v>0</v>
      </c>
      <c r="AB21" s="271" t="str">
        <f>IF(OR(Sheet1!D$192=1,Sheet1!D$194=1),IF(OR((AB20&gt;=(Sheet1!D$148+$A$11)-1),AND(Sheet1!D$8=3,AB20&gt;=6))," ",AB20+1),NA())</f>
        <v xml:space="preserve"> </v>
      </c>
      <c r="AC21" s="271" t="str">
        <f>IF(OR(Sheet1!D$192=1,Sheet1!D$194=1),IF(OR((AC20&gt;=(Sheet1!D$148+$B$11)-1),AND(Sheet1!D$8=3,AB20&gt;=6))," ",AC20+1),NA())</f>
        <v xml:space="preserve"> </v>
      </c>
      <c r="AD21" s="262"/>
      <c r="AE21" s="263" t="str">
        <f>IF(AND(Sheet1!D$194=1,AB21&lt;&gt;" "),ROUND(VLOOKUP(AB21,AlternativeB!A$17:M$66,12),Sheet1!D$75),IF(Sheet1!D$194=1," ","Alt  'B'  not feasible"))</f>
        <v>Alt  'B'  not feasible</v>
      </c>
      <c r="AF21" s="264" t="str">
        <f>IF(AB21&lt;=Sheet1!D$148, (1/((1+$AF$10)^(AB21-0.5)))," ")</f>
        <v xml:space="preserve"> </v>
      </c>
      <c r="AG21" s="263" t="str">
        <f>IF(AND(Sheet1!D$194=1,AB21&lt;&gt;" "),ROUND(+AE21*AF21,Sheet1!D$75)," ")</f>
        <v xml:space="preserve"> </v>
      </c>
      <c r="AH21" s="264" t="str">
        <f>IF(AB21&lt;&gt;" ",ROUND(VLOOKUP(Sheet1!E$82,CHOOSE(Sheet1!D$213,Inflate1,Inflate2,Inflate3,Inflate4,Inflate5,Inflate6,Inflate7,Inflate8),2),4)," ")</f>
        <v xml:space="preserve"> </v>
      </c>
      <c r="AI21" s="264" t="str">
        <f>IF(AB21&lt;&gt;" ",ROUND(VLOOKUP(AC21,CHOOSE(Sheet1!D$213,Inflate1,Inflate2,Inflate3,Inflate4,Inflate5,Inflate6,Inflate7,Inflate8),3),4)," ")</f>
        <v xml:space="preserve"> </v>
      </c>
      <c r="AJ21" s="263" t="b">
        <f>IF(AND(Sheet1!D$194=1,AB21&lt;&gt;" "),IF(AND(O21&lt;=10,OR(Sheet1!D$8=2,Sheet1!D$8=3,Sheet1!D$22=3)),ROUND((AE21/AH21)*AI21,Sheet1!D$75),IF(AND(Sheet1!D$8&lt;&gt;2,Sheet1!D$8&lt;&gt;3,Sheet1!D$22&lt;&gt;3),ROUND((AE21/AH21)*AI21,Sheet1!D$75)," ")))</f>
        <v>0</v>
      </c>
    </row>
    <row r="22" spans="1:36" ht="11.4" x14ac:dyDescent="0.2">
      <c r="A22" s="271" t="str">
        <f>IF(OR(Sheet1!D$192=1,Sheet1!D$194=1),IF(OR((A21&gt;=(Sheet1!D$148+$A$11)-1),AND(Sheet1!D$8=3,A21&gt;=6))," ",A21+1),NA())</f>
        <v xml:space="preserve"> </v>
      </c>
      <c r="B22" s="271" t="str">
        <f>IF(OR(Sheet1!D$192=1,Sheet1!D$194=1),IF(OR((B21&gt;=(Sheet1!D$148+$B$11)-1),AND(Sheet1!D$8=3,A21&gt;=6))," ",B21+1),NA())</f>
        <v xml:space="preserve"> </v>
      </c>
      <c r="C22" s="262"/>
      <c r="D22" s="263" t="str">
        <f>IF(AND(Sheet1!D$192=1,A22&lt;&gt;" "),ROUND(VLOOKUP(A22,StatusQuo!A$19:M$68,12),Sheet1!D$75),IF(Sheet1!D$192=1," ","SQ not feasible "))</f>
        <v xml:space="preserve"> </v>
      </c>
      <c r="E22" s="263" t="str">
        <f>IF(AND(Sheet1!D$194=1,A22&lt;&gt;" "),ROUND(VLOOKUP(A22,AlternativeB!A$110:M$159,12),Sheet1!D$75),IF(Sheet1!D$194=1," ","Alt  'B'  not feasible"))</f>
        <v>Alt  'B'  not feasible</v>
      </c>
      <c r="F22" s="263" t="str">
        <f>IF(AND(A22&lt;&gt;" ",Sheet1!D$192=1,Sheet1!D$194=1),D22-E22,IF(AND(Sheet1!D$194=1,A22&lt;&gt;" ")," "," "))</f>
        <v xml:space="preserve"> </v>
      </c>
      <c r="G22" s="264" t="str">
        <f>IF(A22&lt;=Sheet1!D$148, (1/((1+$G$10)^(A22-0.5)))," ")</f>
        <v xml:space="preserve"> </v>
      </c>
      <c r="H22" s="263" t="str">
        <f>IF(AND(A22&lt;&gt;" ",Sheet1!D$192=1,Sheet1!D$194=1),ROUND(F22*G22,Sheet1!D$75),IF(AND(A22&lt;&gt;" ",Sheet1!D$194=1),ROUND(E22*G22,Sheet1!D$75)," "))</f>
        <v xml:space="preserve"> </v>
      </c>
      <c r="I22" s="264" t="str">
        <f>IF(A22&lt;&gt;" ",ROUND(VLOOKUP(Sheet1!E$82,CHOOSE(Sheet1!D$233,Inflate7,Inflate2,Inflate3,Inflate4,Inflate5,Inflate6,Inflate1,Inflate8),2),4)," ")</f>
        <v xml:space="preserve"> </v>
      </c>
      <c r="J22" s="264" t="str">
        <f>IF(A22&lt;&gt;" ",ROUND(VLOOKUP(B22,CHOOSE(Sheet1!D$233,Inflate7,Inflate2,Inflate3,Inflate4,Inflate5,Inflate6,Inflate1,Inflate8),3),4)," ")</f>
        <v xml:space="preserve"> </v>
      </c>
      <c r="K22" s="265" t="str">
        <f>IF(AND(A22&lt;&gt;" ",Sheet1!D$192=1,Sheet1!D$194=1),ROUND((F22/I22)*J22,Sheet1!D$75),IF(AND(A22&lt;&gt;" ",Sheet1!D$194=1),ROUND((E22/I22)*J22,Sheet1!D$75)," "))</f>
        <v xml:space="preserve"> </v>
      </c>
      <c r="L22" s="254" t="str">
        <f>IF(Sheet1!D$192=1,IF(AND(AA22&gt;AJ$61,AA21&lt;=AJ$61),"&lt;-Payback"," ")," ")</f>
        <v xml:space="preserve"> </v>
      </c>
      <c r="M22" s="271" t="str">
        <f>IF(OR(Sheet1!D$192=1,Sheet1!D$194=1),IF(OR((A21&gt;=(Sheet1!D$148+$A$11)-1),AND(Sheet1!D$8=3,A21&gt;=6))," ",A21+1),NA())</f>
        <v xml:space="preserve"> </v>
      </c>
      <c r="N22" s="271" t="str">
        <f>IF(OR(Sheet1!D$192=1,Sheet1!D$194=1),IF(OR((B21&gt;=(Sheet1!D$148+$B$11)-1),AND(Sheet1!D$8=3,A21&gt;=6))," ",B21+1),NA())</f>
        <v xml:space="preserve"> </v>
      </c>
      <c r="O22" s="266" t="e">
        <f>IF(OR(Sheet1!D$192=1,Sheet1!D$194=1),IF(NOT(Sheet1!D$192=1),0,IF(ROUND(VLOOKUP(A22,StatusQuo!A$19:M$68,13),Sheet1!D$75)-ROUND(VLOOKUP(A22,AlternativeB!A$110:M$159,13),Sheet1!D$75)&gt;0,1,0))," ")</f>
        <v>#VALUE!</v>
      </c>
      <c r="P22" s="263" t="str">
        <f>IF(AND(A22&lt;&gt;" ",Sheet1!D$192=1,Sheet1!D$194=1),IF(AND(OR(Sheet1!D$8=2,Sheet1!D$22=3),O22&gt;10),0,ROUND(VLOOKUP(A22,StatusQuo!A$19:M$68,13),Sheet1!D$75)),IF(NOT(Sheet1!D$192=1),"not feasible",IF(A22=" "," ", "Savings is  n/a=&gt;")))</f>
        <v xml:space="preserve"> </v>
      </c>
      <c r="Q22" s="263" t="str">
        <f>IF(AND(A22&lt;&gt;" ",Sheet1!D$192=1,Sheet1!D$194=1),IF(AND(OR(Sheet1!D$8=2,Sheet1!D$22=3),O22&gt;10),0,ROUND(VLOOKUP(A22,AlternativeB!A$110:M$159,13),Sheet1!D$75)),IF(NOT(Sheet1!D$194=1),"not feasible",IF(A22=" "," ","&lt;== Savings is n/a")))</f>
        <v>not feasible</v>
      </c>
      <c r="R22" s="263" t="str">
        <f>IF(AND(A22&lt;&gt;" ",Sheet1!D$192=1,Sheet1!D$194=1),IF(G$81&lt;&gt;" ","???????",P22-Q22)," ")</f>
        <v xml:space="preserve"> </v>
      </c>
      <c r="S22" s="263" t="str">
        <f>IF(AND(A22&lt;&gt;" ",Sheet1!D$192=1,Sheet1!D$194=1),ROUND(R22*G22,Sheet1!D$75)," ")</f>
        <v xml:space="preserve"> </v>
      </c>
      <c r="T22" s="263" t="str">
        <f>IF(AND(A22&lt;&gt;" ",Sheet1!D$192=1,Sheet1!D$194=1),ROUND((R22/I22)*J22,Sheet1!D$75)," ")</f>
        <v xml:space="preserve"> </v>
      </c>
      <c r="U22" s="265">
        <f>SUM(T$11:T22)</f>
        <v>0</v>
      </c>
      <c r="V22" s="254" t="str">
        <f t="shared" si="0"/>
        <v xml:space="preserve"> </v>
      </c>
      <c r="W22" s="268">
        <f t="shared" si="1"/>
        <v>12</v>
      </c>
      <c r="X22" s="171" t="str">
        <f t="shared" si="2"/>
        <v xml:space="preserve"> </v>
      </c>
      <c r="AA22" s="265">
        <f>SUM(K$11:K22)</f>
        <v>0</v>
      </c>
      <c r="AB22" s="271" t="str">
        <f>IF(OR(Sheet1!D$192=1,Sheet1!D$194=1),IF(OR((AB21&gt;=(Sheet1!D$148+$A$11)-1),AND(Sheet1!D$8=3,AB21&gt;=6))," ",AB21+1),NA())</f>
        <v xml:space="preserve"> </v>
      </c>
      <c r="AC22" s="271" t="str">
        <f>IF(OR(Sheet1!D$192=1,Sheet1!D$194=1),IF(OR((AC21&gt;=(Sheet1!D$148+$B$11)-1),AND(Sheet1!D$8=3,AB21&gt;=6))," ",AC21+1),NA())</f>
        <v xml:space="preserve"> </v>
      </c>
      <c r="AD22" s="262"/>
      <c r="AE22" s="263" t="str">
        <f>IF(AND(Sheet1!D$194=1,AB22&lt;&gt;" "),ROUND(VLOOKUP(AB22,AlternativeB!A$17:M$66,12),Sheet1!D$75),IF(Sheet1!D$194=1," ","Alt  'B'  not feasible"))</f>
        <v>Alt  'B'  not feasible</v>
      </c>
      <c r="AF22" s="264" t="str">
        <f>IF(AB22&lt;=Sheet1!D$148, (1/((1+$AF$10)^(AB22-0.5)))," ")</f>
        <v xml:space="preserve"> </v>
      </c>
      <c r="AG22" s="263" t="str">
        <f>IF(AND(Sheet1!D$194=1,AB22&lt;&gt;" "),ROUND(+AE22*AF22,Sheet1!D$75)," ")</f>
        <v xml:space="preserve"> </v>
      </c>
      <c r="AH22" s="264" t="str">
        <f>IF(AB22&lt;&gt;" ",ROUND(VLOOKUP(Sheet1!E$82,CHOOSE(Sheet1!D$213,Inflate1,Inflate2,Inflate3,Inflate4,Inflate5,Inflate6,Inflate7,Inflate8),2),4)," ")</f>
        <v xml:space="preserve"> </v>
      </c>
      <c r="AI22" s="264" t="str">
        <f>IF(AB22&lt;&gt;" ",ROUND(VLOOKUP(AC22,CHOOSE(Sheet1!D$213,Inflate1,Inflate2,Inflate3,Inflate4,Inflate5,Inflate6,Inflate7,Inflate8),3),4)," ")</f>
        <v xml:space="preserve"> </v>
      </c>
      <c r="AJ22" s="263" t="b">
        <f>IF(AND(Sheet1!D$194=1,AB22&lt;&gt;" "),IF(AND(O22&lt;=10,OR(Sheet1!D$8=2,Sheet1!D$8=3,Sheet1!D$22=3)),ROUND((AE22/AH22)*AI22,Sheet1!D$75),IF(AND(Sheet1!D$8&lt;&gt;2,Sheet1!D$8&lt;&gt;3,Sheet1!D$22&lt;&gt;3),ROUND((AE22/AH22)*AI22,Sheet1!D$75)," ")))</f>
        <v>0</v>
      </c>
    </row>
    <row r="23" spans="1:36" ht="11.4" x14ac:dyDescent="0.2">
      <c r="A23" s="271" t="str">
        <f>IF(OR(Sheet1!D$192=1,Sheet1!D$194=1),IF(OR((A22&gt;=(Sheet1!D$148+$A$11)-1),AND(Sheet1!D$8=3,A22&gt;=6))," ",A22+1),NA())</f>
        <v xml:space="preserve"> </v>
      </c>
      <c r="B23" s="271" t="str">
        <f>IF(OR(Sheet1!D$192=1,Sheet1!D$194=1),IF(OR((B22&gt;=(Sheet1!D$148+$B$11)-1),AND(Sheet1!D$8=3,A22&gt;=6))," ",B22+1),NA())</f>
        <v xml:space="preserve"> </v>
      </c>
      <c r="C23" s="262"/>
      <c r="D23" s="263" t="str">
        <f>IF(AND(Sheet1!D$192=1,A23&lt;&gt;" "),ROUND(VLOOKUP(A23,StatusQuo!A$19:M$68,12),Sheet1!D$75),IF(Sheet1!D$192=1," ","SQ not feasible "))</f>
        <v xml:space="preserve"> </v>
      </c>
      <c r="E23" s="263" t="str">
        <f>IF(AND(Sheet1!D$194=1,A23&lt;&gt;" "),ROUND(VLOOKUP(A23,AlternativeB!A$110:M$159,12),Sheet1!D$75),IF(Sheet1!D$194=1," ","Alt  'B'  not feasible"))</f>
        <v>Alt  'B'  not feasible</v>
      </c>
      <c r="F23" s="263" t="str">
        <f>IF(AND(A23&lt;&gt;" ",Sheet1!D$192=1,Sheet1!D$194=1),D23-E23,IF(AND(Sheet1!D$194=1,A23&lt;&gt;" ")," "," "))</f>
        <v xml:space="preserve"> </v>
      </c>
      <c r="G23" s="264" t="str">
        <f>IF(A23&lt;=Sheet1!D$148, (1/((1+$G$10)^(A23-0.5)))," ")</f>
        <v xml:space="preserve"> </v>
      </c>
      <c r="H23" s="263" t="str">
        <f>IF(AND(A23&lt;&gt;" ",Sheet1!D$192=1,Sheet1!D$194=1),ROUND(F23*G23,Sheet1!D$75),IF(AND(A23&lt;&gt;" ",Sheet1!D$194=1),ROUND(E23*G23,Sheet1!D$75)," "))</f>
        <v xml:space="preserve"> </v>
      </c>
      <c r="I23" s="264" t="str">
        <f>IF(A23&lt;&gt;" ",ROUND(VLOOKUP(Sheet1!E$82,CHOOSE(Sheet1!D$233,Inflate7,Inflate2,Inflate3,Inflate4,Inflate5,Inflate6,Inflate1,Inflate8),2),4)," ")</f>
        <v xml:space="preserve"> </v>
      </c>
      <c r="J23" s="264" t="str">
        <f>IF(A23&lt;&gt;" ",ROUND(VLOOKUP(B23,CHOOSE(Sheet1!D$233,Inflate7,Inflate2,Inflate3,Inflate4,Inflate5,Inflate6,Inflate1,Inflate8),3),4)," ")</f>
        <v xml:space="preserve"> </v>
      </c>
      <c r="K23" s="265" t="str">
        <f>IF(AND(A23&lt;&gt;" ",Sheet1!D$192=1,Sheet1!D$194=1),ROUND((F23/I23)*J23,Sheet1!D$75),IF(AND(A23&lt;&gt;" ",Sheet1!D$194=1),ROUND((E23/I23)*J23,Sheet1!D$75)," "))</f>
        <v xml:space="preserve"> </v>
      </c>
      <c r="L23" s="254" t="str">
        <f>IF(Sheet1!D$192=1,IF(AND(AA23&gt;AJ$61,AA22&lt;=AJ$61),"&lt;-Payback"," ")," ")</f>
        <v xml:space="preserve"> </v>
      </c>
      <c r="M23" s="271" t="str">
        <f>IF(OR(Sheet1!D$192=1,Sheet1!D$194=1),IF(OR((A22&gt;=(Sheet1!D$148+$A$11)-1),AND(Sheet1!D$8=3,A22&gt;=6))," ",A22+1),NA())</f>
        <v xml:space="preserve"> </v>
      </c>
      <c r="N23" s="271" t="str">
        <f>IF(OR(Sheet1!D$192=1,Sheet1!D$194=1),IF(OR((B22&gt;=(Sheet1!D$148+$B$11)-1),AND(Sheet1!D$8=3,A22&gt;=6))," ",B22+1),NA())</f>
        <v xml:space="preserve"> </v>
      </c>
      <c r="O23" s="266" t="e">
        <f>IF(OR(Sheet1!D$192=1,Sheet1!D$194=1),IF(NOT(Sheet1!D$192=1),0,IF(ROUND(VLOOKUP(A23,StatusQuo!A$19:M$68,13),Sheet1!D$75)-ROUND(VLOOKUP(A23,AlternativeB!A$110:M$159,13),Sheet1!D$75)&gt;0,1,0))," ")</f>
        <v>#VALUE!</v>
      </c>
      <c r="P23" s="263" t="str">
        <f>IF(AND(A23&lt;&gt;" ",Sheet1!D$192=1,Sheet1!D$194=1),IF(AND(OR(Sheet1!D$8=2,Sheet1!D$22=3),O23&gt;10),0,ROUND(VLOOKUP(A23,StatusQuo!A$19:M$68,13),Sheet1!D$75)),IF(NOT(Sheet1!D$192=1),"not feasible",IF(A23=" "," ", "Savings is  n/a=&gt;")))</f>
        <v xml:space="preserve"> </v>
      </c>
      <c r="Q23" s="263" t="str">
        <f>IF(AND(A23&lt;&gt;" ",Sheet1!D$192=1,Sheet1!D$194=1),IF(AND(OR(Sheet1!D$8=2,Sheet1!D$22=3),O23&gt;10),0,ROUND(VLOOKUP(A23,AlternativeB!A$110:M$159,13),Sheet1!D$75)),IF(NOT(Sheet1!D$194=1),"not feasible",IF(A23=" "," ","&lt;== Savings is n/a")))</f>
        <v>not feasible</v>
      </c>
      <c r="R23" s="263" t="str">
        <f>IF(AND(A23&lt;&gt;" ",Sheet1!D$192=1,Sheet1!D$194=1),IF(G$81&lt;&gt;" ","???????",P23-Q23)," ")</f>
        <v xml:space="preserve"> </v>
      </c>
      <c r="S23" s="263" t="str">
        <f>IF(AND(A23&lt;&gt;" ",Sheet1!D$192=1,Sheet1!D$194=1),ROUND(R23*G23,Sheet1!D$75)," ")</f>
        <v xml:space="preserve"> </v>
      </c>
      <c r="T23" s="263" t="str">
        <f>IF(AND(A23&lt;&gt;" ",Sheet1!D$192=1,Sheet1!D$194=1),ROUND((R23/I23)*J23,Sheet1!D$75)," ")</f>
        <v xml:space="preserve"> </v>
      </c>
      <c r="U23" s="265">
        <f>SUM(T$11:T23)</f>
        <v>0</v>
      </c>
      <c r="V23" s="254" t="str">
        <f t="shared" si="0"/>
        <v xml:space="preserve"> </v>
      </c>
      <c r="W23" s="268">
        <f t="shared" si="1"/>
        <v>13</v>
      </c>
      <c r="X23" s="171" t="str">
        <f t="shared" si="2"/>
        <v xml:space="preserve"> </v>
      </c>
      <c r="AA23" s="265">
        <f>SUM(K$11:K23)</f>
        <v>0</v>
      </c>
      <c r="AB23" s="271" t="str">
        <f>IF(OR(Sheet1!D$192=1,Sheet1!D$194=1),IF(OR((AB22&gt;=(Sheet1!D$148+$A$11)-1),AND(Sheet1!D$8=3,AB22&gt;=6))," ",AB22+1),NA())</f>
        <v xml:space="preserve"> </v>
      </c>
      <c r="AC23" s="271" t="str">
        <f>IF(OR(Sheet1!D$192=1,Sheet1!D$194=1),IF(OR((AC22&gt;=(Sheet1!D$148+$B$11)-1),AND(Sheet1!D$8=3,AB22&gt;=6))," ",AC22+1),NA())</f>
        <v xml:space="preserve"> </v>
      </c>
      <c r="AD23" s="262"/>
      <c r="AE23" s="263" t="str">
        <f>IF(AND(Sheet1!D$194=1,AB23&lt;&gt;" "),ROUND(VLOOKUP(AB23,AlternativeB!A$17:M$66,12),Sheet1!D$75),IF(Sheet1!D$194=1," ","Alt  'B'  not feasible"))</f>
        <v>Alt  'B'  not feasible</v>
      </c>
      <c r="AF23" s="264" t="str">
        <f>IF(AB23&lt;=Sheet1!D$148, (1/((1+$AF$10)^(AB23-0.5)))," ")</f>
        <v xml:space="preserve"> </v>
      </c>
      <c r="AG23" s="263" t="str">
        <f>IF(AND(Sheet1!D$194=1,AB23&lt;&gt;" "),ROUND(+AE23*AF23,Sheet1!D$75)," ")</f>
        <v xml:space="preserve"> </v>
      </c>
      <c r="AH23" s="264" t="str">
        <f>IF(AB23&lt;&gt;" ",ROUND(VLOOKUP(Sheet1!E$82,CHOOSE(Sheet1!D$213,Inflate1,Inflate2,Inflate3,Inflate4,Inflate5,Inflate6,Inflate7,Inflate8),2),4)," ")</f>
        <v xml:space="preserve"> </v>
      </c>
      <c r="AI23" s="264" t="str">
        <f>IF(AB23&lt;&gt;" ",ROUND(VLOOKUP(AC23,CHOOSE(Sheet1!D$213,Inflate1,Inflate2,Inflate3,Inflate4,Inflate5,Inflate6,Inflate7,Inflate8),3),4)," ")</f>
        <v xml:space="preserve"> </v>
      </c>
      <c r="AJ23" s="263" t="b">
        <f>IF(AND(Sheet1!D$194=1,AB23&lt;&gt;" "),IF(AND(O23&lt;=10,OR(Sheet1!D$8=2,Sheet1!D$8=3,Sheet1!D$22=3)),ROUND((AE23/AH23)*AI23,Sheet1!D$75),IF(AND(Sheet1!D$8&lt;&gt;2,Sheet1!D$8&lt;&gt;3,Sheet1!D$22&lt;&gt;3),ROUND((AE23/AH23)*AI23,Sheet1!D$75)," ")))</f>
        <v>0</v>
      </c>
    </row>
    <row r="24" spans="1:36" ht="11.4" x14ac:dyDescent="0.2">
      <c r="A24" s="271" t="str">
        <f>IF(OR(Sheet1!D$192=1,Sheet1!D$194=1),IF(OR((A23&gt;=(Sheet1!D$148+$A$11)-1),AND(Sheet1!D$8=3,A23&gt;=6))," ",A23+1),NA())</f>
        <v xml:space="preserve"> </v>
      </c>
      <c r="B24" s="271" t="str">
        <f>IF(OR(Sheet1!D$192=1,Sheet1!D$194=1),IF(OR((B23&gt;=(Sheet1!D$148+$B$11)-1),AND(Sheet1!D$8=3,A23&gt;=6))," ",B23+1),NA())</f>
        <v xml:space="preserve"> </v>
      </c>
      <c r="C24" s="262"/>
      <c r="D24" s="263" t="str">
        <f>IF(AND(Sheet1!D$192=1,A24&lt;&gt;" "),ROUND(VLOOKUP(A24,StatusQuo!A$19:M$68,12),Sheet1!D$75),IF(Sheet1!D$192=1," ","SQ not feasible "))</f>
        <v xml:space="preserve"> </v>
      </c>
      <c r="E24" s="263" t="str">
        <f>IF(AND(Sheet1!D$194=1,A24&lt;&gt;" "),ROUND(VLOOKUP(A24,AlternativeB!A$110:M$159,12),Sheet1!D$75),IF(Sheet1!D$194=1," ","Alt  'B'  not feasible"))</f>
        <v>Alt  'B'  not feasible</v>
      </c>
      <c r="F24" s="263" t="str">
        <f>IF(AND(A24&lt;&gt;" ",Sheet1!D$192=1,Sheet1!D$194=1),D24-E24,IF(AND(Sheet1!D$194=1,A24&lt;&gt;" ")," "," "))</f>
        <v xml:space="preserve"> </v>
      </c>
      <c r="G24" s="264" t="str">
        <f>IF(A24&lt;=Sheet1!D$148, (1/((1+$G$10)^(A24-0.5)))," ")</f>
        <v xml:space="preserve"> </v>
      </c>
      <c r="H24" s="263" t="str">
        <f>IF(AND(A24&lt;&gt;" ",Sheet1!D$192=1,Sheet1!D$194=1),ROUND(F24*G24,Sheet1!D$75),IF(AND(A24&lt;&gt;" ",Sheet1!D$194=1),ROUND(E24*G24,Sheet1!D$75)," "))</f>
        <v xml:space="preserve"> </v>
      </c>
      <c r="I24" s="264" t="str">
        <f>IF(A24&lt;&gt;" ",ROUND(VLOOKUP(Sheet1!E$82,CHOOSE(Sheet1!D$233,Inflate7,Inflate2,Inflate3,Inflate4,Inflate5,Inflate6,Inflate1,Inflate8),2),4)," ")</f>
        <v xml:space="preserve"> </v>
      </c>
      <c r="J24" s="264" t="str">
        <f>IF(A24&lt;&gt;" ",ROUND(VLOOKUP(B24,CHOOSE(Sheet1!D$233,Inflate7,Inflate2,Inflate3,Inflate4,Inflate5,Inflate6,Inflate1,Inflate8),3),4)," ")</f>
        <v xml:space="preserve"> </v>
      </c>
      <c r="K24" s="265" t="str">
        <f>IF(AND(A24&lt;&gt;" ",Sheet1!D$192=1,Sheet1!D$194=1),ROUND((F24/I24)*J24,Sheet1!D$75),IF(AND(A24&lt;&gt;" ",Sheet1!D$194=1),ROUND((E24/I24)*J24,Sheet1!D$75)," "))</f>
        <v xml:space="preserve"> </v>
      </c>
      <c r="L24" s="254" t="str">
        <f>IF(Sheet1!D$192=1,IF(AND(AA24&gt;AJ$61,AA23&lt;=AJ$61),"&lt;-Payback"," ")," ")</f>
        <v xml:space="preserve"> </v>
      </c>
      <c r="M24" s="271" t="str">
        <f>IF(OR(Sheet1!D$192=1,Sheet1!D$194=1),IF(OR((A23&gt;=(Sheet1!D$148+$A$11)-1),AND(Sheet1!D$8=3,A23&gt;=6))," ",A23+1),NA())</f>
        <v xml:space="preserve"> </v>
      </c>
      <c r="N24" s="271" t="str">
        <f>IF(OR(Sheet1!D$192=1,Sheet1!D$194=1),IF(OR((B23&gt;=(Sheet1!D$148+$B$11)-1),AND(Sheet1!D$8=3,A23&gt;=6))," ",B23+1),NA())</f>
        <v xml:space="preserve"> </v>
      </c>
      <c r="O24" s="266" t="e">
        <f>IF(OR(Sheet1!D$192=1,Sheet1!D$194=1),IF(NOT(Sheet1!D$192=1),0,IF(ROUND(VLOOKUP(A24,StatusQuo!A$19:M$68,13),Sheet1!D$75)-ROUND(VLOOKUP(A24,AlternativeB!A$110:M$159,13),Sheet1!D$75)&gt;0,1,0))," ")</f>
        <v>#VALUE!</v>
      </c>
      <c r="P24" s="263" t="str">
        <f>IF(AND(A24&lt;&gt;" ",Sheet1!D$192=1,Sheet1!D$194=1),IF(AND(OR(Sheet1!D$8=2,Sheet1!D$22=3),O24&gt;10),0,ROUND(VLOOKUP(A24,StatusQuo!A$19:M$68,13),Sheet1!D$75)),IF(NOT(Sheet1!D$192=1),"not feasible",IF(A24=" "," ", "Savings is  n/a=&gt;")))</f>
        <v xml:space="preserve"> </v>
      </c>
      <c r="Q24" s="263" t="str">
        <f>IF(AND(A24&lt;&gt;" ",Sheet1!D$192=1,Sheet1!D$194=1),IF(AND(OR(Sheet1!D$8=2,Sheet1!D$22=3),O24&gt;10),0,ROUND(VLOOKUP(A24,AlternativeB!A$110:M$159,13),Sheet1!D$75)),IF(NOT(Sheet1!D$194=1),"not feasible",IF(A24=" "," ","&lt;== Savings is n/a")))</f>
        <v>not feasible</v>
      </c>
      <c r="R24" s="263" t="str">
        <f>IF(AND(A24&lt;&gt;" ",Sheet1!D$192=1,Sheet1!D$194=1),IF(G$81&lt;&gt;" ","???????",P24-Q24)," ")</f>
        <v xml:space="preserve"> </v>
      </c>
      <c r="S24" s="263" t="str">
        <f>IF(AND(A24&lt;&gt;" ",Sheet1!D$192=1,Sheet1!D$194=1),ROUND(R24*G24,Sheet1!D$75)," ")</f>
        <v xml:space="preserve"> </v>
      </c>
      <c r="T24" s="263" t="str">
        <f>IF(AND(A24&lt;&gt;" ",Sheet1!D$192=1,Sheet1!D$194=1),ROUND((R24/I24)*J24,Sheet1!D$75)," ")</f>
        <v xml:space="preserve"> </v>
      </c>
      <c r="U24" s="265">
        <f>SUM(T$11:T24)</f>
        <v>0</v>
      </c>
      <c r="V24" s="254" t="str">
        <f t="shared" si="0"/>
        <v xml:space="preserve"> </v>
      </c>
      <c r="W24" s="268">
        <f t="shared" si="1"/>
        <v>14</v>
      </c>
      <c r="X24" s="171" t="str">
        <f t="shared" si="2"/>
        <v xml:space="preserve"> </v>
      </c>
      <c r="AA24" s="265">
        <f>SUM(K$11:K24)</f>
        <v>0</v>
      </c>
      <c r="AB24" s="271" t="str">
        <f>IF(OR(Sheet1!D$192=1,Sheet1!D$194=1),IF(OR((AB23&gt;=(Sheet1!D$148+$A$11)-1),AND(Sheet1!D$8=3,AB23&gt;=6))," ",AB23+1),NA())</f>
        <v xml:space="preserve"> </v>
      </c>
      <c r="AC24" s="271" t="str">
        <f>IF(OR(Sheet1!D$192=1,Sheet1!D$194=1),IF(OR((AC23&gt;=(Sheet1!D$148+$B$11)-1),AND(Sheet1!D$8=3,AB23&gt;=6))," ",AC23+1),NA())</f>
        <v xml:space="preserve"> </v>
      </c>
      <c r="AD24" s="262"/>
      <c r="AE24" s="263" t="str">
        <f>IF(AND(Sheet1!D$194=1,AB24&lt;&gt;" "),ROUND(VLOOKUP(AB24,AlternativeB!A$17:M$66,12),Sheet1!D$75),IF(Sheet1!D$194=1," ","Alt  'B'  not feasible"))</f>
        <v>Alt  'B'  not feasible</v>
      </c>
      <c r="AF24" s="264" t="str">
        <f>IF(AB24&lt;=Sheet1!D$148, (1/((1+$AF$10)^(AB24-0.5)))," ")</f>
        <v xml:space="preserve"> </v>
      </c>
      <c r="AG24" s="263" t="str">
        <f>IF(AND(Sheet1!D$194=1,AB24&lt;&gt;" "),ROUND(+AE24*AF24,Sheet1!D$75)," ")</f>
        <v xml:space="preserve"> </v>
      </c>
      <c r="AH24" s="264" t="str">
        <f>IF(AB24&lt;&gt;" ",ROUND(VLOOKUP(Sheet1!E$82,CHOOSE(Sheet1!D$213,Inflate1,Inflate2,Inflate3,Inflate4,Inflate5,Inflate6,Inflate7,Inflate8),2),4)," ")</f>
        <v xml:space="preserve"> </v>
      </c>
      <c r="AI24" s="264" t="str">
        <f>IF(AB24&lt;&gt;" ",ROUND(VLOOKUP(AC24,CHOOSE(Sheet1!D$213,Inflate1,Inflate2,Inflate3,Inflate4,Inflate5,Inflate6,Inflate7,Inflate8),3),4)," ")</f>
        <v xml:space="preserve"> </v>
      </c>
      <c r="AJ24" s="263" t="b">
        <f>IF(AND(Sheet1!D$194=1,AB24&lt;&gt;" "),IF(AND(O24&lt;=10,OR(Sheet1!D$8=2,Sheet1!D$8=3,Sheet1!D$22=3)),ROUND((AE24/AH24)*AI24,Sheet1!D$75),IF(AND(Sheet1!D$8&lt;&gt;2,Sheet1!D$8&lt;&gt;3,Sheet1!D$22&lt;&gt;3),ROUND((AE24/AH24)*AI24,Sheet1!D$75)," ")))</f>
        <v>0</v>
      </c>
    </row>
    <row r="25" spans="1:36" ht="11.4" x14ac:dyDescent="0.2">
      <c r="A25" s="271" t="str">
        <f>IF(OR(Sheet1!D$192=1,Sheet1!D$194=1),IF(OR((A24&gt;=(Sheet1!D$148+$A$11)-1),AND(Sheet1!D$8=3,A24&gt;=6))," ",A24+1),NA())</f>
        <v xml:space="preserve"> </v>
      </c>
      <c r="B25" s="271" t="str">
        <f>IF(OR(Sheet1!D$192=1,Sheet1!D$194=1),IF(OR((B24&gt;=(Sheet1!D$148+$B$11)-1),AND(Sheet1!D$8=3,A24&gt;=6))," ",B24+1),NA())</f>
        <v xml:space="preserve"> </v>
      </c>
      <c r="C25" s="262"/>
      <c r="D25" s="263" t="str">
        <f>IF(AND(Sheet1!D$192=1,A25&lt;&gt;" "),ROUND(VLOOKUP(A25,StatusQuo!A$19:M$68,12),Sheet1!D$75),IF(Sheet1!D$192=1," ","SQ not feasible "))</f>
        <v xml:space="preserve"> </v>
      </c>
      <c r="E25" s="263" t="str">
        <f>IF(AND(Sheet1!D$194=1,A25&lt;&gt;" "),ROUND(VLOOKUP(A25,AlternativeB!A$110:M$159,12),Sheet1!D$75),IF(Sheet1!D$194=1," ","Alt  'B'  not feasible"))</f>
        <v>Alt  'B'  not feasible</v>
      </c>
      <c r="F25" s="263" t="str">
        <f>IF(AND(A25&lt;&gt;" ",Sheet1!D$192=1,Sheet1!D$194=1),D25-E25,IF(AND(Sheet1!D$194=1,A25&lt;&gt;" ")," "," "))</f>
        <v xml:space="preserve"> </v>
      </c>
      <c r="G25" s="264" t="str">
        <f>IF(A25&lt;=Sheet1!D$148, (1/((1+$G$10)^(A25-0.5)))," ")</f>
        <v xml:space="preserve"> </v>
      </c>
      <c r="H25" s="263" t="str">
        <f>IF(AND(A25&lt;&gt;" ",Sheet1!D$192=1,Sheet1!D$194=1),ROUND(F25*G25,Sheet1!D$75),IF(AND(A25&lt;&gt;" ",Sheet1!D$194=1),ROUND(E25*G25,Sheet1!D$75)," "))</f>
        <v xml:space="preserve"> </v>
      </c>
      <c r="I25" s="264" t="str">
        <f>IF(A25&lt;&gt;" ",ROUND(VLOOKUP(Sheet1!E$82,CHOOSE(Sheet1!D$233,Inflate7,Inflate2,Inflate3,Inflate4,Inflate5,Inflate6,Inflate1,Inflate8),2),4)," ")</f>
        <v xml:space="preserve"> </v>
      </c>
      <c r="J25" s="264" t="str">
        <f>IF(A25&lt;&gt;" ",ROUND(VLOOKUP(B25,CHOOSE(Sheet1!D$233,Inflate7,Inflate2,Inflate3,Inflate4,Inflate5,Inflate6,Inflate1,Inflate8),3),4)," ")</f>
        <v xml:space="preserve"> </v>
      </c>
      <c r="K25" s="265" t="str">
        <f>IF(AND(A25&lt;&gt;" ",Sheet1!D$192=1,Sheet1!D$194=1),ROUND((F25/I25)*J25,Sheet1!D$75),IF(AND(A25&lt;&gt;" ",Sheet1!D$194=1),ROUND((E25/I25)*J25,Sheet1!D$75)," "))</f>
        <v xml:space="preserve"> </v>
      </c>
      <c r="L25" s="254" t="str">
        <f>IF(Sheet1!D$192=1,IF(AND(AA25&gt;AJ$61,AA24&lt;=AJ$61),"&lt;-Payback"," ")," ")</f>
        <v xml:space="preserve"> </v>
      </c>
      <c r="M25" s="271" t="str">
        <f>IF(OR(Sheet1!D$192=1,Sheet1!D$194=1),IF(OR((A24&gt;=(Sheet1!D$148+$A$11)-1),AND(Sheet1!D$8=3,A24&gt;=6))," ",A24+1),NA())</f>
        <v xml:space="preserve"> </v>
      </c>
      <c r="N25" s="271" t="str">
        <f>IF(OR(Sheet1!D$192=1,Sheet1!D$194=1),IF(OR((B24&gt;=(Sheet1!D$148+$B$11)-1),AND(Sheet1!D$8=3,A24&gt;=6))," ",B24+1),NA())</f>
        <v xml:space="preserve"> </v>
      </c>
      <c r="O25" s="266" t="e">
        <f>IF(OR(Sheet1!D$192=1,Sheet1!D$194=1),IF(NOT(Sheet1!D$192=1),0,IF(ROUND(VLOOKUP(A25,StatusQuo!A$19:M$68,13),Sheet1!D$75)-ROUND(VLOOKUP(A25,AlternativeB!A$110:M$159,13),Sheet1!D$75)&gt;0,1,0))," ")</f>
        <v>#VALUE!</v>
      </c>
      <c r="P25" s="263" t="str">
        <f>IF(AND(A25&lt;&gt;" ",Sheet1!D$192=1,Sheet1!D$194=1),IF(AND(OR(Sheet1!D$8=2,Sheet1!D$22=3),O25&gt;10),0,ROUND(VLOOKUP(A25,StatusQuo!A$19:M$68,13),Sheet1!D$75)),IF(NOT(Sheet1!D$192=1),"not feasible",IF(A25=" "," ", "Savings is  n/a=&gt;")))</f>
        <v xml:space="preserve"> </v>
      </c>
      <c r="Q25" s="263" t="str">
        <f>IF(AND(A25&lt;&gt;" ",Sheet1!D$192=1,Sheet1!D$194=1),IF(AND(OR(Sheet1!D$8=2,Sheet1!D$22=3),O25&gt;10),0,ROUND(VLOOKUP(A25,AlternativeB!A$110:M$159,13),Sheet1!D$75)),IF(NOT(Sheet1!D$194=1),"not feasible",IF(A25=" "," ","&lt;== Savings is n/a")))</f>
        <v>not feasible</v>
      </c>
      <c r="R25" s="263" t="str">
        <f>IF(AND(A25&lt;&gt;" ",Sheet1!D$192=1,Sheet1!D$194=1),IF(G$81&lt;&gt;" ","???????",P25-Q25)," ")</f>
        <v xml:space="preserve"> </v>
      </c>
      <c r="S25" s="263" t="str">
        <f>IF(AND(A25&lt;&gt;" ",Sheet1!D$192=1,Sheet1!D$194=1),ROUND(R25*G25,Sheet1!D$75)," ")</f>
        <v xml:space="preserve"> </v>
      </c>
      <c r="T25" s="263" t="str">
        <f>IF(AND(A25&lt;&gt;" ",Sheet1!D$192=1,Sheet1!D$194=1),ROUND((R25/I25)*J25,Sheet1!D$75)," ")</f>
        <v xml:space="preserve"> </v>
      </c>
      <c r="U25" s="265">
        <f>SUM(T$11:T25)</f>
        <v>0</v>
      </c>
      <c r="V25" s="254" t="str">
        <f t="shared" si="0"/>
        <v xml:space="preserve"> </v>
      </c>
      <c r="W25" s="268">
        <f t="shared" si="1"/>
        <v>15</v>
      </c>
      <c r="X25" s="171" t="str">
        <f t="shared" si="2"/>
        <v xml:space="preserve"> </v>
      </c>
      <c r="AA25" s="265">
        <f>SUM(K$11:K25)</f>
        <v>0</v>
      </c>
      <c r="AB25" s="271" t="str">
        <f>IF(OR(Sheet1!D$192=1,Sheet1!D$194=1),IF(OR((AB24&gt;=(Sheet1!D$148+$A$11)-1),AND(Sheet1!D$8=3,AB24&gt;=6))," ",AB24+1),NA())</f>
        <v xml:space="preserve"> </v>
      </c>
      <c r="AC25" s="271" t="str">
        <f>IF(OR(Sheet1!D$192=1,Sheet1!D$194=1),IF(OR((AC24&gt;=(Sheet1!D$148+$B$11)-1),AND(Sheet1!D$8=3,AB24&gt;=6))," ",AC24+1),NA())</f>
        <v xml:space="preserve"> </v>
      </c>
      <c r="AD25" s="262"/>
      <c r="AE25" s="263" t="str">
        <f>IF(AND(Sheet1!D$194=1,AB25&lt;&gt;" "),ROUND(VLOOKUP(AB25,AlternativeB!A$17:M$66,12),Sheet1!D$75),IF(Sheet1!D$194=1," ","Alt  'B'  not feasible"))</f>
        <v>Alt  'B'  not feasible</v>
      </c>
      <c r="AF25" s="264" t="str">
        <f>IF(AB25&lt;=Sheet1!D$148, (1/((1+$AF$10)^(AB25-0.5)))," ")</f>
        <v xml:space="preserve"> </v>
      </c>
      <c r="AG25" s="263" t="str">
        <f>IF(AND(Sheet1!D$194=1,AB25&lt;&gt;" "),ROUND(+AE25*AF25,Sheet1!D$75)," ")</f>
        <v xml:space="preserve"> </v>
      </c>
      <c r="AH25" s="264" t="str">
        <f>IF(AB25&lt;&gt;" ",ROUND(VLOOKUP(Sheet1!E$82,CHOOSE(Sheet1!D$213,Inflate1,Inflate2,Inflate3,Inflate4,Inflate5,Inflate6,Inflate7,Inflate8),2),4)," ")</f>
        <v xml:space="preserve"> </v>
      </c>
      <c r="AI25" s="264" t="str">
        <f>IF(AB25&lt;&gt;" ",ROUND(VLOOKUP(AC25,CHOOSE(Sheet1!D$213,Inflate1,Inflate2,Inflate3,Inflate4,Inflate5,Inflate6,Inflate7,Inflate8),3),4)," ")</f>
        <v xml:space="preserve"> </v>
      </c>
      <c r="AJ25" s="263" t="b">
        <f>IF(AND(Sheet1!D$194=1,AB25&lt;&gt;" "),IF(AND(O25&lt;=10,OR(Sheet1!D$8=2,Sheet1!D$8=3,Sheet1!D$22=3)),ROUND((AE25/AH25)*AI25,Sheet1!D$75),IF(AND(Sheet1!D$8&lt;&gt;2,Sheet1!D$8&lt;&gt;3,Sheet1!D$22&lt;&gt;3),ROUND((AE25/AH25)*AI25,Sheet1!D$75)," ")))</f>
        <v>0</v>
      </c>
    </row>
    <row r="26" spans="1:36" ht="11.4" x14ac:dyDescent="0.2">
      <c r="A26" s="271" t="str">
        <f>IF(OR(Sheet1!D$192=1,Sheet1!D$194=1),IF(OR((A25&gt;=(Sheet1!D$148+$A$11)-1),AND(Sheet1!D$8=3,A25&gt;=6))," ",A25+1),NA())</f>
        <v xml:space="preserve"> </v>
      </c>
      <c r="B26" s="271" t="str">
        <f>IF(OR(Sheet1!D$192=1,Sheet1!D$194=1),IF(OR((B25&gt;=(Sheet1!D$148+$B$11)-1),AND(Sheet1!D$8=3,A25&gt;=6))," ",B25+1),NA())</f>
        <v xml:space="preserve"> </v>
      </c>
      <c r="C26" s="262"/>
      <c r="D26" s="263" t="str">
        <f>IF(AND(Sheet1!D$192=1,A26&lt;&gt;" "),ROUND(VLOOKUP(A26,StatusQuo!A$19:M$68,12),Sheet1!D$75),IF(Sheet1!D$192=1," ","SQ not feasible "))</f>
        <v xml:space="preserve"> </v>
      </c>
      <c r="E26" s="263" t="str">
        <f>IF(AND(Sheet1!D$194=1,A26&lt;&gt;" "),ROUND(VLOOKUP(A26,AlternativeB!A$110:M$159,12),Sheet1!D$75),IF(Sheet1!D$194=1," ","Alt  'B'  not feasible"))</f>
        <v>Alt  'B'  not feasible</v>
      </c>
      <c r="F26" s="263" t="str">
        <f>IF(AND(A26&lt;&gt;" ",Sheet1!D$192=1,Sheet1!D$194=1),D26-E26,IF(AND(Sheet1!D$194=1,A26&lt;&gt;" ")," "," "))</f>
        <v xml:space="preserve"> </v>
      </c>
      <c r="G26" s="264" t="str">
        <f>IF(A26&lt;=Sheet1!D$148, (1/((1+$G$10)^(A26-0.5)))," ")</f>
        <v xml:space="preserve"> </v>
      </c>
      <c r="H26" s="263" t="str">
        <f>IF(AND(A26&lt;&gt;" ",Sheet1!D$192=1,Sheet1!D$194=1),ROUND(F26*G26,Sheet1!D$75),IF(AND(A26&lt;&gt;" ",Sheet1!D$194=1),ROUND(E26*G26,Sheet1!D$75)," "))</f>
        <v xml:space="preserve"> </v>
      </c>
      <c r="I26" s="264" t="str">
        <f>IF(A26&lt;&gt;" ",ROUND(VLOOKUP(Sheet1!E$82,CHOOSE(Sheet1!D$233,Inflate7,Inflate2,Inflate3,Inflate4,Inflate5,Inflate6,Inflate1,Inflate8),2),4)," ")</f>
        <v xml:space="preserve"> </v>
      </c>
      <c r="J26" s="264" t="str">
        <f>IF(A26&lt;&gt;" ",ROUND(VLOOKUP(B26,CHOOSE(Sheet1!D$233,Inflate7,Inflate2,Inflate3,Inflate4,Inflate5,Inflate6,Inflate1,Inflate8),3),4)," ")</f>
        <v xml:space="preserve"> </v>
      </c>
      <c r="K26" s="265" t="str">
        <f>IF(AND(A26&lt;&gt;" ",Sheet1!D$192=1,Sheet1!D$194=1),ROUND((F26/I26)*J26,Sheet1!D$75),IF(AND(A26&lt;&gt;" ",Sheet1!D$194=1),ROUND((E26/I26)*J26,Sheet1!D$75)," "))</f>
        <v xml:space="preserve"> </v>
      </c>
      <c r="L26" s="254" t="str">
        <f>IF(Sheet1!D$192=1,IF(AND(AA26&gt;AJ$61,AA25&lt;=AJ$61),"&lt;-Payback"," ")," ")</f>
        <v xml:space="preserve"> </v>
      </c>
      <c r="M26" s="271" t="str">
        <f>IF(OR(Sheet1!D$192=1,Sheet1!D$194=1),IF(OR((A25&gt;=(Sheet1!D$148+$A$11)-1),AND(Sheet1!D$8=3,A25&gt;=6))," ",A25+1),NA())</f>
        <v xml:space="preserve"> </v>
      </c>
      <c r="N26" s="271" t="str">
        <f>IF(OR(Sheet1!D$192=1,Sheet1!D$194=1),IF(OR((B25&gt;=(Sheet1!D$148+$B$11)-1),AND(Sheet1!D$8=3,A25&gt;=6))," ",B25+1),NA())</f>
        <v xml:space="preserve"> </v>
      </c>
      <c r="O26" s="266" t="e">
        <f>IF(OR(Sheet1!D$192=1,Sheet1!D$194=1),IF(NOT(Sheet1!D$192=1),0,IF(ROUND(VLOOKUP(A26,StatusQuo!A$19:M$68,13),Sheet1!D$75)-ROUND(VLOOKUP(A26,AlternativeB!A$110:M$159,13),Sheet1!D$75)&gt;0,1,0))," ")</f>
        <v>#VALUE!</v>
      </c>
      <c r="P26" s="263" t="str">
        <f>IF(AND(A26&lt;&gt;" ",Sheet1!D$192=1,Sheet1!D$194=1),IF(AND(OR(Sheet1!D$8=2,Sheet1!D$22=3),O26&gt;10),0,ROUND(VLOOKUP(A26,StatusQuo!A$19:M$68,13),Sheet1!D$75)),IF(NOT(Sheet1!D$192=1),"not feasible",IF(A26=" "," ", "Savings is  n/a=&gt;")))</f>
        <v xml:space="preserve"> </v>
      </c>
      <c r="Q26" s="263" t="str">
        <f>IF(AND(A26&lt;&gt;" ",Sheet1!D$192=1,Sheet1!D$194=1),IF(AND(OR(Sheet1!D$8=2,Sheet1!D$22=3),O26&gt;10),0,ROUND(VLOOKUP(A26,AlternativeB!A$110:M$159,13),Sheet1!D$75)),IF(NOT(Sheet1!D$194=1),"not feasible",IF(A26=" "," ","&lt;== Savings is n/a")))</f>
        <v>not feasible</v>
      </c>
      <c r="R26" s="263" t="str">
        <f>IF(AND(A26&lt;&gt;" ",Sheet1!D$192=1,Sheet1!D$194=1),IF(G$81&lt;&gt;" ","???????",P26-Q26)," ")</f>
        <v xml:space="preserve"> </v>
      </c>
      <c r="S26" s="263" t="str">
        <f>IF(AND(A26&lt;&gt;" ",Sheet1!D$192=1,Sheet1!D$194=1),ROUND(R26*G26,Sheet1!D$75)," ")</f>
        <v xml:space="preserve"> </v>
      </c>
      <c r="T26" s="263" t="str">
        <f>IF(AND(A26&lt;&gt;" ",Sheet1!D$192=1,Sheet1!D$194=1),ROUND((R26/I26)*J26,Sheet1!D$75)," ")</f>
        <v xml:space="preserve"> </v>
      </c>
      <c r="U26" s="265">
        <f>SUM(T$11:T26)</f>
        <v>0</v>
      </c>
      <c r="V26" s="254" t="str">
        <f t="shared" si="0"/>
        <v xml:space="preserve"> </v>
      </c>
      <c r="W26" s="268">
        <f t="shared" si="1"/>
        <v>16</v>
      </c>
      <c r="X26" s="171" t="str">
        <f t="shared" si="2"/>
        <v xml:space="preserve"> </v>
      </c>
      <c r="AA26" s="265">
        <f>SUM(K$11:K26)</f>
        <v>0</v>
      </c>
      <c r="AB26" s="271" t="str">
        <f>IF(OR(Sheet1!D$192=1,Sheet1!D$194=1),IF(OR((AB25&gt;=(Sheet1!D$148+$A$11)-1),AND(Sheet1!D$8=3,AB25&gt;=6))," ",AB25+1),NA())</f>
        <v xml:space="preserve"> </v>
      </c>
      <c r="AC26" s="271" t="str">
        <f>IF(OR(Sheet1!D$192=1,Sheet1!D$194=1),IF(OR((AC25&gt;=(Sheet1!D$148+$B$11)-1),AND(Sheet1!D$8=3,AB25&gt;=6))," ",AC25+1),NA())</f>
        <v xml:space="preserve"> </v>
      </c>
      <c r="AD26" s="262"/>
      <c r="AE26" s="263" t="str">
        <f>IF(AND(Sheet1!D$194=1,AB26&lt;&gt;" "),ROUND(VLOOKUP(AB26,AlternativeB!A$17:M$66,12),Sheet1!D$75),IF(Sheet1!D$194=1," ","Alt  'B'  not feasible"))</f>
        <v>Alt  'B'  not feasible</v>
      </c>
      <c r="AF26" s="264" t="str">
        <f>IF(AB26&lt;=Sheet1!D$148, (1/((1+$AF$10)^(AB26-0.5)))," ")</f>
        <v xml:space="preserve"> </v>
      </c>
      <c r="AG26" s="263" t="str">
        <f>IF(AND(Sheet1!D$194=1,AB26&lt;&gt;" "),ROUND(+AE26*AF26,Sheet1!D$75)," ")</f>
        <v xml:space="preserve"> </v>
      </c>
      <c r="AH26" s="264" t="str">
        <f>IF(AB26&lt;&gt;" ",ROUND(VLOOKUP(Sheet1!E$82,CHOOSE(Sheet1!D$213,Inflate1,Inflate2,Inflate3,Inflate4,Inflate5,Inflate6,Inflate7,Inflate8),2),4)," ")</f>
        <v xml:space="preserve"> </v>
      </c>
      <c r="AI26" s="264" t="str">
        <f>IF(AB26&lt;&gt;" ",ROUND(VLOOKUP(AC26,CHOOSE(Sheet1!D$213,Inflate1,Inflate2,Inflate3,Inflate4,Inflate5,Inflate6,Inflate7,Inflate8),3),4)," ")</f>
        <v xml:space="preserve"> </v>
      </c>
      <c r="AJ26" s="263" t="b">
        <f>IF(AND(Sheet1!D$194=1,AB26&lt;&gt;" "),IF(AND(O26&lt;=10,OR(Sheet1!D$8=2,Sheet1!D$8=3,Sheet1!D$22=3)),ROUND((AE26/AH26)*AI26,Sheet1!D$75),IF(AND(Sheet1!D$8&lt;&gt;2,Sheet1!D$8&lt;&gt;3,Sheet1!D$22&lt;&gt;3),ROUND((AE26/AH26)*AI26,Sheet1!D$75)," ")))</f>
        <v>0</v>
      </c>
    </row>
    <row r="27" spans="1:36" ht="11.4" x14ac:dyDescent="0.2">
      <c r="A27" s="271" t="str">
        <f>IF(OR(Sheet1!D$192=1,Sheet1!D$194=1),IF(OR((A26&gt;=(Sheet1!D$148+$A$11)-1),AND(Sheet1!D$8=3,A26&gt;=6))," ",A26+1),NA())</f>
        <v xml:space="preserve"> </v>
      </c>
      <c r="B27" s="271" t="str">
        <f>IF(OR(Sheet1!D$192=1,Sheet1!D$194=1),IF(OR((B26&gt;=(Sheet1!D$148+$B$11)-1),AND(Sheet1!D$8=3,A26&gt;=6))," ",B26+1),NA())</f>
        <v xml:space="preserve"> </v>
      </c>
      <c r="C27" s="262"/>
      <c r="D27" s="263" t="str">
        <f>IF(AND(Sheet1!D$192=1,A27&lt;&gt;" "),ROUND(VLOOKUP(A27,StatusQuo!A$19:M$68,12),Sheet1!D$75),IF(Sheet1!D$192=1," ","SQ not feasible "))</f>
        <v xml:space="preserve"> </v>
      </c>
      <c r="E27" s="263" t="str">
        <f>IF(AND(Sheet1!D$194=1,A27&lt;&gt;" "),ROUND(VLOOKUP(A27,AlternativeB!A$110:M$159,12),Sheet1!D$75),IF(Sheet1!D$194=1," ","Alt  'B'  not feasible"))</f>
        <v>Alt  'B'  not feasible</v>
      </c>
      <c r="F27" s="263" t="str">
        <f>IF(AND(A27&lt;&gt;" ",Sheet1!D$192=1,Sheet1!D$194=1),D27-E27,IF(AND(Sheet1!D$194=1,A27&lt;&gt;" ")," "," "))</f>
        <v xml:space="preserve"> </v>
      </c>
      <c r="G27" s="264" t="str">
        <f>IF(A27&lt;=Sheet1!D$148, (1/((1+$G$10)^(A27-0.5)))," ")</f>
        <v xml:space="preserve"> </v>
      </c>
      <c r="H27" s="263" t="str">
        <f>IF(AND(A27&lt;&gt;" ",Sheet1!D$192=1,Sheet1!D$194=1),ROUND(F27*G27,Sheet1!D$75),IF(AND(A27&lt;&gt;" ",Sheet1!D$194=1),ROUND(E27*G27,Sheet1!D$75)," "))</f>
        <v xml:space="preserve"> </v>
      </c>
      <c r="I27" s="264" t="str">
        <f>IF(A27&lt;&gt;" ",ROUND(VLOOKUP(Sheet1!E$82,CHOOSE(Sheet1!D$233,Inflate7,Inflate2,Inflate3,Inflate4,Inflate5,Inflate6,Inflate1,Inflate8),2),4)," ")</f>
        <v xml:space="preserve"> </v>
      </c>
      <c r="J27" s="264" t="str">
        <f>IF(A27&lt;&gt;" ",ROUND(VLOOKUP(B27,CHOOSE(Sheet1!D$233,Inflate7,Inflate2,Inflate3,Inflate4,Inflate5,Inflate6,Inflate1,Inflate8),3),4)," ")</f>
        <v xml:space="preserve"> </v>
      </c>
      <c r="K27" s="265" t="str">
        <f>IF(AND(A27&lt;&gt;" ",Sheet1!D$192=1,Sheet1!D$194=1),ROUND((F27/I27)*J27,Sheet1!D$75),IF(AND(A27&lt;&gt;" ",Sheet1!D$194=1),ROUND((E27/I27)*J27,Sheet1!D$75)," "))</f>
        <v xml:space="preserve"> </v>
      </c>
      <c r="L27" s="254" t="str">
        <f>IF(Sheet1!D$192=1,IF(AND(AA27&gt;AJ$61,AA26&lt;=AJ$61),"&lt;-Payback"," ")," ")</f>
        <v xml:space="preserve"> </v>
      </c>
      <c r="M27" s="271" t="str">
        <f>IF(OR(Sheet1!D$192=1,Sheet1!D$194=1),IF(OR((A26&gt;=(Sheet1!D$148+$A$11)-1),AND(Sheet1!D$8=3,A26&gt;=6))," ",A26+1),NA())</f>
        <v xml:space="preserve"> </v>
      </c>
      <c r="N27" s="271" t="str">
        <f>IF(OR(Sheet1!D$192=1,Sheet1!D$194=1),IF(OR((B26&gt;=(Sheet1!D$148+$B$11)-1),AND(Sheet1!D$8=3,A26&gt;=6))," ",B26+1),NA())</f>
        <v xml:space="preserve"> </v>
      </c>
      <c r="O27" s="266" t="e">
        <f>IF(OR(Sheet1!D$192=1,Sheet1!D$194=1),IF(NOT(Sheet1!D$192=1),0,IF(ROUND(VLOOKUP(A27,StatusQuo!A$19:M$68,13),Sheet1!D$75)-ROUND(VLOOKUP(A27,AlternativeB!A$110:M$159,13),Sheet1!D$75)&gt;0,1,0))," ")</f>
        <v>#VALUE!</v>
      </c>
      <c r="P27" s="263" t="str">
        <f>IF(AND(A27&lt;&gt;" ",Sheet1!D$192=1,Sheet1!D$194=1),IF(AND(OR(Sheet1!D$8=2,Sheet1!D$22=3),O27&gt;10),0,ROUND(VLOOKUP(A27,StatusQuo!A$19:M$68,13),Sheet1!D$75)),IF(NOT(Sheet1!D$192=1),"not feasible",IF(A27=" "," ", "Savings is  n/a=&gt;")))</f>
        <v xml:space="preserve"> </v>
      </c>
      <c r="Q27" s="263" t="str">
        <f>IF(AND(A27&lt;&gt;" ",Sheet1!D$192=1,Sheet1!D$194=1),IF(AND(OR(Sheet1!D$8=2,Sheet1!D$22=3),O27&gt;10),0,ROUND(VLOOKUP(A27,AlternativeB!A$110:M$159,13),Sheet1!D$75)),IF(NOT(Sheet1!D$194=1),"not feasible",IF(A27=" "," ","&lt;== Savings is n/a")))</f>
        <v>not feasible</v>
      </c>
      <c r="R27" s="263" t="str">
        <f>IF(AND(A27&lt;&gt;" ",Sheet1!D$192=1,Sheet1!D$194=1),IF(G$81&lt;&gt;" ","???????",P27-Q27)," ")</f>
        <v xml:space="preserve"> </v>
      </c>
      <c r="S27" s="263" t="str">
        <f>IF(AND(A27&lt;&gt;" ",Sheet1!D$192=1,Sheet1!D$194=1),ROUND(R27*G27,Sheet1!D$75)," ")</f>
        <v xml:space="preserve"> </v>
      </c>
      <c r="T27" s="263" t="str">
        <f>IF(AND(A27&lt;&gt;" ",Sheet1!D$192=1,Sheet1!D$194=1),ROUND((R27/I27)*J27,Sheet1!D$75)," ")</f>
        <v xml:space="preserve"> </v>
      </c>
      <c r="U27" s="265">
        <f>SUM(T$11:T27)</f>
        <v>0</v>
      </c>
      <c r="V27" s="254" t="str">
        <f t="shared" si="0"/>
        <v xml:space="preserve"> </v>
      </c>
      <c r="W27" s="268">
        <f t="shared" si="1"/>
        <v>17</v>
      </c>
      <c r="X27" s="171" t="str">
        <f t="shared" si="2"/>
        <v xml:space="preserve"> </v>
      </c>
      <c r="AA27" s="265">
        <f>SUM(K$11:K27)</f>
        <v>0</v>
      </c>
      <c r="AB27" s="271" t="str">
        <f>IF(OR(Sheet1!D$192=1,Sheet1!D$194=1),IF(OR((AB26&gt;=(Sheet1!D$148+$A$11)-1),AND(Sheet1!D$8=3,AB26&gt;=6))," ",AB26+1),NA())</f>
        <v xml:space="preserve"> </v>
      </c>
      <c r="AC27" s="271" t="str">
        <f>IF(OR(Sheet1!D$192=1,Sheet1!D$194=1),IF(OR((AC26&gt;=(Sheet1!D$148+$B$11)-1),AND(Sheet1!D$8=3,AB26&gt;=6))," ",AC26+1),NA())</f>
        <v xml:space="preserve"> </v>
      </c>
      <c r="AD27" s="262"/>
      <c r="AE27" s="263" t="str">
        <f>IF(AND(Sheet1!D$194=1,AB27&lt;&gt;" "),ROUND(VLOOKUP(AB27,AlternativeB!A$17:M$66,12),Sheet1!D$75),IF(Sheet1!D$194=1," ","Alt  'B'  not feasible"))</f>
        <v>Alt  'B'  not feasible</v>
      </c>
      <c r="AF27" s="264" t="str">
        <f>IF(AB27&lt;=Sheet1!D$148, (1/((1+$AF$10)^(AB27-0.5)))," ")</f>
        <v xml:space="preserve"> </v>
      </c>
      <c r="AG27" s="263" t="str">
        <f>IF(AND(Sheet1!D$194=1,AB27&lt;&gt;" "),ROUND(+AE27*AF27,Sheet1!D$75)," ")</f>
        <v xml:space="preserve"> </v>
      </c>
      <c r="AH27" s="264" t="str">
        <f>IF(AB27&lt;&gt;" ",ROUND(VLOOKUP(Sheet1!E$82,CHOOSE(Sheet1!D$213,Inflate1,Inflate2,Inflate3,Inflate4,Inflate5,Inflate6,Inflate7,Inflate8),2),4)," ")</f>
        <v xml:space="preserve"> </v>
      </c>
      <c r="AI27" s="264" t="str">
        <f>IF(AB27&lt;&gt;" ",ROUND(VLOOKUP(AC27,CHOOSE(Sheet1!D$213,Inflate1,Inflate2,Inflate3,Inflate4,Inflate5,Inflate6,Inflate7,Inflate8),3),4)," ")</f>
        <v xml:space="preserve"> </v>
      </c>
      <c r="AJ27" s="263" t="b">
        <f>IF(AND(Sheet1!D$194=1,AB27&lt;&gt;" "),IF(AND(O27&lt;=10,OR(Sheet1!D$8=2,Sheet1!D$8=3,Sheet1!D$22=3)),ROUND((AE27/AH27)*AI27,Sheet1!D$75),IF(AND(Sheet1!D$8&lt;&gt;2,Sheet1!D$8&lt;&gt;3,Sheet1!D$22&lt;&gt;3),ROUND((AE27/AH27)*AI27,Sheet1!D$75)," ")))</f>
        <v>0</v>
      </c>
    </row>
    <row r="28" spans="1:36" ht="11.4" x14ac:dyDescent="0.2">
      <c r="A28" s="271" t="str">
        <f>IF(OR(Sheet1!D$192=1,Sheet1!D$194=1),IF(OR((A27&gt;=(Sheet1!D$148+$A$11)-1),AND(Sheet1!D$8=3,A27&gt;=6))," ",A27+1),NA())</f>
        <v xml:space="preserve"> </v>
      </c>
      <c r="B28" s="271" t="str">
        <f>IF(OR(Sheet1!D$192=1,Sheet1!D$194=1),IF(OR((B27&gt;=(Sheet1!D$148+$B$11)-1),AND(Sheet1!D$8=3,A27&gt;=6))," ",B27+1),NA())</f>
        <v xml:space="preserve"> </v>
      </c>
      <c r="C28" s="262"/>
      <c r="D28" s="263" t="str">
        <f>IF(AND(Sheet1!D$192=1,A28&lt;&gt;" "),ROUND(VLOOKUP(A28,StatusQuo!A$19:M$68,12),Sheet1!D$75),IF(Sheet1!D$192=1," ","SQ not feasible "))</f>
        <v xml:space="preserve"> </v>
      </c>
      <c r="E28" s="263" t="str">
        <f>IF(AND(Sheet1!D$194=1,A28&lt;&gt;" "),ROUND(VLOOKUP(A28,AlternativeB!A$110:M$159,12),Sheet1!D$75),IF(Sheet1!D$194=1," ","Alt  'B'  not feasible"))</f>
        <v>Alt  'B'  not feasible</v>
      </c>
      <c r="F28" s="263" t="str">
        <f>IF(AND(A28&lt;&gt;" ",Sheet1!D$192=1,Sheet1!D$194=1),D28-E28,IF(AND(Sheet1!D$194=1,A28&lt;&gt;" ")," "," "))</f>
        <v xml:space="preserve"> </v>
      </c>
      <c r="G28" s="264" t="str">
        <f>IF(A28&lt;=Sheet1!D$148, (1/((1+$G$10)^(A28-0.5)))," ")</f>
        <v xml:space="preserve"> </v>
      </c>
      <c r="H28" s="263" t="str">
        <f>IF(AND(A28&lt;&gt;" ",Sheet1!D$192=1,Sheet1!D$194=1),ROUND(F28*G28,Sheet1!D$75),IF(AND(A28&lt;&gt;" ",Sheet1!D$194=1),ROUND(E28*G28,Sheet1!D$75)," "))</f>
        <v xml:space="preserve"> </v>
      </c>
      <c r="I28" s="264" t="str">
        <f>IF(A28&lt;&gt;" ",ROUND(VLOOKUP(Sheet1!E$82,CHOOSE(Sheet1!D$233,Inflate7,Inflate2,Inflate3,Inflate4,Inflate5,Inflate6,Inflate1,Inflate8),2),4)," ")</f>
        <v xml:space="preserve"> </v>
      </c>
      <c r="J28" s="264" t="str">
        <f>IF(A28&lt;&gt;" ",ROUND(VLOOKUP(B28,CHOOSE(Sheet1!D$233,Inflate7,Inflate2,Inflate3,Inflate4,Inflate5,Inflate6,Inflate1,Inflate8),3),4)," ")</f>
        <v xml:space="preserve"> </v>
      </c>
      <c r="K28" s="265" t="str">
        <f>IF(AND(A28&lt;&gt;" ",Sheet1!D$192=1,Sheet1!D$194=1),ROUND((F28/I28)*J28,Sheet1!D$75),IF(AND(A28&lt;&gt;" ",Sheet1!D$194=1),ROUND((E28/I28)*J28,Sheet1!D$75)," "))</f>
        <v xml:space="preserve"> </v>
      </c>
      <c r="L28" s="254" t="str">
        <f>IF(Sheet1!D$192=1,IF(AND(AA28&gt;AJ$61,AA27&lt;=AJ$61),"&lt;-Payback"," ")," ")</f>
        <v xml:space="preserve"> </v>
      </c>
      <c r="M28" s="271" t="str">
        <f>IF(OR(Sheet1!D$192=1,Sheet1!D$194=1),IF(OR((A27&gt;=(Sheet1!D$148+$A$11)-1),AND(Sheet1!D$8=3,A27&gt;=6))," ",A27+1),NA())</f>
        <v xml:space="preserve"> </v>
      </c>
      <c r="N28" s="271" t="str">
        <f>IF(OR(Sheet1!D$192=1,Sheet1!D$194=1),IF(OR((B27&gt;=(Sheet1!D$148+$B$11)-1),AND(Sheet1!D$8=3,A27&gt;=6))," ",B27+1),NA())</f>
        <v xml:space="preserve"> </v>
      </c>
      <c r="O28" s="266" t="e">
        <f>IF(OR(Sheet1!D$192=1,Sheet1!D$194=1),IF(NOT(Sheet1!D$192=1),0,IF(ROUND(VLOOKUP(A28,StatusQuo!A$19:M$68,13),Sheet1!D$75)-ROUND(VLOOKUP(A28,AlternativeB!A$110:M$159,13),Sheet1!D$75)&gt;0,1,0))," ")</f>
        <v>#VALUE!</v>
      </c>
      <c r="P28" s="263" t="str">
        <f>IF(AND(A28&lt;&gt;" ",Sheet1!D$192=1,Sheet1!D$194=1),IF(AND(OR(Sheet1!D$8=2,Sheet1!D$22=3),O28&gt;10),0,ROUND(VLOOKUP(A28,StatusQuo!A$19:M$68,13),Sheet1!D$75)),IF(NOT(Sheet1!D$192=1),"not feasible",IF(A28=" "," ", "Savings is  n/a=&gt;")))</f>
        <v xml:space="preserve"> </v>
      </c>
      <c r="Q28" s="263" t="str">
        <f>IF(AND(A28&lt;&gt;" ",Sheet1!D$192=1,Sheet1!D$194=1),IF(AND(OR(Sheet1!D$8=2,Sheet1!D$22=3),O28&gt;10),0,ROUND(VLOOKUP(A28,AlternativeB!A$110:M$159,13),Sheet1!D$75)),IF(NOT(Sheet1!D$194=1),"not feasible",IF(A28=" "," ","&lt;== Savings is n/a")))</f>
        <v>not feasible</v>
      </c>
      <c r="R28" s="263" t="str">
        <f>IF(AND(A28&lt;&gt;" ",Sheet1!D$192=1,Sheet1!D$194=1),IF(G$81&lt;&gt;" ","???????",P28-Q28)," ")</f>
        <v xml:space="preserve"> </v>
      </c>
      <c r="S28" s="263" t="str">
        <f>IF(AND(A28&lt;&gt;" ",Sheet1!D$192=1,Sheet1!D$194=1),ROUND(R28*G28,Sheet1!D$75)," ")</f>
        <v xml:space="preserve"> </v>
      </c>
      <c r="T28" s="263" t="str">
        <f>IF(AND(A28&lt;&gt;" ",Sheet1!D$192=1,Sheet1!D$194=1),ROUND((R28/I28)*J28,Sheet1!D$75)," ")</f>
        <v xml:space="preserve"> </v>
      </c>
      <c r="U28" s="265">
        <f>SUM(T$11:T28)</f>
        <v>0</v>
      </c>
      <c r="V28" s="254" t="str">
        <f t="shared" si="0"/>
        <v xml:space="preserve"> </v>
      </c>
      <c r="W28" s="268">
        <f t="shared" si="1"/>
        <v>18</v>
      </c>
      <c r="X28" s="171" t="str">
        <f t="shared" si="2"/>
        <v xml:space="preserve"> </v>
      </c>
      <c r="AA28" s="265">
        <f>SUM(K$11:K28)</f>
        <v>0</v>
      </c>
      <c r="AB28" s="271" t="str">
        <f>IF(OR(Sheet1!D$192=1,Sheet1!D$194=1),IF(OR((AB27&gt;=(Sheet1!D$148+$A$11)-1),AND(Sheet1!D$8=3,AB27&gt;=6))," ",AB27+1),NA())</f>
        <v xml:space="preserve"> </v>
      </c>
      <c r="AC28" s="271" t="str">
        <f>IF(OR(Sheet1!D$192=1,Sheet1!D$194=1),IF(OR((AC27&gt;=(Sheet1!D$148+$B$11)-1),AND(Sheet1!D$8=3,AB27&gt;=6))," ",AC27+1),NA())</f>
        <v xml:space="preserve"> </v>
      </c>
      <c r="AD28" s="262"/>
      <c r="AE28" s="263" t="str">
        <f>IF(AND(Sheet1!D$194=1,AB28&lt;&gt;" "),ROUND(VLOOKUP(AB28,AlternativeB!A$17:M$66,12),Sheet1!D$75),IF(Sheet1!D$194=1," ","Alt  'B'  not feasible"))</f>
        <v>Alt  'B'  not feasible</v>
      </c>
      <c r="AF28" s="264" t="str">
        <f>IF(AB28&lt;=Sheet1!D$148, (1/((1+$AF$10)^(AB28-0.5)))," ")</f>
        <v xml:space="preserve"> </v>
      </c>
      <c r="AG28" s="263" t="str">
        <f>IF(AND(Sheet1!D$194=1,AB28&lt;&gt;" "),ROUND(+AE28*AF28,Sheet1!D$75)," ")</f>
        <v xml:space="preserve"> </v>
      </c>
      <c r="AH28" s="264" t="str">
        <f>IF(AB28&lt;&gt;" ",ROUND(VLOOKUP(Sheet1!E$82,CHOOSE(Sheet1!D$213,Inflate1,Inflate2,Inflate3,Inflate4,Inflate5,Inflate6,Inflate7,Inflate8),2),4)," ")</f>
        <v xml:space="preserve"> </v>
      </c>
      <c r="AI28" s="264" t="str">
        <f>IF(AB28&lt;&gt;" ",ROUND(VLOOKUP(AC28,CHOOSE(Sheet1!D$213,Inflate1,Inflate2,Inflate3,Inflate4,Inflate5,Inflate6,Inflate7,Inflate8),3),4)," ")</f>
        <v xml:space="preserve"> </v>
      </c>
      <c r="AJ28" s="263" t="b">
        <f>IF(AND(Sheet1!D$194=1,AB28&lt;&gt;" "),IF(AND(O28&lt;=10,OR(Sheet1!D$8=2,Sheet1!D$8=3,Sheet1!D$22=3)),ROUND((AE28/AH28)*AI28,Sheet1!D$75),IF(AND(Sheet1!D$8&lt;&gt;2,Sheet1!D$8&lt;&gt;3,Sheet1!D$22&lt;&gt;3),ROUND((AE28/AH28)*AI28,Sheet1!D$75)," ")))</f>
        <v>0</v>
      </c>
    </row>
    <row r="29" spans="1:36" ht="11.4" x14ac:dyDescent="0.2">
      <c r="A29" s="271" t="str">
        <f>IF(OR(Sheet1!D$192=1,Sheet1!D$194=1),IF(OR((A28&gt;=(Sheet1!D$148+$A$11)-1),AND(Sheet1!D$8=3,A28&gt;=6))," ",A28+1),NA())</f>
        <v xml:space="preserve"> </v>
      </c>
      <c r="B29" s="271" t="str">
        <f>IF(OR(Sheet1!D$192=1,Sheet1!D$194=1),IF(OR((B28&gt;=(Sheet1!D$148+$B$11)-1),AND(Sheet1!D$8=3,A28&gt;=6))," ",B28+1),NA())</f>
        <v xml:space="preserve"> </v>
      </c>
      <c r="C29" s="262"/>
      <c r="D29" s="263" t="str">
        <f>IF(AND(Sheet1!D$192=1,A29&lt;&gt;" "),ROUND(VLOOKUP(A29,StatusQuo!A$19:M$68,12),Sheet1!D$75),IF(Sheet1!D$192=1," ","SQ not feasible "))</f>
        <v xml:space="preserve"> </v>
      </c>
      <c r="E29" s="263" t="str">
        <f>IF(AND(Sheet1!D$194=1,A29&lt;&gt;" "),ROUND(VLOOKUP(A29,AlternativeB!A$110:M$159,12),Sheet1!D$75),IF(Sheet1!D$194=1," ","Alt  'B'  not feasible"))</f>
        <v>Alt  'B'  not feasible</v>
      </c>
      <c r="F29" s="263" t="str">
        <f>IF(AND(A29&lt;&gt;" ",Sheet1!D$192=1,Sheet1!D$194=1),D29-E29,IF(AND(Sheet1!D$194=1,A29&lt;&gt;" ")," "," "))</f>
        <v xml:space="preserve"> </v>
      </c>
      <c r="G29" s="264" t="str">
        <f>IF(A29&lt;=Sheet1!D$148, (1/((1+$G$10)^(A29-0.5)))," ")</f>
        <v xml:space="preserve"> </v>
      </c>
      <c r="H29" s="263" t="str">
        <f>IF(AND(A29&lt;&gt;" ",Sheet1!D$192=1,Sheet1!D$194=1),ROUND(F29*G29,Sheet1!D$75),IF(AND(A29&lt;&gt;" ",Sheet1!D$194=1),ROUND(E29*G29,Sheet1!D$75)," "))</f>
        <v xml:space="preserve"> </v>
      </c>
      <c r="I29" s="264" t="str">
        <f>IF(A29&lt;&gt;" ",ROUND(VLOOKUP(Sheet1!E$82,CHOOSE(Sheet1!D$233,Inflate7,Inflate2,Inflate3,Inflate4,Inflate5,Inflate6,Inflate1,Inflate8),2),4)," ")</f>
        <v xml:space="preserve"> </v>
      </c>
      <c r="J29" s="264" t="str">
        <f>IF(A29&lt;&gt;" ",ROUND(VLOOKUP(B29,CHOOSE(Sheet1!D$233,Inflate7,Inflate2,Inflate3,Inflate4,Inflate5,Inflate6,Inflate1,Inflate8),3),4)," ")</f>
        <v xml:space="preserve"> </v>
      </c>
      <c r="K29" s="265" t="str">
        <f>IF(AND(A29&lt;&gt;" ",Sheet1!D$192=1,Sheet1!D$194=1),ROUND((F29/I29)*J29,Sheet1!D$75),IF(AND(A29&lt;&gt;" ",Sheet1!D$194=1),ROUND((E29/I29)*J29,Sheet1!D$75)," "))</f>
        <v xml:space="preserve"> </v>
      </c>
      <c r="L29" s="254" t="str">
        <f>IF(Sheet1!D$192=1,IF(AND(AA29&gt;AJ$61,AA28&lt;=AJ$61),"&lt;-Payback"," ")," ")</f>
        <v xml:space="preserve"> </v>
      </c>
      <c r="M29" s="271" t="str">
        <f>IF(OR(Sheet1!D$192=1,Sheet1!D$194=1),IF(OR((A28&gt;=(Sheet1!D$148+$A$11)-1),AND(Sheet1!D$8=3,A28&gt;=6))," ",A28+1),NA())</f>
        <v xml:space="preserve"> </v>
      </c>
      <c r="N29" s="271" t="str">
        <f>IF(OR(Sheet1!D$192=1,Sheet1!D$194=1),IF(OR((B28&gt;=(Sheet1!D$148+$B$11)-1),AND(Sheet1!D$8=3,A28&gt;=6))," ",B28+1),NA())</f>
        <v xml:space="preserve"> </v>
      </c>
      <c r="O29" s="266" t="e">
        <f>IF(OR(Sheet1!D$192=1,Sheet1!D$194=1),IF(NOT(Sheet1!D$192=1),0,IF(ROUND(VLOOKUP(A29,StatusQuo!A$19:M$68,13),Sheet1!D$75)-ROUND(VLOOKUP(A29,AlternativeB!A$110:M$159,13),Sheet1!D$75)&gt;0,1,0))," ")</f>
        <v>#VALUE!</v>
      </c>
      <c r="P29" s="263" t="str">
        <f>IF(AND(A29&lt;&gt;" ",Sheet1!D$192=1,Sheet1!D$194=1),IF(AND(OR(Sheet1!D$8=2,Sheet1!D$22=3),O29&gt;10),0,ROUND(VLOOKUP(A29,StatusQuo!A$19:M$68,13),Sheet1!D$75)),IF(NOT(Sheet1!D$192=1),"not feasible",IF(A29=" "," ", "Savings is  n/a=&gt;")))</f>
        <v xml:space="preserve"> </v>
      </c>
      <c r="Q29" s="263" t="str">
        <f>IF(AND(A29&lt;&gt;" ",Sheet1!D$192=1,Sheet1!D$194=1),IF(AND(OR(Sheet1!D$8=2,Sheet1!D$22=3),O29&gt;10),0,ROUND(VLOOKUP(A29,AlternativeB!A$110:M$159,13),Sheet1!D$75)),IF(NOT(Sheet1!D$194=1),"not feasible",IF(A29=" "," ","&lt;== Savings is n/a")))</f>
        <v>not feasible</v>
      </c>
      <c r="R29" s="263" t="str">
        <f>IF(AND(A29&lt;&gt;" ",Sheet1!D$192=1,Sheet1!D$194=1),IF(G$81&lt;&gt;" ","???????",P29-Q29)," ")</f>
        <v xml:space="preserve"> </v>
      </c>
      <c r="S29" s="263" t="str">
        <f>IF(AND(A29&lt;&gt;" ",Sheet1!D$192=1,Sheet1!D$194=1),ROUND(R29*G29,Sheet1!D$75)," ")</f>
        <v xml:space="preserve"> </v>
      </c>
      <c r="T29" s="263" t="str">
        <f>IF(AND(A29&lt;&gt;" ",Sheet1!D$192=1,Sheet1!D$194=1),ROUND((R29/I29)*J29,Sheet1!D$75)," ")</f>
        <v xml:space="preserve"> </v>
      </c>
      <c r="U29" s="265">
        <f>SUM(T$11:T29)</f>
        <v>0</v>
      </c>
      <c r="V29" s="254" t="str">
        <f t="shared" si="0"/>
        <v xml:space="preserve"> </v>
      </c>
      <c r="W29" s="268">
        <f t="shared" si="1"/>
        <v>19</v>
      </c>
      <c r="X29" s="171" t="str">
        <f t="shared" si="2"/>
        <v xml:space="preserve"> </v>
      </c>
      <c r="AA29" s="265">
        <f>SUM(K$11:K29)</f>
        <v>0</v>
      </c>
      <c r="AB29" s="271" t="str">
        <f>IF(OR(Sheet1!D$192=1,Sheet1!D$194=1),IF(OR((AB28&gt;=(Sheet1!D$148+$A$11)-1),AND(Sheet1!D$8=3,AB28&gt;=6))," ",AB28+1),NA())</f>
        <v xml:space="preserve"> </v>
      </c>
      <c r="AC29" s="271" t="str">
        <f>IF(OR(Sheet1!D$192=1,Sheet1!D$194=1),IF(OR((AC28&gt;=(Sheet1!D$148+$B$11)-1),AND(Sheet1!D$8=3,AB28&gt;=6))," ",AC28+1),NA())</f>
        <v xml:space="preserve"> </v>
      </c>
      <c r="AD29" s="262"/>
      <c r="AE29" s="263" t="str">
        <f>IF(AND(Sheet1!D$194=1,AB29&lt;&gt;" "),ROUND(VLOOKUP(AB29,AlternativeB!A$17:M$66,12),Sheet1!D$75),IF(Sheet1!D$194=1," ","Alt  'B'  not feasible"))</f>
        <v>Alt  'B'  not feasible</v>
      </c>
      <c r="AF29" s="264" t="str">
        <f>IF(AB29&lt;=Sheet1!D$148, (1/((1+$AF$10)^(AB29-0.5)))," ")</f>
        <v xml:space="preserve"> </v>
      </c>
      <c r="AG29" s="263" t="str">
        <f>IF(AND(Sheet1!D$194=1,AB29&lt;&gt;" "),ROUND(+AE29*AF29,Sheet1!D$75)," ")</f>
        <v xml:space="preserve"> </v>
      </c>
      <c r="AH29" s="264" t="str">
        <f>IF(AB29&lt;&gt;" ",ROUND(VLOOKUP(Sheet1!E$82,CHOOSE(Sheet1!D$213,Inflate1,Inflate2,Inflate3,Inflate4,Inflate5,Inflate6,Inflate7,Inflate8),2),4)," ")</f>
        <v xml:space="preserve"> </v>
      </c>
      <c r="AI29" s="264" t="str">
        <f>IF(AB29&lt;&gt;" ",ROUND(VLOOKUP(AC29,CHOOSE(Sheet1!D$213,Inflate1,Inflate2,Inflate3,Inflate4,Inflate5,Inflate6,Inflate7,Inflate8),3),4)," ")</f>
        <v xml:space="preserve"> </v>
      </c>
      <c r="AJ29" s="263" t="b">
        <f>IF(AND(Sheet1!D$194=1,AB29&lt;&gt;" "),IF(AND(O29&lt;=10,OR(Sheet1!D$8=2,Sheet1!D$8=3,Sheet1!D$22=3)),ROUND((AE29/AH29)*AI29,Sheet1!D$75),IF(AND(Sheet1!D$8&lt;&gt;2,Sheet1!D$8&lt;&gt;3,Sheet1!D$22&lt;&gt;3),ROUND((AE29/AH29)*AI29,Sheet1!D$75)," ")))</f>
        <v>0</v>
      </c>
    </row>
    <row r="30" spans="1:36" ht="11.4" x14ac:dyDescent="0.2">
      <c r="A30" s="271" t="str">
        <f>IF(OR(Sheet1!D$192=1,Sheet1!D$194=1),IF(OR((A29&gt;=(Sheet1!D$148+$A$11)-1),AND(Sheet1!D$8=3,A29&gt;=6))," ",A29+1),NA())</f>
        <v xml:space="preserve"> </v>
      </c>
      <c r="B30" s="271" t="str">
        <f>IF(OR(Sheet1!D$192=1,Sheet1!D$194=1),IF(OR((B29&gt;=(Sheet1!D$148+$B$11)-1),AND(Sheet1!D$8=3,A29&gt;=6))," ",B29+1),NA())</f>
        <v xml:space="preserve"> </v>
      </c>
      <c r="C30" s="262"/>
      <c r="D30" s="263" t="str">
        <f>IF(AND(Sheet1!D$192=1,A30&lt;&gt;" "),ROUND(VLOOKUP(A30,StatusQuo!A$19:M$68,12),Sheet1!D$75),IF(Sheet1!D$192=1," ","SQ not feasible "))</f>
        <v xml:space="preserve"> </v>
      </c>
      <c r="E30" s="263" t="str">
        <f>IF(AND(Sheet1!D$194=1,A30&lt;&gt;" "),ROUND(VLOOKUP(A30,AlternativeB!A$110:M$159,12),Sheet1!D$75),IF(Sheet1!D$194=1," ","Alt  'B'  not feasible"))</f>
        <v>Alt  'B'  not feasible</v>
      </c>
      <c r="F30" s="263" t="str">
        <f>IF(AND(A30&lt;&gt;" ",Sheet1!D$192=1,Sheet1!D$194=1),D30-E30,IF(AND(Sheet1!D$194=1,A30&lt;&gt;" ")," "," "))</f>
        <v xml:space="preserve"> </v>
      </c>
      <c r="G30" s="264" t="str">
        <f>IF(A30&lt;=Sheet1!D$148, (1/((1+$G$10)^(A30-0.5)))," ")</f>
        <v xml:space="preserve"> </v>
      </c>
      <c r="H30" s="263" t="str">
        <f>IF(AND(A30&lt;&gt;" ",Sheet1!D$192=1,Sheet1!D$194=1),ROUND(F30*G30,Sheet1!D$75),IF(AND(A30&lt;&gt;" ",Sheet1!D$194=1),ROUND(E30*G30,Sheet1!D$75)," "))</f>
        <v xml:space="preserve"> </v>
      </c>
      <c r="I30" s="264" t="str">
        <f>IF(A30&lt;&gt;" ",ROUND(VLOOKUP(Sheet1!E$82,CHOOSE(Sheet1!D$233,Inflate7,Inflate2,Inflate3,Inflate4,Inflate5,Inflate6,Inflate1,Inflate8),2),4)," ")</f>
        <v xml:space="preserve"> </v>
      </c>
      <c r="J30" s="264" t="str">
        <f>IF(A30&lt;&gt;" ",ROUND(VLOOKUP(B30,CHOOSE(Sheet1!D$233,Inflate7,Inflate2,Inflate3,Inflate4,Inflate5,Inflate6,Inflate1,Inflate8),3),4)," ")</f>
        <v xml:space="preserve"> </v>
      </c>
      <c r="K30" s="265" t="str">
        <f>IF(AND(A30&lt;&gt;" ",Sheet1!D$192=1,Sheet1!D$194=1),ROUND((F30/I30)*J30,Sheet1!D$75),IF(AND(A30&lt;&gt;" ",Sheet1!D$194=1),ROUND((E30/I30)*J30,Sheet1!D$75)," "))</f>
        <v xml:space="preserve"> </v>
      </c>
      <c r="L30" s="254" t="str">
        <f>IF(Sheet1!D$192=1,IF(AND(AA30&gt;AJ$61,AA29&lt;=AJ$61),"&lt;-Payback"," ")," ")</f>
        <v xml:space="preserve"> </v>
      </c>
      <c r="M30" s="271" t="str">
        <f>IF(OR(Sheet1!D$192=1,Sheet1!D$194=1),IF(OR((A29&gt;=(Sheet1!D$148+$A$11)-1),AND(Sheet1!D$8=3,A29&gt;=6))," ",A29+1),NA())</f>
        <v xml:space="preserve"> </v>
      </c>
      <c r="N30" s="271" t="str">
        <f>IF(OR(Sheet1!D$192=1,Sheet1!D$194=1),IF(OR((B29&gt;=(Sheet1!D$148+$B$11)-1),AND(Sheet1!D$8=3,A29&gt;=6))," ",B29+1),NA())</f>
        <v xml:space="preserve"> </v>
      </c>
      <c r="O30" s="266" t="e">
        <f>IF(OR(Sheet1!D$192=1,Sheet1!D$194=1),IF(NOT(Sheet1!D$192=1),0,IF(ROUND(VLOOKUP(A30,StatusQuo!A$19:M$68,13),Sheet1!D$75)-ROUND(VLOOKUP(A30,AlternativeB!A$110:M$159,13),Sheet1!D$75)&gt;0,1,0))," ")</f>
        <v>#VALUE!</v>
      </c>
      <c r="P30" s="263" t="str">
        <f>IF(AND(A30&lt;&gt;" ",Sheet1!D$192=1,Sheet1!D$194=1),IF(AND(OR(Sheet1!D$8=2,Sheet1!D$22=3),O30&gt;10),0,ROUND(VLOOKUP(A30,StatusQuo!A$19:M$68,13),Sheet1!D$75)),IF(NOT(Sheet1!D$192=1),"not feasible",IF(A30=" "," ", "Savings is  n/a=&gt;")))</f>
        <v xml:space="preserve"> </v>
      </c>
      <c r="Q30" s="263" t="str">
        <f>IF(AND(A30&lt;&gt;" ",Sheet1!D$192=1,Sheet1!D$194=1),IF(AND(OR(Sheet1!D$8=2,Sheet1!D$22=3),O30&gt;10),0,ROUND(VLOOKUP(A30,AlternativeB!A$110:M$159,13),Sheet1!D$75)),IF(NOT(Sheet1!D$194=1),"not feasible",IF(A30=" "," ","&lt;== Savings is n/a")))</f>
        <v>not feasible</v>
      </c>
      <c r="R30" s="263" t="str">
        <f>IF(AND(A30&lt;&gt;" ",Sheet1!D$192=1,Sheet1!D$194=1),IF(G$81&lt;&gt;" ","???????",P30-Q30)," ")</f>
        <v xml:space="preserve"> </v>
      </c>
      <c r="S30" s="263" t="str">
        <f>IF(AND(A30&lt;&gt;" ",Sheet1!D$192=1,Sheet1!D$194=1),ROUND(R30*G30,Sheet1!D$75)," ")</f>
        <v xml:space="preserve"> </v>
      </c>
      <c r="T30" s="263" t="str">
        <f>IF(AND(A30&lt;&gt;" ",Sheet1!D$192=1,Sheet1!D$194=1),ROUND((R30/I30)*J30,Sheet1!D$75)," ")</f>
        <v xml:space="preserve"> </v>
      </c>
      <c r="U30" s="265">
        <f>SUM(T$11:T30)</f>
        <v>0</v>
      </c>
      <c r="V30" s="254" t="str">
        <f t="shared" si="0"/>
        <v xml:space="preserve"> </v>
      </c>
      <c r="W30" s="268">
        <f t="shared" si="1"/>
        <v>20</v>
      </c>
      <c r="X30" s="171" t="str">
        <f t="shared" si="2"/>
        <v xml:space="preserve"> </v>
      </c>
      <c r="AA30" s="265">
        <f>SUM(K$11:K30)</f>
        <v>0</v>
      </c>
      <c r="AB30" s="271" t="str">
        <f>IF(OR(Sheet1!D$192=1,Sheet1!D$194=1),IF(OR((AB29&gt;=(Sheet1!D$148+$A$11)-1),AND(Sheet1!D$8=3,AB29&gt;=6))," ",AB29+1),NA())</f>
        <v xml:space="preserve"> </v>
      </c>
      <c r="AC30" s="271" t="str">
        <f>IF(OR(Sheet1!D$192=1,Sheet1!D$194=1),IF(OR((AC29&gt;=(Sheet1!D$148+$B$11)-1),AND(Sheet1!D$8=3,AB29&gt;=6))," ",AC29+1),NA())</f>
        <v xml:space="preserve"> </v>
      </c>
      <c r="AD30" s="262"/>
      <c r="AE30" s="263" t="str">
        <f>IF(AND(Sheet1!D$194=1,AB30&lt;&gt;" "),ROUND(VLOOKUP(AB30,AlternativeB!A$17:M$66,12),Sheet1!D$75),IF(Sheet1!D$194=1," ","Alt  'B'  not feasible"))</f>
        <v>Alt  'B'  not feasible</v>
      </c>
      <c r="AF30" s="264" t="str">
        <f>IF(AB30&lt;=Sheet1!D$148, (1/((1+$AF$10)^(AB30-0.5)))," ")</f>
        <v xml:space="preserve"> </v>
      </c>
      <c r="AG30" s="263" t="str">
        <f>IF(AND(Sheet1!D$194=1,AB30&lt;&gt;" "),ROUND(+AE30*AF30,Sheet1!D$75)," ")</f>
        <v xml:space="preserve"> </v>
      </c>
      <c r="AH30" s="264" t="str">
        <f>IF(AB30&lt;&gt;" ",ROUND(VLOOKUP(Sheet1!E$82,CHOOSE(Sheet1!D$213,Inflate1,Inflate2,Inflate3,Inflate4,Inflate5,Inflate6,Inflate7,Inflate8),2),4)," ")</f>
        <v xml:space="preserve"> </v>
      </c>
      <c r="AI30" s="264" t="str">
        <f>IF(AB30&lt;&gt;" ",ROUND(VLOOKUP(AC30,CHOOSE(Sheet1!D$213,Inflate1,Inflate2,Inflate3,Inflate4,Inflate5,Inflate6,Inflate7,Inflate8),3),4)," ")</f>
        <v xml:space="preserve"> </v>
      </c>
      <c r="AJ30" s="263" t="b">
        <f>IF(AND(Sheet1!D$194=1,AB30&lt;&gt;" "),IF(AND(O30&lt;=10,OR(Sheet1!D$8=2,Sheet1!D$8=3,Sheet1!D$22=3)),ROUND((AE30/AH30)*AI30,Sheet1!D$75),IF(AND(Sheet1!D$8&lt;&gt;2,Sheet1!D$8&lt;&gt;3,Sheet1!D$22&lt;&gt;3),ROUND((AE30/AH30)*AI30,Sheet1!D$75)," ")))</f>
        <v>0</v>
      </c>
    </row>
    <row r="31" spans="1:36" ht="11.4" x14ac:dyDescent="0.2">
      <c r="A31" s="271" t="str">
        <f>IF(OR(Sheet1!D$192=1,Sheet1!D$194=1),IF(OR((A30&gt;=(Sheet1!D$148+$A$11)-1),AND(Sheet1!D$8=3,A30&gt;=6))," ",A30+1),NA())</f>
        <v xml:space="preserve"> </v>
      </c>
      <c r="B31" s="271" t="str">
        <f>IF(OR(Sheet1!D$192=1,Sheet1!D$194=1),IF(OR((B30&gt;=(Sheet1!D$148+$B$11)-1),AND(Sheet1!D$8=3,A30&gt;=6))," ",B30+1),NA())</f>
        <v xml:space="preserve"> </v>
      </c>
      <c r="C31" s="262"/>
      <c r="D31" s="263" t="str">
        <f>IF(AND(Sheet1!D$192=1,A31&lt;&gt;" "),ROUND(VLOOKUP(A31,StatusQuo!A$19:M$68,12),Sheet1!D$75),IF(Sheet1!D$192=1," ","SQ not feasible "))</f>
        <v xml:space="preserve"> </v>
      </c>
      <c r="E31" s="263" t="str">
        <f>IF(AND(Sheet1!D$194=1,A31&lt;&gt;" "),ROUND(VLOOKUP(A31,AlternativeB!A$110:M$159,12),Sheet1!D$75),IF(Sheet1!D$194=1," ","Alt  'B'  not feasible"))</f>
        <v>Alt  'B'  not feasible</v>
      </c>
      <c r="F31" s="263" t="str">
        <f>IF(AND(A31&lt;&gt;" ",Sheet1!D$192=1,Sheet1!D$194=1),D31-E31,IF(AND(Sheet1!D$194=1,A31&lt;&gt;" ")," "," "))</f>
        <v xml:space="preserve"> </v>
      </c>
      <c r="G31" s="264" t="str">
        <f>IF(A31&lt;=Sheet1!D$148, (1/((1+$G$10)^(A31-0.5)))," ")</f>
        <v xml:space="preserve"> </v>
      </c>
      <c r="H31" s="263" t="str">
        <f>IF(AND(A31&lt;&gt;" ",Sheet1!D$192=1,Sheet1!D$194=1),ROUND(F31*G31,Sheet1!D$75),IF(AND(A31&lt;&gt;" ",Sheet1!D$194=1),ROUND(E31*G31,Sheet1!D$75)," "))</f>
        <v xml:space="preserve"> </v>
      </c>
      <c r="I31" s="264" t="str">
        <f>IF(A31&lt;&gt;" ",ROUND(VLOOKUP(Sheet1!E$82,CHOOSE(Sheet1!D$233,Inflate7,Inflate2,Inflate3,Inflate4,Inflate5,Inflate6,Inflate1,Inflate8),2),4)," ")</f>
        <v xml:space="preserve"> </v>
      </c>
      <c r="J31" s="264" t="str">
        <f>IF(A31&lt;&gt;" ",ROUND(VLOOKUP(B31,CHOOSE(Sheet1!D$233,Inflate7,Inflate2,Inflate3,Inflate4,Inflate5,Inflate6,Inflate1,Inflate8),3),4)," ")</f>
        <v xml:space="preserve"> </v>
      </c>
      <c r="K31" s="265" t="str">
        <f>IF(AND(A31&lt;&gt;" ",Sheet1!D$192=1,Sheet1!D$194=1),ROUND((F31/I31)*J31,Sheet1!D$75),IF(AND(A31&lt;&gt;" ",Sheet1!D$194=1),ROUND((E31/I31)*J31,Sheet1!D$75)," "))</f>
        <v xml:space="preserve"> </v>
      </c>
      <c r="L31" s="254" t="str">
        <f>IF(Sheet1!D$192=1,IF(AND(AA31&gt;AJ$61,AA30&lt;=AJ$61),"&lt;-Payback"," ")," ")</f>
        <v xml:space="preserve"> </v>
      </c>
      <c r="M31" s="271" t="str">
        <f>IF(OR(Sheet1!D$192=1,Sheet1!D$194=1),IF(OR((A30&gt;=(Sheet1!D$148+$A$11)-1),AND(Sheet1!D$8=3,A30&gt;=6))," ",A30+1),NA())</f>
        <v xml:space="preserve"> </v>
      </c>
      <c r="N31" s="271" t="str">
        <f>IF(OR(Sheet1!D$192=1,Sheet1!D$194=1),IF(OR((B30&gt;=(Sheet1!D$148+$B$11)-1),AND(Sheet1!D$8=3,A30&gt;=6))," ",B30+1),NA())</f>
        <v xml:space="preserve"> </v>
      </c>
      <c r="O31" s="266" t="e">
        <f>IF(OR(Sheet1!D$192=1,Sheet1!D$194=1),IF(NOT(Sheet1!D$192=1),0,IF(ROUND(VLOOKUP(A31,StatusQuo!A$19:M$68,13),Sheet1!D$75)-ROUND(VLOOKUP(A31,AlternativeB!A$110:M$159,13),Sheet1!D$75)&gt;0,1,0))," ")</f>
        <v>#VALUE!</v>
      </c>
      <c r="P31" s="263" t="str">
        <f>IF(AND(A31&lt;&gt;" ",Sheet1!D$192=1,Sheet1!D$194=1),IF(AND(OR(Sheet1!D$8=2,Sheet1!D$22=3),O31&gt;10),0,ROUND(VLOOKUP(A31,StatusQuo!A$19:M$68,13),Sheet1!D$75)),IF(NOT(Sheet1!D$192=1),"not feasible",IF(A31=" "," ", "Savings is  n/a=&gt;")))</f>
        <v xml:space="preserve"> </v>
      </c>
      <c r="Q31" s="263" t="str">
        <f>IF(AND(A31&lt;&gt;" ",Sheet1!D$192=1,Sheet1!D$194=1),IF(AND(OR(Sheet1!D$8=2,Sheet1!D$22=3),O31&gt;10),0,ROUND(VLOOKUP(A31,AlternativeB!A$110:M$159,13),Sheet1!D$75)),IF(NOT(Sheet1!D$194=1),"not feasible",IF(A31=" "," ","&lt;== Savings is n/a")))</f>
        <v>not feasible</v>
      </c>
      <c r="R31" s="263" t="str">
        <f>IF(AND(A31&lt;&gt;" ",Sheet1!D$192=1,Sheet1!D$194=1),IF(G$81&lt;&gt;" ","???????",P31-Q31)," ")</f>
        <v xml:space="preserve"> </v>
      </c>
      <c r="S31" s="263" t="str">
        <f>IF(AND(A31&lt;&gt;" ",Sheet1!D$192=1,Sheet1!D$194=1),ROUND(R31*G31,Sheet1!D$75)," ")</f>
        <v xml:space="preserve"> </v>
      </c>
      <c r="T31" s="263" t="str">
        <f>IF(AND(A31&lt;&gt;" ",Sheet1!D$192=1,Sheet1!D$194=1),ROUND((R31/I31)*J31,Sheet1!D$75)," ")</f>
        <v xml:space="preserve"> </v>
      </c>
      <c r="U31" s="265">
        <f>SUM(T$11:T31)</f>
        <v>0</v>
      </c>
      <c r="V31" s="254" t="str">
        <f t="shared" si="0"/>
        <v xml:space="preserve"> </v>
      </c>
      <c r="W31" s="268">
        <f t="shared" si="1"/>
        <v>21</v>
      </c>
      <c r="X31" s="171" t="str">
        <f t="shared" si="2"/>
        <v xml:space="preserve"> </v>
      </c>
      <c r="AA31" s="265">
        <f>SUM(K$11:K31)</f>
        <v>0</v>
      </c>
      <c r="AB31" s="271" t="str">
        <f>IF(OR(Sheet1!D$192=1,Sheet1!D$194=1),IF(OR((AB30&gt;=(Sheet1!D$148+$A$11)-1),AND(Sheet1!D$8=3,AB30&gt;=6))," ",AB30+1),NA())</f>
        <v xml:space="preserve"> </v>
      </c>
      <c r="AC31" s="271" t="str">
        <f>IF(OR(Sheet1!D$192=1,Sheet1!D$194=1),IF(OR((AC30&gt;=(Sheet1!D$148+$B$11)-1),AND(Sheet1!D$8=3,AB30&gt;=6))," ",AC30+1),NA())</f>
        <v xml:space="preserve"> </v>
      </c>
      <c r="AD31" s="262"/>
      <c r="AE31" s="263" t="str">
        <f>IF(AND(Sheet1!D$194=1,AB31&lt;&gt;" "),ROUND(VLOOKUP(AB31,AlternativeB!A$17:M$66,12),Sheet1!D$75),IF(Sheet1!D$194=1," ","Alt  'B'  not feasible"))</f>
        <v>Alt  'B'  not feasible</v>
      </c>
      <c r="AF31" s="264" t="str">
        <f>IF(AB31&lt;=Sheet1!D$148, (1/((1+$AF$10)^(AB31-0.5)))," ")</f>
        <v xml:space="preserve"> </v>
      </c>
      <c r="AG31" s="263" t="str">
        <f>IF(AND(Sheet1!D$194=1,AB31&lt;&gt;" "),ROUND(+AE31*AF31,Sheet1!D$75)," ")</f>
        <v xml:space="preserve"> </v>
      </c>
      <c r="AH31" s="264" t="str">
        <f>IF(AB31&lt;&gt;" ",ROUND(VLOOKUP(Sheet1!E$82,CHOOSE(Sheet1!D$213,Inflate1,Inflate2,Inflate3,Inflate4,Inflate5,Inflate6,Inflate7,Inflate8),2),4)," ")</f>
        <v xml:space="preserve"> </v>
      </c>
      <c r="AI31" s="264" t="str">
        <f>IF(AB31&lt;&gt;" ",ROUND(VLOOKUP(AC31,CHOOSE(Sheet1!D$213,Inflate1,Inflate2,Inflate3,Inflate4,Inflate5,Inflate6,Inflate7,Inflate8),3),4)," ")</f>
        <v xml:space="preserve"> </v>
      </c>
      <c r="AJ31" s="263" t="b">
        <f>IF(AND(Sheet1!D$194=1,AB31&lt;&gt;" "),IF(AND(O31&lt;=10,OR(Sheet1!D$8=2,Sheet1!D$8=3,Sheet1!D$22=3)),ROUND((AE31/AH31)*AI31,Sheet1!D$75),IF(AND(Sheet1!D$8&lt;&gt;2,Sheet1!D$8&lt;&gt;3,Sheet1!D$22&lt;&gt;3),ROUND((AE31/AH31)*AI31,Sheet1!D$75)," ")))</f>
        <v>0</v>
      </c>
    </row>
    <row r="32" spans="1:36" ht="11.4" x14ac:dyDescent="0.2">
      <c r="A32" s="271" t="str">
        <f>IF(OR(Sheet1!D$192=1,Sheet1!D$194=1),IF(OR((A31&gt;=(Sheet1!D$148+$A$11)-1),AND(Sheet1!D$8=3,A31&gt;=6))," ",A31+1),NA())</f>
        <v xml:space="preserve"> </v>
      </c>
      <c r="B32" s="271" t="str">
        <f>IF(OR(Sheet1!D$192=1,Sheet1!D$194=1),IF(OR((B31&gt;=(Sheet1!D$148+$B$11)-1),AND(Sheet1!D$8=3,A31&gt;=6))," ",B31+1),NA())</f>
        <v xml:space="preserve"> </v>
      </c>
      <c r="C32" s="262"/>
      <c r="D32" s="263" t="str">
        <f>IF(AND(Sheet1!D$192=1,A32&lt;&gt;" "),ROUND(VLOOKUP(A32,StatusQuo!A$19:M$68,12),Sheet1!D$75),IF(Sheet1!D$192=1," ","SQ not feasible "))</f>
        <v xml:space="preserve"> </v>
      </c>
      <c r="E32" s="263" t="str">
        <f>IF(AND(Sheet1!D$194=1,A32&lt;&gt;" "),ROUND(VLOOKUP(A32,AlternativeB!A$110:M$159,12),Sheet1!D$75),IF(Sheet1!D$194=1," ","Alt  'B'  not feasible"))</f>
        <v>Alt  'B'  not feasible</v>
      </c>
      <c r="F32" s="263" t="str">
        <f>IF(AND(A32&lt;&gt;" ",Sheet1!D$192=1,Sheet1!D$194=1),D32-E32,IF(AND(Sheet1!D$194=1,A32&lt;&gt;" ")," "," "))</f>
        <v xml:space="preserve"> </v>
      </c>
      <c r="G32" s="264" t="str">
        <f>IF(A32&lt;=Sheet1!D$148, (1/((1+$G$10)^(A32-0.5)))," ")</f>
        <v xml:space="preserve"> </v>
      </c>
      <c r="H32" s="263" t="str">
        <f>IF(AND(A32&lt;&gt;" ",Sheet1!D$192=1,Sheet1!D$194=1),ROUND(F32*G32,Sheet1!D$75),IF(AND(A32&lt;&gt;" ",Sheet1!D$194=1),ROUND(E32*G32,Sheet1!D$75)," "))</f>
        <v xml:space="preserve"> </v>
      </c>
      <c r="I32" s="264" t="str">
        <f>IF(A32&lt;&gt;" ",ROUND(VLOOKUP(Sheet1!E$82,CHOOSE(Sheet1!D$233,Inflate7,Inflate2,Inflate3,Inflate4,Inflate5,Inflate6,Inflate1,Inflate8),2),4)," ")</f>
        <v xml:space="preserve"> </v>
      </c>
      <c r="J32" s="264" t="str">
        <f>IF(A32&lt;&gt;" ",ROUND(VLOOKUP(B32,CHOOSE(Sheet1!D$233,Inflate7,Inflate2,Inflate3,Inflate4,Inflate5,Inflate6,Inflate1,Inflate8),3),4)," ")</f>
        <v xml:space="preserve"> </v>
      </c>
      <c r="K32" s="265" t="str">
        <f>IF(AND(A32&lt;&gt;" ",Sheet1!D$192=1,Sheet1!D$194=1),ROUND((F32/I32)*J32,Sheet1!D$75),IF(AND(A32&lt;&gt;" ",Sheet1!D$194=1),ROUND((E32/I32)*J32,Sheet1!D$75)," "))</f>
        <v xml:space="preserve"> </v>
      </c>
      <c r="L32" s="254" t="str">
        <f>IF(Sheet1!D$192=1,IF(AND(AA32&gt;AJ$61,AA31&lt;=AJ$61),"&lt;-Payback"," ")," ")</f>
        <v xml:space="preserve"> </v>
      </c>
      <c r="M32" s="271" t="str">
        <f>IF(OR(Sheet1!D$192=1,Sheet1!D$194=1),IF(OR((A31&gt;=(Sheet1!D$148+$A$11)-1),AND(Sheet1!D$8=3,A31&gt;=6))," ",A31+1),NA())</f>
        <v xml:space="preserve"> </v>
      </c>
      <c r="N32" s="271" t="str">
        <f>IF(OR(Sheet1!D$192=1,Sheet1!D$194=1),IF(OR((B31&gt;=(Sheet1!D$148+$B$11)-1),AND(Sheet1!D$8=3,A31&gt;=6))," ",B31+1),NA())</f>
        <v xml:space="preserve"> </v>
      </c>
      <c r="O32" s="266" t="e">
        <f>IF(OR(Sheet1!D$192=1,Sheet1!D$194=1),IF(NOT(Sheet1!D$192=1),0,IF(ROUND(VLOOKUP(A32,StatusQuo!A$19:M$68,13),Sheet1!D$75)-ROUND(VLOOKUP(A32,AlternativeB!A$110:M$159,13),Sheet1!D$75)&gt;0,1,0))," ")</f>
        <v>#VALUE!</v>
      </c>
      <c r="P32" s="263" t="str">
        <f>IF(AND(A32&lt;&gt;" ",Sheet1!D$192=1,Sheet1!D$194=1),IF(AND(OR(Sheet1!D$8=2,Sheet1!D$22=3),O32&gt;10),0,ROUND(VLOOKUP(A32,StatusQuo!A$19:M$68,13),Sheet1!D$75)),IF(NOT(Sheet1!D$192=1),"not feasible",IF(A32=" "," ", "Savings is  n/a=&gt;")))</f>
        <v xml:space="preserve"> </v>
      </c>
      <c r="Q32" s="263" t="str">
        <f>IF(AND(A32&lt;&gt;" ",Sheet1!D$192=1,Sheet1!D$194=1),IF(AND(OR(Sheet1!D$8=2,Sheet1!D$22=3),O32&gt;10),0,ROUND(VLOOKUP(A32,AlternativeB!A$110:M$159,13),Sheet1!D$75)),IF(NOT(Sheet1!D$194=1),"not feasible",IF(A32=" "," ","&lt;== Savings is n/a")))</f>
        <v>not feasible</v>
      </c>
      <c r="R32" s="263" t="str">
        <f>IF(AND(A32&lt;&gt;" ",Sheet1!D$192=1,Sheet1!D$194=1),IF(G$81&lt;&gt;" ","???????",P32-Q32)," ")</f>
        <v xml:space="preserve"> </v>
      </c>
      <c r="S32" s="263" t="str">
        <f>IF(AND(A32&lt;&gt;" ",Sheet1!D$192=1,Sheet1!D$194=1),ROUND(R32*G32,Sheet1!D$75)," ")</f>
        <v xml:space="preserve"> </v>
      </c>
      <c r="T32" s="263" t="str">
        <f>IF(AND(A32&lt;&gt;" ",Sheet1!D$192=1,Sheet1!D$194=1),ROUND((R32/I32)*J32,Sheet1!D$75)," ")</f>
        <v xml:space="preserve"> </v>
      </c>
      <c r="U32" s="265">
        <f>SUM(T$11:T32)</f>
        <v>0</v>
      </c>
      <c r="V32" s="254" t="str">
        <f t="shared" si="0"/>
        <v xml:space="preserve"> </v>
      </c>
      <c r="W32" s="268">
        <f t="shared" si="1"/>
        <v>22</v>
      </c>
      <c r="X32" s="171" t="str">
        <f t="shared" si="2"/>
        <v xml:space="preserve"> </v>
      </c>
      <c r="AA32" s="265">
        <f>SUM(K$11:K32)</f>
        <v>0</v>
      </c>
      <c r="AB32" s="271" t="str">
        <f>IF(OR(Sheet1!D$192=1,Sheet1!D$194=1),IF(OR((AB31&gt;=(Sheet1!D$148+$A$11)-1),AND(Sheet1!D$8=3,AB31&gt;=6))," ",AB31+1),NA())</f>
        <v xml:space="preserve"> </v>
      </c>
      <c r="AC32" s="271" t="str">
        <f>IF(OR(Sheet1!D$192=1,Sheet1!D$194=1),IF(OR((AC31&gt;=(Sheet1!D$148+$B$11)-1),AND(Sheet1!D$8=3,AB31&gt;=6))," ",AC31+1),NA())</f>
        <v xml:space="preserve"> </v>
      </c>
      <c r="AD32" s="262"/>
      <c r="AE32" s="263" t="str">
        <f>IF(AND(Sheet1!D$194=1,AB32&lt;&gt;" "),ROUND(VLOOKUP(AB32,AlternativeB!A$17:M$66,12),Sheet1!D$75),IF(Sheet1!D$194=1," ","Alt  'B'  not feasible"))</f>
        <v>Alt  'B'  not feasible</v>
      </c>
      <c r="AF32" s="264" t="str">
        <f>IF(AB32&lt;=Sheet1!D$148, (1/((1+$AF$10)^(AB32-0.5)))," ")</f>
        <v xml:space="preserve"> </v>
      </c>
      <c r="AG32" s="263" t="str">
        <f>IF(AND(Sheet1!D$194=1,AB32&lt;&gt;" "),ROUND(+AE32*AF32,Sheet1!D$75)," ")</f>
        <v xml:space="preserve"> </v>
      </c>
      <c r="AH32" s="264" t="str">
        <f>IF(AB32&lt;&gt;" ",ROUND(VLOOKUP(Sheet1!E$82,CHOOSE(Sheet1!D$213,Inflate1,Inflate2,Inflate3,Inflate4,Inflate5,Inflate6,Inflate7,Inflate8),2),4)," ")</f>
        <v xml:space="preserve"> </v>
      </c>
      <c r="AI32" s="264" t="str">
        <f>IF(AB32&lt;&gt;" ",ROUND(VLOOKUP(AC32,CHOOSE(Sheet1!D$213,Inflate1,Inflate2,Inflate3,Inflate4,Inflate5,Inflate6,Inflate7,Inflate8),3),4)," ")</f>
        <v xml:space="preserve"> </v>
      </c>
      <c r="AJ32" s="263" t="b">
        <f>IF(AND(Sheet1!D$194=1,AB32&lt;&gt;" "),IF(AND(O32&lt;=10,OR(Sheet1!D$8=2,Sheet1!D$8=3,Sheet1!D$22=3)),ROUND((AE32/AH32)*AI32,Sheet1!D$75),IF(AND(Sheet1!D$8&lt;&gt;2,Sheet1!D$8&lt;&gt;3,Sheet1!D$22&lt;&gt;3),ROUND((AE32/AH32)*AI32,Sheet1!D$75)," ")))</f>
        <v>0</v>
      </c>
    </row>
    <row r="33" spans="1:36" ht="11.4" x14ac:dyDescent="0.2">
      <c r="A33" s="271" t="str">
        <f>IF(OR(Sheet1!D$192=1,Sheet1!D$194=1),IF(OR((A32&gt;=(Sheet1!D$148+$A$11)-1),AND(Sheet1!D$8=3,A32&gt;=6))," ",A32+1),NA())</f>
        <v xml:space="preserve"> </v>
      </c>
      <c r="B33" s="271" t="str">
        <f>IF(OR(Sheet1!D$192=1,Sheet1!D$194=1),IF(OR((B32&gt;=(Sheet1!D$148+$B$11)-1),AND(Sheet1!D$8=3,A32&gt;=6))," ",B32+1),NA())</f>
        <v xml:space="preserve"> </v>
      </c>
      <c r="C33" s="262"/>
      <c r="D33" s="263" t="str">
        <f>IF(AND(Sheet1!D$192=1,A33&lt;&gt;" "),ROUND(VLOOKUP(A33,StatusQuo!A$19:M$68,12),Sheet1!D$75),IF(Sheet1!D$192=1," ","SQ not feasible "))</f>
        <v xml:space="preserve"> </v>
      </c>
      <c r="E33" s="263" t="str">
        <f>IF(AND(Sheet1!D$194=1,A33&lt;&gt;" "),ROUND(VLOOKUP(A33,AlternativeB!A$110:M$159,12),Sheet1!D$75),IF(Sheet1!D$194=1," ","Alt  'B'  not feasible"))</f>
        <v>Alt  'B'  not feasible</v>
      </c>
      <c r="F33" s="263" t="str">
        <f>IF(AND(A33&lt;&gt;" ",Sheet1!D$192=1,Sheet1!D$194=1),D33-E33,IF(AND(Sheet1!D$194=1,A33&lt;&gt;" ")," "," "))</f>
        <v xml:space="preserve"> </v>
      </c>
      <c r="G33" s="264" t="str">
        <f>IF(A33&lt;=Sheet1!D$148, (1/((1+$G$10)^(A33-0.5)))," ")</f>
        <v xml:space="preserve"> </v>
      </c>
      <c r="H33" s="263" t="str">
        <f>IF(AND(A33&lt;&gt;" ",Sheet1!D$192=1,Sheet1!D$194=1),ROUND(F33*G33,Sheet1!D$75),IF(AND(A33&lt;&gt;" ",Sheet1!D$194=1),ROUND(E33*G33,Sheet1!D$75)," "))</f>
        <v xml:space="preserve"> </v>
      </c>
      <c r="I33" s="264" t="str">
        <f>IF(A33&lt;&gt;" ",ROUND(VLOOKUP(Sheet1!E$82,CHOOSE(Sheet1!D$233,Inflate7,Inflate2,Inflate3,Inflate4,Inflate5,Inflate6,Inflate1,Inflate8),2),4)," ")</f>
        <v xml:space="preserve"> </v>
      </c>
      <c r="J33" s="264" t="str">
        <f>IF(A33&lt;&gt;" ",ROUND(VLOOKUP(B33,CHOOSE(Sheet1!D$233,Inflate7,Inflate2,Inflate3,Inflate4,Inflate5,Inflate6,Inflate1,Inflate8),3),4)," ")</f>
        <v xml:space="preserve"> </v>
      </c>
      <c r="K33" s="265" t="str">
        <f>IF(AND(A33&lt;&gt;" ",Sheet1!D$192=1,Sheet1!D$194=1),ROUND((F33/I33)*J33,Sheet1!D$75),IF(AND(A33&lt;&gt;" ",Sheet1!D$194=1),ROUND((E33/I33)*J33,Sheet1!D$75)," "))</f>
        <v xml:space="preserve"> </v>
      </c>
      <c r="L33" s="254" t="str">
        <f>IF(Sheet1!D$192=1,IF(AND(AA33&gt;AJ$61,AA32&lt;=AJ$61),"&lt;-Payback"," ")," ")</f>
        <v xml:space="preserve"> </v>
      </c>
      <c r="M33" s="271" t="str">
        <f>IF(OR(Sheet1!D$192=1,Sheet1!D$194=1),IF(OR((A32&gt;=(Sheet1!D$148+$A$11)-1),AND(Sheet1!D$8=3,A32&gt;=6))," ",A32+1),NA())</f>
        <v xml:space="preserve"> </v>
      </c>
      <c r="N33" s="271" t="str">
        <f>IF(OR(Sheet1!D$192=1,Sheet1!D$194=1),IF(OR((B32&gt;=(Sheet1!D$148+$B$11)-1),AND(Sheet1!D$8=3,A32&gt;=6))," ",B32+1),NA())</f>
        <v xml:space="preserve"> </v>
      </c>
      <c r="O33" s="266" t="e">
        <f>IF(OR(Sheet1!D$192=1,Sheet1!D$194=1),IF(NOT(Sheet1!D$192=1),0,IF(ROUND(VLOOKUP(A33,StatusQuo!A$19:M$68,13),Sheet1!D$75)-ROUND(VLOOKUP(A33,AlternativeB!A$110:M$159,13),Sheet1!D$75)&gt;0,1,0))," ")</f>
        <v>#VALUE!</v>
      </c>
      <c r="P33" s="263" t="str">
        <f>IF(AND(A33&lt;&gt;" ",Sheet1!D$192=1,Sheet1!D$194=1),IF(AND(OR(Sheet1!D$8=2,Sheet1!D$22=3),O33&gt;10),0,ROUND(VLOOKUP(A33,StatusQuo!A$19:M$68,13),Sheet1!D$75)),IF(NOT(Sheet1!D$192=1),"not feasible",IF(A33=" "," ", "Savings is  n/a=&gt;")))</f>
        <v xml:space="preserve"> </v>
      </c>
      <c r="Q33" s="263" t="str">
        <f>IF(AND(A33&lt;&gt;" ",Sheet1!D$192=1,Sheet1!D$194=1),IF(AND(OR(Sheet1!D$8=2,Sheet1!D$22=3),O33&gt;10),0,ROUND(VLOOKUP(A33,AlternativeB!A$110:M$159,13),Sheet1!D$75)),IF(NOT(Sheet1!D$194=1),"not feasible",IF(A33=" "," ","&lt;== Savings is n/a")))</f>
        <v>not feasible</v>
      </c>
      <c r="R33" s="263" t="str">
        <f>IF(AND(A33&lt;&gt;" ",Sheet1!D$192=1,Sheet1!D$194=1),IF(G$81&lt;&gt;" ","???????",P33-Q33)," ")</f>
        <v xml:space="preserve"> </v>
      </c>
      <c r="S33" s="263" t="str">
        <f>IF(AND(A33&lt;&gt;" ",Sheet1!D$192=1,Sheet1!D$194=1),ROUND(R33*G33,Sheet1!D$75)," ")</f>
        <v xml:space="preserve"> </v>
      </c>
      <c r="T33" s="263" t="str">
        <f>IF(AND(A33&lt;&gt;" ",Sheet1!D$192=1,Sheet1!D$194=1),ROUND((R33/I33)*J33,Sheet1!D$75)," ")</f>
        <v xml:space="preserve"> </v>
      </c>
      <c r="U33" s="265">
        <f>SUM(T$11:T33)</f>
        <v>0</v>
      </c>
      <c r="V33" s="254" t="str">
        <f t="shared" si="0"/>
        <v xml:space="preserve"> </v>
      </c>
      <c r="W33" s="268">
        <f t="shared" si="1"/>
        <v>23</v>
      </c>
      <c r="X33" s="171" t="str">
        <f t="shared" si="2"/>
        <v xml:space="preserve"> </v>
      </c>
      <c r="AA33" s="265">
        <f>SUM(K$11:K33)</f>
        <v>0</v>
      </c>
      <c r="AB33" s="271" t="str">
        <f>IF(OR(Sheet1!D$192=1,Sheet1!D$194=1),IF(OR((AB32&gt;=(Sheet1!D$148+$A$11)-1),AND(Sheet1!D$8=3,AB32&gt;=6))," ",AB32+1),NA())</f>
        <v xml:space="preserve"> </v>
      </c>
      <c r="AC33" s="271" t="str">
        <f>IF(OR(Sheet1!D$192=1,Sheet1!D$194=1),IF(OR((AC32&gt;=(Sheet1!D$148+$B$11)-1),AND(Sheet1!D$8=3,AB32&gt;=6))," ",AC32+1),NA())</f>
        <v xml:space="preserve"> </v>
      </c>
      <c r="AD33" s="262"/>
      <c r="AE33" s="263" t="str">
        <f>IF(AND(Sheet1!D$194=1,AB33&lt;&gt;" "),ROUND(VLOOKUP(AB33,AlternativeB!A$17:M$66,12),Sheet1!D$75),IF(Sheet1!D$194=1," ","Alt  'B'  not feasible"))</f>
        <v>Alt  'B'  not feasible</v>
      </c>
      <c r="AF33" s="264" t="str">
        <f>IF(AB33&lt;=Sheet1!D$148, (1/((1+$AF$10)^(AB33-0.5)))," ")</f>
        <v xml:space="preserve"> </v>
      </c>
      <c r="AG33" s="263" t="str">
        <f>IF(AND(Sheet1!D$194=1,AB33&lt;&gt;" "),ROUND(+AE33*AF33,Sheet1!D$75)," ")</f>
        <v xml:space="preserve"> </v>
      </c>
      <c r="AH33" s="264" t="str">
        <f>IF(AB33&lt;&gt;" ",ROUND(VLOOKUP(Sheet1!E$82,CHOOSE(Sheet1!D$213,Inflate1,Inflate2,Inflate3,Inflate4,Inflate5,Inflate6,Inflate7,Inflate8),2),4)," ")</f>
        <v xml:space="preserve"> </v>
      </c>
      <c r="AI33" s="264" t="str">
        <f>IF(AB33&lt;&gt;" ",ROUND(VLOOKUP(AC33,CHOOSE(Sheet1!D$213,Inflate1,Inflate2,Inflate3,Inflate4,Inflate5,Inflate6,Inflate7,Inflate8),3),4)," ")</f>
        <v xml:space="preserve"> </v>
      </c>
      <c r="AJ33" s="263" t="b">
        <f>IF(AND(Sheet1!D$194=1,AB33&lt;&gt;" "),IF(AND(O33&lt;=10,OR(Sheet1!D$8=2,Sheet1!D$8=3,Sheet1!D$22=3)),ROUND((AE33/AH33)*AI33,Sheet1!D$75),IF(AND(Sheet1!D$8&lt;&gt;2,Sheet1!D$8&lt;&gt;3,Sheet1!D$22&lt;&gt;3),ROUND((AE33/AH33)*AI33,Sheet1!D$75)," ")))</f>
        <v>0</v>
      </c>
    </row>
    <row r="34" spans="1:36" ht="11.4" x14ac:dyDescent="0.2">
      <c r="A34" s="271" t="str">
        <f>IF(OR(Sheet1!D$192=1,Sheet1!D$194=1),IF(OR((A33&gt;=(Sheet1!D$148+$A$11)-1),AND(Sheet1!D$8=3,A33&gt;=6))," ",A33+1),NA())</f>
        <v xml:space="preserve"> </v>
      </c>
      <c r="B34" s="271" t="str">
        <f>IF(OR(Sheet1!D$192=1,Sheet1!D$194=1),IF(OR((B33&gt;=(Sheet1!D$148+$B$11)-1),AND(Sheet1!D$8=3,A33&gt;=6))," ",B33+1),NA())</f>
        <v xml:space="preserve"> </v>
      </c>
      <c r="C34" s="262"/>
      <c r="D34" s="263" t="str">
        <f>IF(AND(Sheet1!D$192=1,A34&lt;&gt;" "),ROUND(VLOOKUP(A34,StatusQuo!A$19:M$68,12),Sheet1!D$75),IF(Sheet1!D$192=1," ","SQ not feasible "))</f>
        <v xml:space="preserve"> </v>
      </c>
      <c r="E34" s="263" t="str">
        <f>IF(AND(Sheet1!D$194=1,A34&lt;&gt;" "),ROUND(VLOOKUP(A34,AlternativeB!A$110:M$159,12),Sheet1!D$75),IF(Sheet1!D$194=1," ","Alt  'B'  not feasible"))</f>
        <v>Alt  'B'  not feasible</v>
      </c>
      <c r="F34" s="263" t="str">
        <f>IF(AND(A34&lt;&gt;" ",Sheet1!D$192=1,Sheet1!D$194=1),D34-E34,IF(AND(Sheet1!D$194=1,A34&lt;&gt;" ")," "," "))</f>
        <v xml:space="preserve"> </v>
      </c>
      <c r="G34" s="264" t="str">
        <f>IF(A34&lt;=Sheet1!D$148, (1/((1+$G$10)^(A34-0.5)))," ")</f>
        <v xml:space="preserve"> </v>
      </c>
      <c r="H34" s="263" t="str">
        <f>IF(AND(A34&lt;&gt;" ",Sheet1!D$192=1,Sheet1!D$194=1),ROUND(F34*G34,Sheet1!D$75),IF(AND(A34&lt;&gt;" ",Sheet1!D$194=1),ROUND(E34*G34,Sheet1!D$75)," "))</f>
        <v xml:space="preserve"> </v>
      </c>
      <c r="I34" s="264" t="str">
        <f>IF(A34&lt;&gt;" ",ROUND(VLOOKUP(Sheet1!E$82,CHOOSE(Sheet1!D$233,Inflate7,Inflate2,Inflate3,Inflate4,Inflate5,Inflate6,Inflate1,Inflate8),2),4)," ")</f>
        <v xml:space="preserve"> </v>
      </c>
      <c r="J34" s="264" t="str">
        <f>IF(A34&lt;&gt;" ",ROUND(VLOOKUP(B34,CHOOSE(Sheet1!D$233,Inflate7,Inflate2,Inflate3,Inflate4,Inflate5,Inflate6,Inflate1,Inflate8),3),4)," ")</f>
        <v xml:space="preserve"> </v>
      </c>
      <c r="K34" s="265" t="str">
        <f>IF(AND(A34&lt;&gt;" ",Sheet1!D$192=1,Sheet1!D$194=1),ROUND((F34/I34)*J34,Sheet1!D$75),IF(AND(A34&lt;&gt;" ",Sheet1!D$194=1),ROUND((E34/I34)*J34,Sheet1!D$75)," "))</f>
        <v xml:space="preserve"> </v>
      </c>
      <c r="L34" s="254" t="str">
        <f>IF(Sheet1!D$192=1,IF(AND(AA34&gt;AJ$61,AA33&lt;=AJ$61),"&lt;-Payback"," ")," ")</f>
        <v xml:space="preserve"> </v>
      </c>
      <c r="M34" s="271" t="str">
        <f>IF(OR(Sheet1!D$192=1,Sheet1!D$194=1),IF(OR((A33&gt;=(Sheet1!D$148+$A$11)-1),AND(Sheet1!D$8=3,A33&gt;=6))," ",A33+1),NA())</f>
        <v xml:space="preserve"> </v>
      </c>
      <c r="N34" s="271" t="str">
        <f>IF(OR(Sheet1!D$192=1,Sheet1!D$194=1),IF(OR((B33&gt;=(Sheet1!D$148+$B$11)-1),AND(Sheet1!D$8=3,A33&gt;=6))," ",B33+1),NA())</f>
        <v xml:space="preserve"> </v>
      </c>
      <c r="O34" s="266" t="e">
        <f>IF(OR(Sheet1!D$192=1,Sheet1!D$194=1),IF(NOT(Sheet1!D$192=1),0,IF(ROUND(VLOOKUP(A34,StatusQuo!A$19:M$68,13),Sheet1!D$75)-ROUND(VLOOKUP(A34,AlternativeB!A$110:M$159,13),Sheet1!D$75)&gt;0,1,0))," ")</f>
        <v>#VALUE!</v>
      </c>
      <c r="P34" s="263" t="str">
        <f>IF(AND(A34&lt;&gt;" ",Sheet1!D$192=1,Sheet1!D$194=1),IF(AND(OR(Sheet1!D$8=2,Sheet1!D$22=3),O34&gt;10),0,ROUND(VLOOKUP(A34,StatusQuo!A$19:M$68,13),Sheet1!D$75)),IF(NOT(Sheet1!D$192=1),"not feasible",IF(A34=" "," ", "Savings is  n/a=&gt;")))</f>
        <v xml:space="preserve"> </v>
      </c>
      <c r="Q34" s="263" t="str">
        <f>IF(AND(A34&lt;&gt;" ",Sheet1!D$192=1,Sheet1!D$194=1),IF(AND(OR(Sheet1!D$8=2,Sheet1!D$22=3),O34&gt;10),0,ROUND(VLOOKUP(A34,AlternativeB!A$110:M$159,13),Sheet1!D$75)),IF(NOT(Sheet1!D$194=1),"not feasible",IF(A34=" "," ","&lt;== Savings is n/a")))</f>
        <v>not feasible</v>
      </c>
      <c r="R34" s="263" t="str">
        <f>IF(AND(A34&lt;&gt;" ",Sheet1!D$192=1,Sheet1!D$194=1),IF(G$81&lt;&gt;" ","???????",P34-Q34)," ")</f>
        <v xml:space="preserve"> </v>
      </c>
      <c r="S34" s="263" t="str">
        <f>IF(AND(A34&lt;&gt;" ",Sheet1!D$192=1,Sheet1!D$194=1),ROUND(R34*G34,Sheet1!D$75)," ")</f>
        <v xml:space="preserve"> </v>
      </c>
      <c r="T34" s="263" t="str">
        <f>IF(AND(A34&lt;&gt;" ",Sheet1!D$192=1,Sheet1!D$194=1),ROUND((R34/I34)*J34,Sheet1!D$75)," ")</f>
        <v xml:space="preserve"> </v>
      </c>
      <c r="U34" s="265">
        <f>SUM(T$11:T34)</f>
        <v>0</v>
      </c>
      <c r="V34" s="254" t="str">
        <f t="shared" si="0"/>
        <v xml:space="preserve"> </v>
      </c>
      <c r="W34" s="268">
        <f t="shared" si="1"/>
        <v>24</v>
      </c>
      <c r="X34" s="171" t="str">
        <f t="shared" si="2"/>
        <v xml:space="preserve"> </v>
      </c>
      <c r="AA34" s="265">
        <f>SUM(K$11:K34)</f>
        <v>0</v>
      </c>
      <c r="AB34" s="271" t="str">
        <f>IF(OR(Sheet1!D$192=1,Sheet1!D$194=1),IF(OR((AB33&gt;=(Sheet1!D$148+$A$11)-1),AND(Sheet1!D$8=3,AB33&gt;=6))," ",AB33+1),NA())</f>
        <v xml:space="preserve"> </v>
      </c>
      <c r="AC34" s="271" t="str">
        <f>IF(OR(Sheet1!D$192=1,Sheet1!D$194=1),IF(OR((AC33&gt;=(Sheet1!D$148+$B$11)-1),AND(Sheet1!D$8=3,AB33&gt;=6))," ",AC33+1),NA())</f>
        <v xml:space="preserve"> </v>
      </c>
      <c r="AD34" s="262"/>
      <c r="AE34" s="263" t="str">
        <f>IF(AND(Sheet1!D$194=1,AB34&lt;&gt;" "),ROUND(VLOOKUP(AB34,AlternativeB!A$17:M$66,12),Sheet1!D$75),IF(Sheet1!D$194=1," ","Alt  'B'  not feasible"))</f>
        <v>Alt  'B'  not feasible</v>
      </c>
      <c r="AF34" s="264" t="str">
        <f>IF(AB34&lt;=Sheet1!D$148, (1/((1+$AF$10)^(AB34-0.5)))," ")</f>
        <v xml:space="preserve"> </v>
      </c>
      <c r="AG34" s="263" t="str">
        <f>IF(AND(Sheet1!D$194=1,AB34&lt;&gt;" "),ROUND(+AE34*AF34,Sheet1!D$75)," ")</f>
        <v xml:space="preserve"> </v>
      </c>
      <c r="AH34" s="264" t="str">
        <f>IF(AB34&lt;&gt;" ",ROUND(VLOOKUP(Sheet1!E$82,CHOOSE(Sheet1!D$213,Inflate1,Inflate2,Inflate3,Inflate4,Inflate5,Inflate6,Inflate7,Inflate8),2),4)," ")</f>
        <v xml:space="preserve"> </v>
      </c>
      <c r="AI34" s="264" t="str">
        <f>IF(AB34&lt;&gt;" ",ROUND(VLOOKUP(AC34,CHOOSE(Sheet1!D$213,Inflate1,Inflate2,Inflate3,Inflate4,Inflate5,Inflate6,Inflate7,Inflate8),3),4)," ")</f>
        <v xml:space="preserve"> </v>
      </c>
      <c r="AJ34" s="263" t="b">
        <f>IF(AND(Sheet1!D$194=1,AB34&lt;&gt;" "),IF(AND(O34&lt;=10,OR(Sheet1!D$8=2,Sheet1!D$8=3,Sheet1!D$22=3)),ROUND((AE34/AH34)*AI34,Sheet1!D$75),IF(AND(Sheet1!D$8&lt;&gt;2,Sheet1!D$8&lt;&gt;3,Sheet1!D$22&lt;&gt;3),ROUND((AE34/AH34)*AI34,Sheet1!D$75)," ")))</f>
        <v>0</v>
      </c>
    </row>
    <row r="35" spans="1:36" ht="11.4" x14ac:dyDescent="0.2">
      <c r="A35" s="271" t="str">
        <f>IF(OR(Sheet1!D$192=1,Sheet1!D$194=1),IF(OR((A34&gt;=(Sheet1!D$148+$A$11)-1),AND(Sheet1!D$8=3,A34&gt;=6))," ",A34+1),NA())</f>
        <v xml:space="preserve"> </v>
      </c>
      <c r="B35" s="271" t="str">
        <f>IF(OR(Sheet1!D$192=1,Sheet1!D$194=1),IF(OR((B34&gt;=(Sheet1!D$148+$B$11)-1),AND(Sheet1!D$8=3,A34&gt;=6))," ",B34+1),NA())</f>
        <v xml:space="preserve"> </v>
      </c>
      <c r="C35" s="262"/>
      <c r="D35" s="263" t="str">
        <f>IF(AND(Sheet1!D$192=1,A35&lt;&gt;" "),ROUND(VLOOKUP(A35,StatusQuo!A$19:M$68,12),Sheet1!D$75),IF(Sheet1!D$192=1," ","SQ not feasible "))</f>
        <v xml:space="preserve"> </v>
      </c>
      <c r="E35" s="263" t="str">
        <f>IF(AND(Sheet1!D$194=1,A35&lt;&gt;" "),ROUND(VLOOKUP(A35,AlternativeB!A$110:M$159,12),Sheet1!D$75),IF(Sheet1!D$194=1," ","Alt  'B'  not feasible"))</f>
        <v>Alt  'B'  not feasible</v>
      </c>
      <c r="F35" s="263" t="str">
        <f>IF(AND(A35&lt;&gt;" ",Sheet1!D$192=1,Sheet1!D$194=1),D35-E35,IF(AND(Sheet1!D$194=1,A35&lt;&gt;" ")," "," "))</f>
        <v xml:space="preserve"> </v>
      </c>
      <c r="G35" s="264" t="str">
        <f>IF(A35&lt;=Sheet1!D$148, (1/((1+$G$10)^(A35-0.5)))," ")</f>
        <v xml:space="preserve"> </v>
      </c>
      <c r="H35" s="263" t="str">
        <f>IF(AND(A35&lt;&gt;" ",Sheet1!D$192=1,Sheet1!D$194=1),ROUND(F35*G35,Sheet1!D$75),IF(AND(A35&lt;&gt;" ",Sheet1!D$194=1),ROUND(E35*G35,Sheet1!D$75)," "))</f>
        <v xml:space="preserve"> </v>
      </c>
      <c r="I35" s="264" t="str">
        <f>IF(A35&lt;&gt;" ",ROUND(VLOOKUP(Sheet1!E$82,CHOOSE(Sheet1!D$233,Inflate7,Inflate2,Inflate3,Inflate4,Inflate5,Inflate6,Inflate1,Inflate8),2),4)," ")</f>
        <v xml:space="preserve"> </v>
      </c>
      <c r="J35" s="264" t="str">
        <f>IF(A35&lt;&gt;" ",ROUND(VLOOKUP(B35,CHOOSE(Sheet1!D$233,Inflate7,Inflate2,Inflate3,Inflate4,Inflate5,Inflate6,Inflate1,Inflate8),3),4)," ")</f>
        <v xml:space="preserve"> </v>
      </c>
      <c r="K35" s="265" t="str">
        <f>IF(AND(A35&lt;&gt;" ",Sheet1!D$192=1,Sheet1!D$194=1),ROUND((F35/I35)*J35,Sheet1!D$75),IF(AND(A35&lt;&gt;" ",Sheet1!D$194=1),ROUND((E35/I35)*J35,Sheet1!D$75)," "))</f>
        <v xml:space="preserve"> </v>
      </c>
      <c r="L35" s="254" t="str">
        <f>IF(Sheet1!D$192=1,IF(AND(AA35&gt;AJ$61,AA34&lt;=AJ$61),"&lt;-Payback"," ")," ")</f>
        <v xml:space="preserve"> </v>
      </c>
      <c r="M35" s="271" t="str">
        <f>IF(OR(Sheet1!D$192=1,Sheet1!D$194=1),IF(OR((A34&gt;=(Sheet1!D$148+$A$11)-1),AND(Sheet1!D$8=3,A34&gt;=6))," ",A34+1),NA())</f>
        <v xml:space="preserve"> </v>
      </c>
      <c r="N35" s="271" t="str">
        <f>IF(OR(Sheet1!D$192=1,Sheet1!D$194=1),IF(OR((B34&gt;=(Sheet1!D$148+$B$11)-1),AND(Sheet1!D$8=3,A34&gt;=6))," ",B34+1),NA())</f>
        <v xml:space="preserve"> </v>
      </c>
      <c r="O35" s="266" t="e">
        <f>IF(OR(Sheet1!D$192=1,Sheet1!D$194=1),IF(NOT(Sheet1!D$192=1),0,IF(ROUND(VLOOKUP(A35,StatusQuo!A$19:M$68,13),Sheet1!D$75)-ROUND(VLOOKUP(A35,AlternativeB!A$110:M$159,13),Sheet1!D$75)&gt;0,1,0))," ")</f>
        <v>#VALUE!</v>
      </c>
      <c r="P35" s="263" t="str">
        <f>IF(AND(A35&lt;&gt;" ",Sheet1!D$192=1,Sheet1!D$194=1),IF(AND(OR(Sheet1!D$8=2,Sheet1!D$22=3),O35&gt;10),0,ROUND(VLOOKUP(A35,StatusQuo!A$19:M$68,13),Sheet1!D$75)),IF(NOT(Sheet1!D$192=1),"not feasible",IF(A35=" "," ", "Savings is  n/a=&gt;")))</f>
        <v xml:space="preserve"> </v>
      </c>
      <c r="Q35" s="263" t="str">
        <f>IF(AND(A35&lt;&gt;" ",Sheet1!D$192=1,Sheet1!D$194=1),IF(AND(OR(Sheet1!D$8=2,Sheet1!D$22=3),O35&gt;10),0,ROUND(VLOOKUP(A35,AlternativeB!A$110:M$159,13),Sheet1!D$75)),IF(NOT(Sheet1!D$194=1),"not feasible",IF(A35=" "," ","&lt;== Savings is n/a")))</f>
        <v>not feasible</v>
      </c>
      <c r="R35" s="263" t="str">
        <f>IF(AND(A35&lt;&gt;" ",Sheet1!D$192=1,Sheet1!D$194=1),IF(G$81&lt;&gt;" ","???????",P35-Q35)," ")</f>
        <v xml:space="preserve"> </v>
      </c>
      <c r="S35" s="263" t="str">
        <f>IF(AND(A35&lt;&gt;" ",Sheet1!D$192=1,Sheet1!D$194=1),ROUND(R35*G35,Sheet1!D$75)," ")</f>
        <v xml:space="preserve"> </v>
      </c>
      <c r="T35" s="263" t="str">
        <f>IF(AND(A35&lt;&gt;" ",Sheet1!D$192=1,Sheet1!D$194=1),ROUND((R35/I35)*J35,Sheet1!D$75)," ")</f>
        <v xml:space="preserve"> </v>
      </c>
      <c r="U35" s="265">
        <f>SUM(T$11:T35)</f>
        <v>0</v>
      </c>
      <c r="V35" s="254" t="str">
        <f t="shared" si="0"/>
        <v xml:space="preserve"> </v>
      </c>
      <c r="W35" s="268">
        <f t="shared" si="1"/>
        <v>25</v>
      </c>
      <c r="X35" s="171" t="str">
        <f t="shared" si="2"/>
        <v xml:space="preserve"> </v>
      </c>
      <c r="AA35" s="265">
        <f>SUM(K$11:K35)</f>
        <v>0</v>
      </c>
      <c r="AB35" s="271" t="str">
        <f>IF(OR(Sheet1!D$192=1,Sheet1!D$194=1),IF(OR((AB34&gt;=(Sheet1!D$148+$A$11)-1),AND(Sheet1!D$8=3,AB34&gt;=6))," ",AB34+1),NA())</f>
        <v xml:space="preserve"> </v>
      </c>
      <c r="AC35" s="271" t="str">
        <f>IF(OR(Sheet1!D$192=1,Sheet1!D$194=1),IF(OR((AC34&gt;=(Sheet1!D$148+$B$11)-1),AND(Sheet1!D$8=3,AB34&gt;=6))," ",AC34+1),NA())</f>
        <v xml:space="preserve"> </v>
      </c>
      <c r="AD35" s="262"/>
      <c r="AE35" s="263" t="str">
        <f>IF(AND(Sheet1!D$194=1,AB35&lt;&gt;" "),ROUND(VLOOKUP(AB35,AlternativeB!A$17:M$66,12),Sheet1!D$75),IF(Sheet1!D$194=1," ","Alt  'B'  not feasible"))</f>
        <v>Alt  'B'  not feasible</v>
      </c>
      <c r="AF35" s="264" t="str">
        <f>IF(AB35&lt;=Sheet1!D$148, (1/((1+$AF$10)^(AB35-0.5)))," ")</f>
        <v xml:space="preserve"> </v>
      </c>
      <c r="AG35" s="263" t="str">
        <f>IF(AND(Sheet1!D$194=1,AB35&lt;&gt;" "),ROUND(+AE35*AF35,Sheet1!D$75)," ")</f>
        <v xml:space="preserve"> </v>
      </c>
      <c r="AH35" s="264" t="str">
        <f>IF(AB35&lt;&gt;" ",ROUND(VLOOKUP(Sheet1!E$82,CHOOSE(Sheet1!D$213,Inflate1,Inflate2,Inflate3,Inflate4,Inflate5,Inflate6,Inflate7,Inflate8),2),4)," ")</f>
        <v xml:space="preserve"> </v>
      </c>
      <c r="AI35" s="264" t="str">
        <f>IF(AB35&lt;&gt;" ",ROUND(VLOOKUP(AC35,CHOOSE(Sheet1!D$213,Inflate1,Inflate2,Inflate3,Inflate4,Inflate5,Inflate6,Inflate7,Inflate8),3),4)," ")</f>
        <v xml:space="preserve"> </v>
      </c>
      <c r="AJ35" s="263" t="b">
        <f>IF(AND(Sheet1!D$194=1,AB35&lt;&gt;" "),IF(AND(O35&lt;=10,OR(Sheet1!D$8=2,Sheet1!D$8=3,Sheet1!D$22=3)),ROUND((AE35/AH35)*AI35,Sheet1!D$75),IF(AND(Sheet1!D$8&lt;&gt;2,Sheet1!D$8&lt;&gt;3,Sheet1!D$22&lt;&gt;3),ROUND((AE35/AH35)*AI35,Sheet1!D$75)," ")))</f>
        <v>0</v>
      </c>
    </row>
    <row r="36" spans="1:36" ht="11.4" x14ac:dyDescent="0.2">
      <c r="A36" s="271" t="str">
        <f>IF(OR(Sheet1!D$192=1,Sheet1!D$194=1),IF(OR((A35&gt;=(Sheet1!D$148+$A$11)-1),AND(Sheet1!D$8=3,A35&gt;=6))," ",A35+1),NA())</f>
        <v xml:space="preserve"> </v>
      </c>
      <c r="B36" s="271" t="str">
        <f>IF(OR(Sheet1!D$192=1,Sheet1!D$194=1),IF(OR((B35&gt;=(Sheet1!D$148+$B$11)-1),AND(Sheet1!D$8=3,A35&gt;=6))," ",B35+1),NA())</f>
        <v xml:space="preserve"> </v>
      </c>
      <c r="C36" s="262"/>
      <c r="D36" s="263" t="str">
        <f>IF(AND(Sheet1!D$192=1,A36&lt;&gt;" "),ROUND(VLOOKUP(A36,StatusQuo!A$19:M$68,12),Sheet1!D$75),IF(Sheet1!D$192=1," ","SQ not feasible "))</f>
        <v xml:space="preserve"> </v>
      </c>
      <c r="E36" s="263" t="str">
        <f>IF(AND(Sheet1!D$194=1,A36&lt;&gt;" "),ROUND(VLOOKUP(A36,AlternativeB!A$110:M$159,12),Sheet1!D$75),IF(Sheet1!D$194=1," ","Alt  'B'  not feasible"))</f>
        <v>Alt  'B'  not feasible</v>
      </c>
      <c r="F36" s="263" t="str">
        <f>IF(AND(A36&lt;&gt;" ",Sheet1!D$192=1,Sheet1!D$194=1),D36-E36,IF(AND(Sheet1!D$194=1,A36&lt;&gt;" ")," "," "))</f>
        <v xml:space="preserve"> </v>
      </c>
      <c r="G36" s="264" t="str">
        <f>IF(A36&lt;=Sheet1!D$148, (1/((1+$G$10)^(A36-0.5)))," ")</f>
        <v xml:space="preserve"> </v>
      </c>
      <c r="H36" s="263" t="str">
        <f>IF(AND(A36&lt;&gt;" ",Sheet1!D$192=1,Sheet1!D$194=1),ROUND(F36*G36,Sheet1!D$75),IF(AND(A36&lt;&gt;" ",Sheet1!D$194=1),ROUND(E36*G36,Sheet1!D$75)," "))</f>
        <v xml:space="preserve"> </v>
      </c>
      <c r="I36" s="264" t="str">
        <f>IF(A36&lt;&gt;" ",ROUND(VLOOKUP(Sheet1!E$82,CHOOSE(Sheet1!D$233,Inflate7,Inflate2,Inflate3,Inflate4,Inflate5,Inflate6,Inflate1,Inflate8),2),4)," ")</f>
        <v xml:space="preserve"> </v>
      </c>
      <c r="J36" s="264" t="str">
        <f>IF(A36&lt;&gt;" ",ROUND(VLOOKUP(B36,CHOOSE(Sheet1!D$233,Inflate7,Inflate2,Inflate3,Inflate4,Inflate5,Inflate6,Inflate1,Inflate8),3),4)," ")</f>
        <v xml:space="preserve"> </v>
      </c>
      <c r="K36" s="265" t="str">
        <f>IF(AND(A36&lt;&gt;" ",Sheet1!D$192=1,Sheet1!D$194=1),ROUND((F36/I36)*J36,Sheet1!D$75),IF(AND(A36&lt;&gt;" ",Sheet1!D$194=1),ROUND((E36/I36)*J36,Sheet1!D$75)," "))</f>
        <v xml:space="preserve"> </v>
      </c>
      <c r="L36" s="254" t="str">
        <f>IF(Sheet1!D$192=1,IF(AND(AA36&gt;AJ$61,AA35&lt;=AJ$61),"&lt;-Payback"," ")," ")</f>
        <v xml:space="preserve"> </v>
      </c>
      <c r="M36" s="271" t="str">
        <f>IF(OR(Sheet1!D$192=1,Sheet1!D$194=1),IF(OR((A35&gt;=(Sheet1!D$148+$A$11)-1),AND(Sheet1!D$8=3,A35&gt;=6))," ",A35+1),NA())</f>
        <v xml:space="preserve"> </v>
      </c>
      <c r="N36" s="271" t="str">
        <f>IF(OR(Sheet1!D$192=1,Sheet1!D$194=1),IF(OR((B35&gt;=(Sheet1!D$148+$B$11)-1),AND(Sheet1!D$8=3,A35&gt;=6))," ",B35+1),NA())</f>
        <v xml:space="preserve"> </v>
      </c>
      <c r="O36" s="266" t="e">
        <f>IF(OR(Sheet1!D$192=1,Sheet1!D$194=1),IF(NOT(Sheet1!D$192=1),0,IF(ROUND(VLOOKUP(A36,StatusQuo!A$19:M$68,13),Sheet1!D$75)-ROUND(VLOOKUP(A36,AlternativeB!A$110:M$159,13),Sheet1!D$75)&gt;0,1,0))," ")</f>
        <v>#VALUE!</v>
      </c>
      <c r="P36" s="263" t="str">
        <f>IF(AND(A36&lt;&gt;" ",Sheet1!D$192=1,Sheet1!D$194=1),IF(AND(OR(Sheet1!D$8=2,Sheet1!D$22=3),O36&gt;10),0,ROUND(VLOOKUP(A36,StatusQuo!A$19:M$68,13),Sheet1!D$75)),IF(NOT(Sheet1!D$192=1),"not feasible",IF(A36=" "," ", "Savings is  n/a=&gt;")))</f>
        <v xml:space="preserve"> </v>
      </c>
      <c r="Q36" s="263" t="str">
        <f>IF(AND(A36&lt;&gt;" ",Sheet1!D$192=1,Sheet1!D$194=1),IF(AND(OR(Sheet1!D$8=2,Sheet1!D$22=3),O36&gt;10),0,ROUND(VLOOKUP(A36,AlternativeB!A$110:M$159,13),Sheet1!D$75)),IF(NOT(Sheet1!D$194=1),"not feasible",IF(A36=" "," ","&lt;== Savings is n/a")))</f>
        <v>not feasible</v>
      </c>
      <c r="R36" s="263" t="str">
        <f>IF(AND(A36&lt;&gt;" ",Sheet1!D$192=1,Sheet1!D$194=1),IF(G$81&lt;&gt;" ","???????",P36-Q36)," ")</f>
        <v xml:space="preserve"> </v>
      </c>
      <c r="S36" s="263" t="str">
        <f>IF(AND(A36&lt;&gt;" ",Sheet1!D$192=1,Sheet1!D$194=1),ROUND(R36*G36,Sheet1!D$75)," ")</f>
        <v xml:space="preserve"> </v>
      </c>
      <c r="T36" s="263" t="str">
        <f>IF(AND(A36&lt;&gt;" ",Sheet1!D$192=1,Sheet1!D$194=1),ROUND((R36/I36)*J36,Sheet1!D$75)," ")</f>
        <v xml:space="preserve"> </v>
      </c>
      <c r="U36" s="265">
        <f>SUM(T$11:T36)</f>
        <v>0</v>
      </c>
      <c r="V36" s="254" t="str">
        <f t="shared" si="0"/>
        <v xml:space="preserve"> </v>
      </c>
      <c r="W36" s="268">
        <f t="shared" si="1"/>
        <v>26</v>
      </c>
      <c r="X36" s="171" t="str">
        <f t="shared" si="2"/>
        <v xml:space="preserve"> </v>
      </c>
      <c r="AA36" s="265">
        <f>SUM(K$11:K36)</f>
        <v>0</v>
      </c>
      <c r="AB36" s="271" t="str">
        <f>IF(OR(Sheet1!D$192=1,Sheet1!D$194=1),IF(OR((AB35&gt;=(Sheet1!D$148+$A$11)-1),AND(Sheet1!D$8=3,AB35&gt;=6))," ",AB35+1),NA())</f>
        <v xml:space="preserve"> </v>
      </c>
      <c r="AC36" s="271" t="str">
        <f>IF(OR(Sheet1!D$192=1,Sheet1!D$194=1),IF(OR((AC35&gt;=(Sheet1!D$148+$B$11)-1),AND(Sheet1!D$8=3,AB35&gt;=6))," ",AC35+1),NA())</f>
        <v xml:space="preserve"> </v>
      </c>
      <c r="AD36" s="262"/>
      <c r="AE36" s="263" t="str">
        <f>IF(AND(Sheet1!D$194=1,AB36&lt;&gt;" "),ROUND(VLOOKUP(AB36,AlternativeB!A$17:M$66,12),Sheet1!D$75),IF(Sheet1!D$194=1," ","Alt  'B'  not feasible"))</f>
        <v>Alt  'B'  not feasible</v>
      </c>
      <c r="AF36" s="264" t="str">
        <f>IF(AB36&lt;=Sheet1!D$148, (1/((1+$AF$10)^(AB36-0.5)))," ")</f>
        <v xml:space="preserve"> </v>
      </c>
      <c r="AG36" s="263" t="str">
        <f>IF(AND(Sheet1!D$194=1,AB36&lt;&gt;" "),ROUND(+AE36*AF36,Sheet1!D$75)," ")</f>
        <v xml:space="preserve"> </v>
      </c>
      <c r="AH36" s="264" t="str">
        <f>IF(AB36&lt;&gt;" ",ROUND(VLOOKUP(Sheet1!E$82,CHOOSE(Sheet1!D$213,Inflate1,Inflate2,Inflate3,Inflate4,Inflate5,Inflate6,Inflate7,Inflate8),2),4)," ")</f>
        <v xml:space="preserve"> </v>
      </c>
      <c r="AI36" s="264" t="str">
        <f>IF(AB36&lt;&gt;" ",ROUND(VLOOKUP(AC36,CHOOSE(Sheet1!D$213,Inflate1,Inflate2,Inflate3,Inflate4,Inflate5,Inflate6,Inflate7,Inflate8),3),4)," ")</f>
        <v xml:space="preserve"> </v>
      </c>
      <c r="AJ36" s="263" t="b">
        <f>IF(AND(Sheet1!D$194=1,AB36&lt;&gt;" "),IF(AND(O36&lt;=10,OR(Sheet1!D$8=2,Sheet1!D$8=3,Sheet1!D$22=3)),ROUND((AE36/AH36)*AI36,Sheet1!D$75),IF(AND(Sheet1!D$8&lt;&gt;2,Sheet1!D$8&lt;&gt;3,Sheet1!D$22&lt;&gt;3),ROUND((AE36/AH36)*AI36,Sheet1!D$75)," ")))</f>
        <v>0</v>
      </c>
    </row>
    <row r="37" spans="1:36" ht="11.4" x14ac:dyDescent="0.2">
      <c r="A37" s="271" t="str">
        <f>IF(OR(Sheet1!D$192=1,Sheet1!D$194=1),IF(OR((A36&gt;=(Sheet1!D$148+$A$11)-1),AND(Sheet1!D$8=3,A36&gt;=6))," ",A36+1),NA())</f>
        <v xml:space="preserve"> </v>
      </c>
      <c r="B37" s="271" t="str">
        <f>IF(OR(Sheet1!D$192=1,Sheet1!D$194=1),IF(OR((B36&gt;=(Sheet1!D$148+$B$11)-1),AND(Sheet1!D$8=3,A36&gt;=6))," ",B36+1),NA())</f>
        <v xml:space="preserve"> </v>
      </c>
      <c r="C37" s="262"/>
      <c r="D37" s="263" t="str">
        <f>IF(AND(Sheet1!D$192=1,A37&lt;&gt;" "),ROUND(VLOOKUP(A37,StatusQuo!A$19:M$68,12),Sheet1!D$75),IF(Sheet1!D$192=1," ","SQ not feasible "))</f>
        <v xml:space="preserve"> </v>
      </c>
      <c r="E37" s="263" t="str">
        <f>IF(AND(Sheet1!D$194=1,A37&lt;&gt;" "),ROUND(VLOOKUP(A37,AlternativeB!A$110:M$159,12),Sheet1!D$75),IF(Sheet1!D$194=1," ","Alt  'B'  not feasible"))</f>
        <v>Alt  'B'  not feasible</v>
      </c>
      <c r="F37" s="263" t="str">
        <f>IF(AND(A37&lt;&gt;" ",Sheet1!D$192=1,Sheet1!D$194=1),D37-E37,IF(AND(Sheet1!D$194=1,A37&lt;&gt;" ")," "," "))</f>
        <v xml:space="preserve"> </v>
      </c>
      <c r="G37" s="264" t="str">
        <f>IF(A37&lt;=Sheet1!D$148, (1/((1+$G$10)^(A37-0.5)))," ")</f>
        <v xml:space="preserve"> </v>
      </c>
      <c r="H37" s="263" t="str">
        <f>IF(AND(A37&lt;&gt;" ",Sheet1!D$192=1,Sheet1!D$194=1),ROUND(F37*G37,Sheet1!D$75),IF(AND(A37&lt;&gt;" ",Sheet1!D$194=1),ROUND(E37*G37,Sheet1!D$75)," "))</f>
        <v xml:space="preserve"> </v>
      </c>
      <c r="I37" s="264" t="str">
        <f>IF(A37&lt;&gt;" ",ROUND(VLOOKUP(Sheet1!E$82,CHOOSE(Sheet1!D$233,Inflate7,Inflate2,Inflate3,Inflate4,Inflate5,Inflate6,Inflate1,Inflate8),2),4)," ")</f>
        <v xml:space="preserve"> </v>
      </c>
      <c r="J37" s="264" t="str">
        <f>IF(A37&lt;&gt;" ",ROUND(VLOOKUP(B37,CHOOSE(Sheet1!D$233,Inflate7,Inflate2,Inflate3,Inflate4,Inflate5,Inflate6,Inflate1,Inflate8),3),4)," ")</f>
        <v xml:space="preserve"> </v>
      </c>
      <c r="K37" s="265" t="str">
        <f>IF(AND(A37&lt;&gt;" ",Sheet1!D$192=1,Sheet1!D$194=1),ROUND((F37/I37)*J37,Sheet1!D$75),IF(AND(A37&lt;&gt;" ",Sheet1!D$194=1),ROUND((E37/I37)*J37,Sheet1!D$75)," "))</f>
        <v xml:space="preserve"> </v>
      </c>
      <c r="L37" s="254" t="str">
        <f>IF(Sheet1!D$192=1,IF(AND(AA37&gt;AJ$61,AA36&lt;=AJ$61),"&lt;-Payback"," ")," ")</f>
        <v xml:space="preserve"> </v>
      </c>
      <c r="M37" s="271" t="str">
        <f>IF(OR(Sheet1!D$192=1,Sheet1!D$194=1),IF(OR((A36&gt;=(Sheet1!D$148+$A$11)-1),AND(Sheet1!D$8=3,A36&gt;=6))," ",A36+1),NA())</f>
        <v xml:space="preserve"> </v>
      </c>
      <c r="N37" s="271" t="str">
        <f>IF(OR(Sheet1!D$192=1,Sheet1!D$194=1),IF(OR((B36&gt;=(Sheet1!D$148+$B$11)-1),AND(Sheet1!D$8=3,A36&gt;=6))," ",B36+1),NA())</f>
        <v xml:space="preserve"> </v>
      </c>
      <c r="O37" s="266" t="e">
        <f>IF(OR(Sheet1!D$192=1,Sheet1!D$194=1),IF(NOT(Sheet1!D$192=1),0,IF(ROUND(VLOOKUP(A37,StatusQuo!A$19:M$68,13),Sheet1!D$75)-ROUND(VLOOKUP(A37,AlternativeB!A$110:M$159,13),Sheet1!D$75)&gt;0,1,0))," ")</f>
        <v>#VALUE!</v>
      </c>
      <c r="P37" s="263" t="str">
        <f>IF(AND(A37&lt;&gt;" ",Sheet1!D$192=1,Sheet1!D$194=1),IF(AND(OR(Sheet1!D$8=2,Sheet1!D$22=3),O37&gt;10),0,ROUND(VLOOKUP(A37,StatusQuo!A$19:M$68,13),Sheet1!D$75)),IF(NOT(Sheet1!D$192=1),"not feasible",IF(A37=" "," ", "Savings is  n/a=&gt;")))</f>
        <v xml:space="preserve"> </v>
      </c>
      <c r="Q37" s="263" t="str">
        <f>IF(AND(A37&lt;&gt;" ",Sheet1!D$192=1,Sheet1!D$194=1),IF(AND(OR(Sheet1!D$8=2,Sheet1!D$22=3),O37&gt;10),0,ROUND(VLOOKUP(A37,AlternativeB!A$110:M$159,13),Sheet1!D$75)),IF(NOT(Sheet1!D$194=1),"not feasible",IF(A37=" "," ","&lt;== Savings is n/a")))</f>
        <v>not feasible</v>
      </c>
      <c r="R37" s="263" t="str">
        <f>IF(AND(A37&lt;&gt;" ",Sheet1!D$192=1,Sheet1!D$194=1),IF(G$81&lt;&gt;" ","???????",P37-Q37)," ")</f>
        <v xml:space="preserve"> </v>
      </c>
      <c r="S37" s="263" t="str">
        <f>IF(AND(A37&lt;&gt;" ",Sheet1!D$192=1,Sheet1!D$194=1),ROUND(R37*G37,Sheet1!D$75)," ")</f>
        <v xml:space="preserve"> </v>
      </c>
      <c r="T37" s="263" t="str">
        <f>IF(AND(A37&lt;&gt;" ",Sheet1!D$192=1,Sheet1!D$194=1),ROUND((R37/I37)*J37,Sheet1!D$75)," ")</f>
        <v xml:space="preserve"> </v>
      </c>
      <c r="U37" s="265">
        <f>SUM(T$11:T37)</f>
        <v>0</v>
      </c>
      <c r="V37" s="254" t="str">
        <f t="shared" si="0"/>
        <v xml:space="preserve"> </v>
      </c>
      <c r="W37" s="268">
        <f t="shared" si="1"/>
        <v>27</v>
      </c>
      <c r="X37" s="171" t="str">
        <f t="shared" si="2"/>
        <v xml:space="preserve"> </v>
      </c>
      <c r="AA37" s="265">
        <f>SUM(K$11:K37)</f>
        <v>0</v>
      </c>
      <c r="AB37" s="271" t="str">
        <f>IF(OR(Sheet1!D$192=1,Sheet1!D$194=1),IF(OR((AB36&gt;=(Sheet1!D$148+$A$11)-1),AND(Sheet1!D$8=3,AB36&gt;=6))," ",AB36+1),NA())</f>
        <v xml:space="preserve"> </v>
      </c>
      <c r="AC37" s="271" t="str">
        <f>IF(OR(Sheet1!D$192=1,Sheet1!D$194=1),IF(OR((AC36&gt;=(Sheet1!D$148+$B$11)-1),AND(Sheet1!D$8=3,AB36&gt;=6))," ",AC36+1),NA())</f>
        <v xml:space="preserve"> </v>
      </c>
      <c r="AD37" s="262"/>
      <c r="AE37" s="263" t="str">
        <f>IF(AND(Sheet1!D$194=1,AB37&lt;&gt;" "),ROUND(VLOOKUP(AB37,AlternativeB!A$17:M$66,12),Sheet1!D$75),IF(Sheet1!D$194=1," ","Alt  'B'  not feasible"))</f>
        <v>Alt  'B'  not feasible</v>
      </c>
      <c r="AF37" s="264" t="str">
        <f>IF(AB37&lt;=Sheet1!D$148, (1/((1+$AF$10)^(AB37-0.5)))," ")</f>
        <v xml:space="preserve"> </v>
      </c>
      <c r="AG37" s="263" t="str">
        <f>IF(AND(Sheet1!D$194=1,AB37&lt;&gt;" "),ROUND(+AE37*AF37,Sheet1!D$75)," ")</f>
        <v xml:space="preserve"> </v>
      </c>
      <c r="AH37" s="264" t="str">
        <f>IF(AB37&lt;&gt;" ",ROUND(VLOOKUP(Sheet1!E$82,CHOOSE(Sheet1!D$213,Inflate1,Inflate2,Inflate3,Inflate4,Inflate5,Inflate6,Inflate7,Inflate8),2),4)," ")</f>
        <v xml:space="preserve"> </v>
      </c>
      <c r="AI37" s="264" t="str">
        <f>IF(AB37&lt;&gt;" ",ROUND(VLOOKUP(AC37,CHOOSE(Sheet1!D$213,Inflate1,Inflate2,Inflate3,Inflate4,Inflate5,Inflate6,Inflate7,Inflate8),3),4)," ")</f>
        <v xml:space="preserve"> </v>
      </c>
      <c r="AJ37" s="263" t="b">
        <f>IF(AND(Sheet1!D$194=1,AB37&lt;&gt;" "),IF(AND(O37&lt;=10,OR(Sheet1!D$8=2,Sheet1!D$8=3,Sheet1!D$22=3)),ROUND((AE37/AH37)*AI37,Sheet1!D$75),IF(AND(Sheet1!D$8&lt;&gt;2,Sheet1!D$8&lt;&gt;3,Sheet1!D$22&lt;&gt;3),ROUND((AE37/AH37)*AI37,Sheet1!D$75)," ")))</f>
        <v>0</v>
      </c>
    </row>
    <row r="38" spans="1:36" ht="11.4" x14ac:dyDescent="0.2">
      <c r="A38" s="271" t="str">
        <f>IF(OR(Sheet1!D$192=1,Sheet1!D$194=1),IF(OR((A37&gt;=(Sheet1!D$148+$A$11)-1),AND(Sheet1!D$8=3,A37&gt;=6))," ",A37+1),NA())</f>
        <v xml:space="preserve"> </v>
      </c>
      <c r="B38" s="271" t="str">
        <f>IF(OR(Sheet1!D$192=1,Sheet1!D$194=1),IF(OR((B37&gt;=(Sheet1!D$148+$B$11)-1),AND(Sheet1!D$8=3,A37&gt;=6))," ",B37+1),NA())</f>
        <v xml:space="preserve"> </v>
      </c>
      <c r="C38" s="262"/>
      <c r="D38" s="263" t="str">
        <f>IF(AND(Sheet1!D$192=1,A38&lt;&gt;" "),ROUND(VLOOKUP(A38,StatusQuo!A$19:M$68,12),Sheet1!D$75),IF(Sheet1!D$192=1," ","SQ not feasible "))</f>
        <v xml:space="preserve"> </v>
      </c>
      <c r="E38" s="263" t="str">
        <f>IF(AND(Sheet1!D$194=1,A38&lt;&gt;" "),ROUND(VLOOKUP(A38,AlternativeB!A$110:M$159,12),Sheet1!D$75),IF(Sheet1!D$194=1," ","Alt  'B'  not feasible"))</f>
        <v>Alt  'B'  not feasible</v>
      </c>
      <c r="F38" s="263" t="str">
        <f>IF(AND(A38&lt;&gt;" ",Sheet1!D$192=1,Sheet1!D$194=1),D38-E38,IF(AND(Sheet1!D$194=1,A38&lt;&gt;" ")," "," "))</f>
        <v xml:space="preserve"> </v>
      </c>
      <c r="G38" s="264" t="str">
        <f>IF(A38&lt;=Sheet1!D$148, (1/((1+$G$10)^(A38-0.5)))," ")</f>
        <v xml:space="preserve"> </v>
      </c>
      <c r="H38" s="263" t="str">
        <f>IF(AND(A38&lt;&gt;" ",Sheet1!D$192=1,Sheet1!D$194=1),ROUND(F38*G38,Sheet1!D$75),IF(AND(A38&lt;&gt;" ",Sheet1!D$194=1),ROUND(E38*G38,Sheet1!D$75)," "))</f>
        <v xml:space="preserve"> </v>
      </c>
      <c r="I38" s="264" t="str">
        <f>IF(A38&lt;&gt;" ",ROUND(VLOOKUP(Sheet1!E$82,CHOOSE(Sheet1!D$233,Inflate7,Inflate2,Inflate3,Inflate4,Inflate5,Inflate6,Inflate1,Inflate8),2),4)," ")</f>
        <v xml:space="preserve"> </v>
      </c>
      <c r="J38" s="264" t="str">
        <f>IF(A38&lt;&gt;" ",ROUND(VLOOKUP(B38,CHOOSE(Sheet1!D$233,Inflate7,Inflate2,Inflate3,Inflate4,Inflate5,Inflate6,Inflate1,Inflate8),3),4)," ")</f>
        <v xml:space="preserve"> </v>
      </c>
      <c r="K38" s="265" t="str">
        <f>IF(AND(A38&lt;&gt;" ",Sheet1!D$192=1,Sheet1!D$194=1),ROUND((F38/I38)*J38,Sheet1!D$75),IF(AND(A38&lt;&gt;" ",Sheet1!D$194=1),ROUND((E38/I38)*J38,Sheet1!D$75)," "))</f>
        <v xml:space="preserve"> </v>
      </c>
      <c r="L38" s="254" t="str">
        <f>IF(Sheet1!D$192=1,IF(AND(AA38&gt;AJ$61,AA37&lt;=AJ$61),"&lt;-Payback"," ")," ")</f>
        <v xml:space="preserve"> </v>
      </c>
      <c r="M38" s="271" t="str">
        <f>IF(OR(Sheet1!D$192=1,Sheet1!D$194=1),IF(OR((A37&gt;=(Sheet1!D$148+$A$11)-1),AND(Sheet1!D$8=3,A37&gt;=6))," ",A37+1),NA())</f>
        <v xml:space="preserve"> </v>
      </c>
      <c r="N38" s="271" t="str">
        <f>IF(OR(Sheet1!D$192=1,Sheet1!D$194=1),IF(OR((B37&gt;=(Sheet1!D$148+$B$11)-1),AND(Sheet1!D$8=3,A37&gt;=6))," ",B37+1),NA())</f>
        <v xml:space="preserve"> </v>
      </c>
      <c r="O38" s="266" t="e">
        <f>IF(OR(Sheet1!D$192=1,Sheet1!D$194=1),IF(NOT(Sheet1!D$192=1),0,IF(ROUND(VLOOKUP(A38,StatusQuo!A$19:M$68,13),Sheet1!D$75)-ROUND(VLOOKUP(A38,AlternativeB!A$110:M$159,13),Sheet1!D$75)&gt;0,1,0))," ")</f>
        <v>#VALUE!</v>
      </c>
      <c r="P38" s="263" t="str">
        <f>IF(AND(A38&lt;&gt;" ",Sheet1!D$192=1,Sheet1!D$194=1),IF(AND(OR(Sheet1!D$8=2,Sheet1!D$22=3),O38&gt;10),0,ROUND(VLOOKUP(A38,StatusQuo!A$19:M$68,13),Sheet1!D$75)),IF(NOT(Sheet1!D$192=1),"not feasible",IF(A38=" "," ", "Savings is  n/a=&gt;")))</f>
        <v xml:space="preserve"> </v>
      </c>
      <c r="Q38" s="263" t="str">
        <f>IF(AND(A38&lt;&gt;" ",Sheet1!D$192=1,Sheet1!D$194=1),IF(AND(OR(Sheet1!D$8=2,Sheet1!D$22=3),O38&gt;10),0,ROUND(VLOOKUP(A38,AlternativeB!A$110:M$159,13),Sheet1!D$75)),IF(NOT(Sheet1!D$194=1),"not feasible",IF(A38=" "," ","&lt;== Savings is n/a")))</f>
        <v>not feasible</v>
      </c>
      <c r="R38" s="263" t="str">
        <f>IF(AND(A38&lt;&gt;" ",Sheet1!D$192=1,Sheet1!D$194=1),IF(G$81&lt;&gt;" ","???????",P38-Q38)," ")</f>
        <v xml:space="preserve"> </v>
      </c>
      <c r="S38" s="263" t="str">
        <f>IF(AND(A38&lt;&gt;" ",Sheet1!D$192=1,Sheet1!D$194=1),ROUND(R38*G38,Sheet1!D$75)," ")</f>
        <v xml:space="preserve"> </v>
      </c>
      <c r="T38" s="263" t="str">
        <f>IF(AND(A38&lt;&gt;" ",Sheet1!D$192=1,Sheet1!D$194=1),ROUND((R38/I38)*J38,Sheet1!D$75)," ")</f>
        <v xml:space="preserve"> </v>
      </c>
      <c r="U38" s="265">
        <f>SUM(T$11:T38)</f>
        <v>0</v>
      </c>
      <c r="V38" s="254" t="str">
        <f t="shared" si="0"/>
        <v xml:space="preserve"> </v>
      </c>
      <c r="W38" s="268">
        <f t="shared" si="1"/>
        <v>28</v>
      </c>
      <c r="X38" s="171" t="str">
        <f t="shared" si="2"/>
        <v xml:space="preserve"> </v>
      </c>
      <c r="AA38" s="265">
        <f>SUM(K$11:K38)</f>
        <v>0</v>
      </c>
      <c r="AB38" s="271" t="str">
        <f>IF(OR(Sheet1!D$192=1,Sheet1!D$194=1),IF(OR((AB37&gt;=(Sheet1!D$148+$A$11)-1),AND(Sheet1!D$8=3,AB37&gt;=6))," ",AB37+1),NA())</f>
        <v xml:space="preserve"> </v>
      </c>
      <c r="AC38" s="271" t="str">
        <f>IF(OR(Sheet1!D$192=1,Sheet1!D$194=1),IF(OR((AC37&gt;=(Sheet1!D$148+$B$11)-1),AND(Sheet1!D$8=3,AB37&gt;=6))," ",AC37+1),NA())</f>
        <v xml:space="preserve"> </v>
      </c>
      <c r="AD38" s="262"/>
      <c r="AE38" s="263" t="str">
        <f>IF(AND(Sheet1!D$194=1,AB38&lt;&gt;" "),ROUND(VLOOKUP(AB38,AlternativeB!A$17:M$66,12),Sheet1!D$75),IF(Sheet1!D$194=1," ","Alt  'B'  not feasible"))</f>
        <v>Alt  'B'  not feasible</v>
      </c>
      <c r="AF38" s="264" t="str">
        <f>IF(AB38&lt;=Sheet1!D$148, (1/((1+$AF$10)^(AB38-0.5)))," ")</f>
        <v xml:space="preserve"> </v>
      </c>
      <c r="AG38" s="263" t="str">
        <f>IF(AND(Sheet1!D$194=1,AB38&lt;&gt;" "),ROUND(+AE38*AF38,Sheet1!D$75)," ")</f>
        <v xml:space="preserve"> </v>
      </c>
      <c r="AH38" s="264" t="str">
        <f>IF(AB38&lt;&gt;" ",ROUND(VLOOKUP(Sheet1!E$82,CHOOSE(Sheet1!D$213,Inflate1,Inflate2,Inflate3,Inflate4,Inflate5,Inflate6,Inflate7,Inflate8),2),4)," ")</f>
        <v xml:space="preserve"> </v>
      </c>
      <c r="AI38" s="264" t="str">
        <f>IF(AB38&lt;&gt;" ",ROUND(VLOOKUP(AC38,CHOOSE(Sheet1!D$213,Inflate1,Inflate2,Inflate3,Inflate4,Inflate5,Inflate6,Inflate7,Inflate8),3),4)," ")</f>
        <v xml:space="preserve"> </v>
      </c>
      <c r="AJ38" s="263" t="b">
        <f>IF(AND(Sheet1!D$194=1,AB38&lt;&gt;" "),IF(AND(O38&lt;=10,OR(Sheet1!D$8=2,Sheet1!D$8=3,Sheet1!D$22=3)),ROUND((AE38/AH38)*AI38,Sheet1!D$75),IF(AND(Sheet1!D$8&lt;&gt;2,Sheet1!D$8&lt;&gt;3,Sheet1!D$22&lt;&gt;3),ROUND((AE38/AH38)*AI38,Sheet1!D$75)," ")))</f>
        <v>0</v>
      </c>
    </row>
    <row r="39" spans="1:36" ht="11.4" x14ac:dyDescent="0.2">
      <c r="A39" s="271" t="str">
        <f>IF(OR(Sheet1!D$192=1,Sheet1!D$194=1),IF(OR((A38&gt;=(Sheet1!D$148+$A$11)-1),AND(Sheet1!D$8=3,A38&gt;=6))," ",A38+1),NA())</f>
        <v xml:space="preserve"> </v>
      </c>
      <c r="B39" s="271" t="str">
        <f>IF(OR(Sheet1!D$192=1,Sheet1!D$194=1),IF(OR((B38&gt;=(Sheet1!D$148+$B$11)-1),AND(Sheet1!D$8=3,A38&gt;=6))," ",B38+1),NA())</f>
        <v xml:space="preserve"> </v>
      </c>
      <c r="C39" s="262"/>
      <c r="D39" s="263" t="str">
        <f>IF(AND(Sheet1!D$192=1,A39&lt;&gt;" "),ROUND(VLOOKUP(A39,StatusQuo!A$19:M$68,12),Sheet1!D$75),IF(Sheet1!D$192=1," ","SQ not feasible "))</f>
        <v xml:space="preserve"> </v>
      </c>
      <c r="E39" s="263" t="str">
        <f>IF(AND(Sheet1!D$194=1,A39&lt;&gt;" "),ROUND(VLOOKUP(A39,AlternativeB!A$110:M$159,12),Sheet1!D$75),IF(Sheet1!D$194=1," ","Alt  'B'  not feasible"))</f>
        <v>Alt  'B'  not feasible</v>
      </c>
      <c r="F39" s="263" t="str">
        <f>IF(AND(A39&lt;&gt;" ",Sheet1!D$192=1,Sheet1!D$194=1),D39-E39,IF(AND(Sheet1!D$194=1,A39&lt;&gt;" ")," "," "))</f>
        <v xml:space="preserve"> </v>
      </c>
      <c r="G39" s="264" t="str">
        <f>IF(A39&lt;=Sheet1!D$148, (1/((1+$G$10)^(A39-0.5)))," ")</f>
        <v xml:space="preserve"> </v>
      </c>
      <c r="H39" s="263" t="str">
        <f>IF(AND(A39&lt;&gt;" ",Sheet1!D$192=1,Sheet1!D$194=1),ROUND(F39*G39,Sheet1!D$75),IF(AND(A39&lt;&gt;" ",Sheet1!D$194=1),ROUND(E39*G39,Sheet1!D$75)," "))</f>
        <v xml:space="preserve"> </v>
      </c>
      <c r="I39" s="264" t="str">
        <f>IF(A39&lt;&gt;" ",ROUND(VLOOKUP(Sheet1!E$82,CHOOSE(Sheet1!D$233,Inflate7,Inflate2,Inflate3,Inflate4,Inflate5,Inflate6,Inflate1,Inflate8),2),4)," ")</f>
        <v xml:space="preserve"> </v>
      </c>
      <c r="J39" s="264" t="str">
        <f>IF(A39&lt;&gt;" ",ROUND(VLOOKUP(B39,CHOOSE(Sheet1!D$233,Inflate7,Inflate2,Inflate3,Inflate4,Inflate5,Inflate6,Inflate1,Inflate8),3),4)," ")</f>
        <v xml:space="preserve"> </v>
      </c>
      <c r="K39" s="265" t="str">
        <f>IF(AND(A39&lt;&gt;" ",Sheet1!D$192=1,Sheet1!D$194=1),ROUND((F39/I39)*J39,Sheet1!D$75),IF(AND(A39&lt;&gt;" ",Sheet1!D$194=1),ROUND((E39/I39)*J39,Sheet1!D$75)," "))</f>
        <v xml:space="preserve"> </v>
      </c>
      <c r="L39" s="254" t="str">
        <f>IF(Sheet1!D$192=1,IF(AND(AA39&gt;AJ$61,AA38&lt;=AJ$61),"&lt;-Payback"," ")," ")</f>
        <v xml:space="preserve"> </v>
      </c>
      <c r="M39" s="271" t="str">
        <f>IF(OR(Sheet1!D$192=1,Sheet1!D$194=1),IF(OR((A38&gt;=(Sheet1!D$148+$A$11)-1),AND(Sheet1!D$8=3,A38&gt;=6))," ",A38+1),NA())</f>
        <v xml:space="preserve"> </v>
      </c>
      <c r="N39" s="271" t="str">
        <f>IF(OR(Sheet1!D$192=1,Sheet1!D$194=1),IF(OR((B38&gt;=(Sheet1!D$148+$B$11)-1),AND(Sheet1!D$8=3,A38&gt;=6))," ",B38+1),NA())</f>
        <v xml:space="preserve"> </v>
      </c>
      <c r="O39" s="266" t="e">
        <f>IF(OR(Sheet1!D$192=1,Sheet1!D$194=1),IF(NOT(Sheet1!D$192=1),0,IF(ROUND(VLOOKUP(A39,StatusQuo!A$19:M$68,13),Sheet1!D$75)-ROUND(VLOOKUP(A39,AlternativeB!A$110:M$159,13),Sheet1!D$75)&gt;0,1,0))," ")</f>
        <v>#VALUE!</v>
      </c>
      <c r="P39" s="263" t="str">
        <f>IF(AND(A39&lt;&gt;" ",Sheet1!D$192=1,Sheet1!D$194=1),IF(AND(OR(Sheet1!D$8=2,Sheet1!D$22=3),O39&gt;10),0,ROUND(VLOOKUP(A39,StatusQuo!A$19:M$68,13),Sheet1!D$75)),IF(NOT(Sheet1!D$192=1),"not feasible",IF(A39=" "," ", "Savings is  n/a=&gt;")))</f>
        <v xml:space="preserve"> </v>
      </c>
      <c r="Q39" s="263" t="str">
        <f>IF(AND(A39&lt;&gt;" ",Sheet1!D$192=1,Sheet1!D$194=1),IF(AND(OR(Sheet1!D$8=2,Sheet1!D$22=3),O39&gt;10),0,ROUND(VLOOKUP(A39,AlternativeB!A$110:M$159,13),Sheet1!D$75)),IF(NOT(Sheet1!D$194=1),"not feasible",IF(A39=" "," ","&lt;== Savings is n/a")))</f>
        <v>not feasible</v>
      </c>
      <c r="R39" s="263" t="str">
        <f>IF(AND(A39&lt;&gt;" ",Sheet1!D$192=1,Sheet1!D$194=1),IF(G$81&lt;&gt;" ","???????",P39-Q39)," ")</f>
        <v xml:space="preserve"> </v>
      </c>
      <c r="S39" s="263" t="str">
        <f>IF(AND(A39&lt;&gt;" ",Sheet1!D$192=1,Sheet1!D$194=1),ROUND(R39*G39,Sheet1!D$75)," ")</f>
        <v xml:space="preserve"> </v>
      </c>
      <c r="T39" s="263" t="str">
        <f>IF(AND(A39&lt;&gt;" ",Sheet1!D$192=1,Sheet1!D$194=1),ROUND((R39/I39)*J39,Sheet1!D$75)," ")</f>
        <v xml:space="preserve"> </v>
      </c>
      <c r="U39" s="265">
        <f>SUM(T$11:T39)</f>
        <v>0</v>
      </c>
      <c r="V39" s="254" t="str">
        <f t="shared" si="0"/>
        <v xml:space="preserve"> </v>
      </c>
      <c r="W39" s="268">
        <f t="shared" si="1"/>
        <v>29</v>
      </c>
      <c r="X39" s="171" t="str">
        <f t="shared" si="2"/>
        <v xml:space="preserve"> </v>
      </c>
      <c r="AA39" s="265">
        <f>SUM(K$11:K39)</f>
        <v>0</v>
      </c>
      <c r="AB39" s="271" t="str">
        <f>IF(OR(Sheet1!D$192=1,Sheet1!D$194=1),IF(OR((AB38&gt;=(Sheet1!D$148+$A$11)-1),AND(Sheet1!D$8=3,AB38&gt;=6))," ",AB38+1),NA())</f>
        <v xml:space="preserve"> </v>
      </c>
      <c r="AC39" s="271" t="str">
        <f>IF(OR(Sheet1!D$192=1,Sheet1!D$194=1),IF(OR((AC38&gt;=(Sheet1!D$148+$B$11)-1),AND(Sheet1!D$8=3,AB38&gt;=6))," ",AC38+1),NA())</f>
        <v xml:space="preserve"> </v>
      </c>
      <c r="AD39" s="262"/>
      <c r="AE39" s="263" t="str">
        <f>IF(AND(Sheet1!D$194=1,AB39&lt;&gt;" "),ROUND(VLOOKUP(AB39,AlternativeB!A$17:M$66,12),Sheet1!D$75),IF(Sheet1!D$194=1," ","Alt  'B'  not feasible"))</f>
        <v>Alt  'B'  not feasible</v>
      </c>
      <c r="AF39" s="264" t="str">
        <f>IF(AB39&lt;=Sheet1!D$148, (1/((1+$AF$10)^(AB39-0.5)))," ")</f>
        <v xml:space="preserve"> </v>
      </c>
      <c r="AG39" s="263" t="str">
        <f>IF(AND(Sheet1!D$194=1,AB39&lt;&gt;" "),ROUND(+AE39*AF39,Sheet1!D$75)," ")</f>
        <v xml:space="preserve"> </v>
      </c>
      <c r="AH39" s="264" t="str">
        <f>IF(AB39&lt;&gt;" ",ROUND(VLOOKUP(Sheet1!E$82,CHOOSE(Sheet1!D$213,Inflate1,Inflate2,Inflate3,Inflate4,Inflate5,Inflate6,Inflate7,Inflate8),2),4)," ")</f>
        <v xml:space="preserve"> </v>
      </c>
      <c r="AI39" s="264" t="str">
        <f>IF(AB39&lt;&gt;" ",ROUND(VLOOKUP(AC39,CHOOSE(Sheet1!D$213,Inflate1,Inflate2,Inflate3,Inflate4,Inflate5,Inflate6,Inflate7,Inflate8),3),4)," ")</f>
        <v xml:space="preserve"> </v>
      </c>
      <c r="AJ39" s="263" t="b">
        <f>IF(AND(Sheet1!D$194=1,AB39&lt;&gt;" "),IF(AND(O39&lt;=10,OR(Sheet1!D$8=2,Sheet1!D$8=3,Sheet1!D$22=3)),ROUND((AE39/AH39)*AI39,Sheet1!D$75),IF(AND(Sheet1!D$8&lt;&gt;2,Sheet1!D$8&lt;&gt;3,Sheet1!D$22&lt;&gt;3),ROUND((AE39/AH39)*AI39,Sheet1!D$75)," ")))</f>
        <v>0</v>
      </c>
    </row>
    <row r="40" spans="1:36" ht="11.4" x14ac:dyDescent="0.2">
      <c r="A40" s="271" t="str">
        <f>IF(OR(Sheet1!D$192=1,Sheet1!D$194=1),IF(OR((A39&gt;=(Sheet1!D$148+$A$11)-1),AND(Sheet1!D$8=3,A39&gt;=6))," ",A39+1),NA())</f>
        <v xml:space="preserve"> </v>
      </c>
      <c r="B40" s="271" t="str">
        <f>IF(OR(Sheet1!D$192=1,Sheet1!D$194=1),IF(OR((B39&gt;=(Sheet1!D$148+$B$11)-1),AND(Sheet1!D$8=3,A39&gt;=6))," ",B39+1),NA())</f>
        <v xml:space="preserve"> </v>
      </c>
      <c r="C40" s="262"/>
      <c r="D40" s="263" t="str">
        <f>IF(AND(Sheet1!D$192=1,A40&lt;&gt;" "),ROUND(VLOOKUP(A40,StatusQuo!A$19:M$68,12),Sheet1!D$75),IF(Sheet1!D$192=1," ","SQ not feasible "))</f>
        <v xml:space="preserve"> </v>
      </c>
      <c r="E40" s="263" t="str">
        <f>IF(AND(Sheet1!D$194=1,A40&lt;&gt;" "),ROUND(VLOOKUP(A40,AlternativeB!A$110:M$159,12),Sheet1!D$75),IF(Sheet1!D$194=1," ","Alt  'B'  not feasible"))</f>
        <v>Alt  'B'  not feasible</v>
      </c>
      <c r="F40" s="263" t="str">
        <f>IF(AND(A40&lt;&gt;" ",Sheet1!D$192=1,Sheet1!D$194=1),D40-E40,IF(AND(Sheet1!D$194=1,A40&lt;&gt;" ")," "," "))</f>
        <v xml:space="preserve"> </v>
      </c>
      <c r="G40" s="264" t="str">
        <f>IF(A40&lt;=Sheet1!D$148, (1/((1+$G$10)^(A40-0.5)))," ")</f>
        <v xml:space="preserve"> </v>
      </c>
      <c r="H40" s="263" t="str">
        <f>IF(AND(A40&lt;&gt;" ",Sheet1!D$192=1,Sheet1!D$194=1),ROUND(F40*G40,Sheet1!D$75),IF(AND(A40&lt;&gt;" ",Sheet1!D$194=1),ROUND(E40*G40,Sheet1!D$75)," "))</f>
        <v xml:space="preserve"> </v>
      </c>
      <c r="I40" s="264" t="str">
        <f>IF(A40&lt;&gt;" ",ROUND(VLOOKUP(Sheet1!E$82,CHOOSE(Sheet1!D$233,Inflate7,Inflate2,Inflate3,Inflate4,Inflate5,Inflate6,Inflate1,Inflate8),2),4)," ")</f>
        <v xml:space="preserve"> </v>
      </c>
      <c r="J40" s="264" t="str">
        <f>IF(A40&lt;&gt;" ",ROUND(VLOOKUP(B40,CHOOSE(Sheet1!D$233,Inflate7,Inflate2,Inflate3,Inflate4,Inflate5,Inflate6,Inflate1,Inflate8),3),4)," ")</f>
        <v xml:space="preserve"> </v>
      </c>
      <c r="K40" s="265" t="str">
        <f>IF(AND(A40&lt;&gt;" ",Sheet1!D$192=1,Sheet1!D$194=1),ROUND((F40/I40)*J40,Sheet1!D$75),IF(AND(A40&lt;&gt;" ",Sheet1!D$194=1),ROUND((E40/I40)*J40,Sheet1!D$75)," "))</f>
        <v xml:space="preserve"> </v>
      </c>
      <c r="L40" s="254" t="str">
        <f>IF(Sheet1!D$192=1,IF(AND(AA40&gt;AJ$61,AA39&lt;=AJ$61),"&lt;-Payback"," ")," ")</f>
        <v xml:space="preserve"> </v>
      </c>
      <c r="M40" s="271" t="str">
        <f>IF(OR(Sheet1!D$192=1,Sheet1!D$194=1),IF(OR((A39&gt;=(Sheet1!D$148+$A$11)-1),AND(Sheet1!D$8=3,A39&gt;=6))," ",A39+1),NA())</f>
        <v xml:space="preserve"> </v>
      </c>
      <c r="N40" s="271" t="str">
        <f>IF(OR(Sheet1!D$192=1,Sheet1!D$194=1),IF(OR((B39&gt;=(Sheet1!D$148+$B$11)-1),AND(Sheet1!D$8=3,A39&gt;=6))," ",B39+1),NA())</f>
        <v xml:space="preserve"> </v>
      </c>
      <c r="O40" s="266" t="e">
        <f>IF(OR(Sheet1!D$192=1,Sheet1!D$194=1),IF(NOT(Sheet1!D$192=1),0,IF(ROUND(VLOOKUP(A40,StatusQuo!A$19:M$68,13),Sheet1!D$75)-ROUND(VLOOKUP(A40,AlternativeB!A$110:M$159,13),Sheet1!D$75)&gt;0,1,0))," ")</f>
        <v>#VALUE!</v>
      </c>
      <c r="P40" s="263" t="str">
        <f>IF(AND(A40&lt;&gt;" ",Sheet1!D$192=1,Sheet1!D$194=1),IF(AND(OR(Sheet1!D$8=2,Sheet1!D$22=3),O40&gt;10),0,ROUND(VLOOKUP(A40,StatusQuo!A$19:M$68,13),Sheet1!D$75)),IF(NOT(Sheet1!D$192=1),"not feasible",IF(A40=" "," ", "Savings is  n/a=&gt;")))</f>
        <v xml:space="preserve"> </v>
      </c>
      <c r="Q40" s="263" t="str">
        <f>IF(AND(A40&lt;&gt;" ",Sheet1!D$192=1,Sheet1!D$194=1),IF(AND(OR(Sheet1!D$8=2,Sheet1!D$22=3),O40&gt;10),0,ROUND(VLOOKUP(A40,AlternativeB!A$110:M$159,13),Sheet1!D$75)),IF(NOT(Sheet1!D$194=1),"not feasible",IF(A40=" "," ","&lt;== Savings is n/a")))</f>
        <v>not feasible</v>
      </c>
      <c r="R40" s="263" t="str">
        <f>IF(AND(A40&lt;&gt;" ",Sheet1!D$192=1,Sheet1!D$194=1),IF(G$81&lt;&gt;" ","???????",P40-Q40)," ")</f>
        <v xml:space="preserve"> </v>
      </c>
      <c r="S40" s="263" t="str">
        <f>IF(AND(A40&lt;&gt;" ",Sheet1!D$192=1,Sheet1!D$194=1),ROUND(R40*G40,Sheet1!D$75)," ")</f>
        <v xml:space="preserve"> </v>
      </c>
      <c r="T40" s="263" t="str">
        <f>IF(AND(A40&lt;&gt;" ",Sheet1!D$192=1,Sheet1!D$194=1),ROUND((R40/I40)*J40,Sheet1!D$75)," ")</f>
        <v xml:space="preserve"> </v>
      </c>
      <c r="U40" s="265">
        <f>SUM(T$11:T40)</f>
        <v>0</v>
      </c>
      <c r="V40" s="254" t="str">
        <f t="shared" si="0"/>
        <v xml:space="preserve"> </v>
      </c>
      <c r="W40" s="268">
        <f t="shared" si="1"/>
        <v>30</v>
      </c>
      <c r="X40" s="171" t="str">
        <f t="shared" si="2"/>
        <v xml:space="preserve"> </v>
      </c>
      <c r="AA40" s="265">
        <f>SUM(K$11:K40)</f>
        <v>0</v>
      </c>
      <c r="AB40" s="271" t="str">
        <f>IF(OR(Sheet1!D$192=1,Sheet1!D$194=1),IF(OR((AB39&gt;=(Sheet1!D$148+$A$11)-1),AND(Sheet1!D$8=3,AB39&gt;=6))," ",AB39+1),NA())</f>
        <v xml:space="preserve"> </v>
      </c>
      <c r="AC40" s="271" t="str">
        <f>IF(OR(Sheet1!D$192=1,Sheet1!D$194=1),IF(OR((AC39&gt;=(Sheet1!D$148+$B$11)-1),AND(Sheet1!D$8=3,AB39&gt;=6))," ",AC39+1),NA())</f>
        <v xml:space="preserve"> </v>
      </c>
      <c r="AD40" s="262"/>
      <c r="AE40" s="263" t="str">
        <f>IF(AND(Sheet1!D$194=1,AB40&lt;&gt;" "),ROUND(VLOOKUP(AB40,AlternativeB!A$17:M$66,12),Sheet1!D$75),IF(Sheet1!D$194=1," ","Alt  'B'  not feasible"))</f>
        <v>Alt  'B'  not feasible</v>
      </c>
      <c r="AF40" s="264" t="str">
        <f>IF(AB40&lt;=Sheet1!D$148, (1/((1+$AF$10)^(AB40-0.5)))," ")</f>
        <v xml:space="preserve"> </v>
      </c>
      <c r="AG40" s="263" t="str">
        <f>IF(AND(Sheet1!D$194=1,AB40&lt;&gt;" "),ROUND(+AE40*AF40,Sheet1!D$75)," ")</f>
        <v xml:space="preserve"> </v>
      </c>
      <c r="AH40" s="264" t="str">
        <f>IF(AB40&lt;&gt;" ",ROUND(VLOOKUP(Sheet1!E$82,CHOOSE(Sheet1!D$213,Inflate1,Inflate2,Inflate3,Inflate4,Inflate5,Inflate6,Inflate7,Inflate8),2),4)," ")</f>
        <v xml:space="preserve"> </v>
      </c>
      <c r="AI40" s="264" t="str">
        <f>IF(AB40&lt;&gt;" ",ROUND(VLOOKUP(AC40,CHOOSE(Sheet1!D$213,Inflate1,Inflate2,Inflate3,Inflate4,Inflate5,Inflate6,Inflate7,Inflate8),3),4)," ")</f>
        <v xml:space="preserve"> </v>
      </c>
      <c r="AJ40" s="263" t="b">
        <f>IF(AND(Sheet1!D$194=1,AB40&lt;&gt;" "),IF(AND(O40&lt;=10,OR(Sheet1!D$8=2,Sheet1!D$8=3,Sheet1!D$22=3)),ROUND((AE40/AH40)*AI40,Sheet1!D$75),IF(AND(Sheet1!D$8&lt;&gt;2,Sheet1!D$8&lt;&gt;3,Sheet1!D$22&lt;&gt;3),ROUND((AE40/AH40)*AI40,Sheet1!D$75)," ")))</f>
        <v>0</v>
      </c>
    </row>
    <row r="41" spans="1:36" ht="11.4" x14ac:dyDescent="0.2">
      <c r="A41" s="271" t="str">
        <f>IF(OR(Sheet1!D$192=1,Sheet1!D$194=1),IF(OR((A40&gt;=(Sheet1!D$148+$A$11)-1),AND(Sheet1!D$8=3,A40&gt;=6))," ",A40+1),NA())</f>
        <v xml:space="preserve"> </v>
      </c>
      <c r="B41" s="271" t="str">
        <f>IF(OR(Sheet1!D$192=1,Sheet1!D$194=1),IF(OR((B40&gt;=(Sheet1!D$148+$B$11)-1),AND(Sheet1!D$8=3,A40&gt;=6))," ",B40+1),NA())</f>
        <v xml:space="preserve"> </v>
      </c>
      <c r="C41" s="262"/>
      <c r="D41" s="263" t="str">
        <f>IF(AND(Sheet1!D$192=1,A41&lt;&gt;" "),ROUND(VLOOKUP(A41,StatusQuo!A$19:M$68,12),Sheet1!D$75),IF(Sheet1!D$192=1," ","SQ not feasible "))</f>
        <v xml:space="preserve"> </v>
      </c>
      <c r="E41" s="263" t="str">
        <f>IF(AND(Sheet1!D$194=1,A41&lt;&gt;" "),ROUND(VLOOKUP(A41,AlternativeB!A$110:M$159,12),Sheet1!D$75),IF(Sheet1!D$194=1," ","Alt  'B'  not feasible"))</f>
        <v>Alt  'B'  not feasible</v>
      </c>
      <c r="F41" s="263" t="str">
        <f>IF(AND(A41&lt;&gt;" ",Sheet1!D$192=1,Sheet1!D$194=1),D41-E41,IF(AND(Sheet1!D$194=1,A41&lt;&gt;" ")," "," "))</f>
        <v xml:space="preserve"> </v>
      </c>
      <c r="G41" s="264" t="str">
        <f>IF(A41&lt;=Sheet1!D$148, (1/((1+$G$10)^(A41-0.5)))," ")</f>
        <v xml:space="preserve"> </v>
      </c>
      <c r="H41" s="263" t="str">
        <f>IF(AND(A41&lt;&gt;" ",Sheet1!D$192=1,Sheet1!D$194=1),ROUND(F41*G41,Sheet1!D$75),IF(AND(A41&lt;&gt;" ",Sheet1!D$194=1),ROUND(E41*G41,Sheet1!D$75)," "))</f>
        <v xml:space="preserve"> </v>
      </c>
      <c r="I41" s="264" t="str">
        <f>IF(A41&lt;&gt;" ",ROUND(VLOOKUP(Sheet1!E$82,CHOOSE(Sheet1!D$233,Inflate7,Inflate2,Inflate3,Inflate4,Inflate5,Inflate6,Inflate1,Inflate8),2),4)," ")</f>
        <v xml:space="preserve"> </v>
      </c>
      <c r="J41" s="264" t="str">
        <f>IF(A41&lt;&gt;" ",ROUND(VLOOKUP(B41,CHOOSE(Sheet1!D$233,Inflate7,Inflate2,Inflate3,Inflate4,Inflate5,Inflate6,Inflate1,Inflate8),3),4)," ")</f>
        <v xml:space="preserve"> </v>
      </c>
      <c r="K41" s="265" t="str">
        <f>IF(AND(A41&lt;&gt;" ",Sheet1!D$192=1,Sheet1!D$194=1),ROUND((F41/I41)*J41,Sheet1!D$75),IF(AND(A41&lt;&gt;" ",Sheet1!D$194=1),ROUND((E41/I41)*J41,Sheet1!D$75)," "))</f>
        <v xml:space="preserve"> </v>
      </c>
      <c r="L41" s="254" t="str">
        <f>IF(Sheet1!D$192=1,IF(AND(AA41&gt;AJ$61,AA40&lt;=AJ$61),"&lt;-Payback"," ")," ")</f>
        <v xml:space="preserve"> </v>
      </c>
      <c r="M41" s="271" t="str">
        <f>IF(OR(Sheet1!D$192=1,Sheet1!D$194=1),IF(OR((A40&gt;=(Sheet1!D$148+$A$11)-1),AND(Sheet1!D$8=3,A40&gt;=6))," ",A40+1),NA())</f>
        <v xml:space="preserve"> </v>
      </c>
      <c r="N41" s="271" t="str">
        <f>IF(OR(Sheet1!D$192=1,Sheet1!D$194=1),IF(OR((B40&gt;=(Sheet1!D$148+$B$11)-1),AND(Sheet1!D$8=3,A40&gt;=6))," ",B40+1),NA())</f>
        <v xml:space="preserve"> </v>
      </c>
      <c r="O41" s="266" t="e">
        <f>IF(OR(Sheet1!D$192=1,Sheet1!D$194=1),IF(NOT(Sheet1!D$192=1),0,IF(ROUND(VLOOKUP(A41,StatusQuo!A$19:M$68,13),Sheet1!D$75)-ROUND(VLOOKUP(A41,AlternativeB!A$110:M$159,13),Sheet1!D$75)&gt;0,1,0))," ")</f>
        <v>#VALUE!</v>
      </c>
      <c r="P41" s="263" t="str">
        <f>IF(AND(A41&lt;&gt;" ",Sheet1!D$192=1,Sheet1!D$194=1),IF(AND(OR(Sheet1!D$8=2,Sheet1!D$22=3),O41&gt;10),0,ROUND(VLOOKUP(A41,StatusQuo!A$19:M$68,13),Sheet1!D$75)),IF(NOT(Sheet1!D$192=1),"not feasible",IF(A41=" "," ", "Savings is  n/a=&gt;")))</f>
        <v xml:space="preserve"> </v>
      </c>
      <c r="Q41" s="263" t="str">
        <f>IF(AND(A41&lt;&gt;" ",Sheet1!D$192=1,Sheet1!D$194=1),IF(AND(OR(Sheet1!D$8=2,Sheet1!D$22=3),O41&gt;10),0,ROUND(VLOOKUP(A41,AlternativeB!A$110:M$159,13),Sheet1!D$75)),IF(NOT(Sheet1!D$194=1),"not feasible",IF(A41=" "," ","&lt;== Savings is n/a")))</f>
        <v>not feasible</v>
      </c>
      <c r="R41" s="263" t="str">
        <f>IF(AND(A41&lt;&gt;" ",Sheet1!D$192=1,Sheet1!D$194=1),IF(G$81&lt;&gt;" ","???????",P41-Q41)," ")</f>
        <v xml:space="preserve"> </v>
      </c>
      <c r="S41" s="263" t="str">
        <f>IF(AND(A41&lt;&gt;" ",Sheet1!D$192=1,Sheet1!D$194=1),ROUND(R41*G41,Sheet1!D$75)," ")</f>
        <v xml:space="preserve"> </v>
      </c>
      <c r="T41" s="263" t="str">
        <f>IF(AND(A41&lt;&gt;" ",Sheet1!D$192=1,Sheet1!D$194=1),ROUND((R41/I41)*J41,Sheet1!D$75)," ")</f>
        <v xml:space="preserve"> </v>
      </c>
      <c r="U41" s="265">
        <f>SUM(T$11:T41)</f>
        <v>0</v>
      </c>
      <c r="V41" s="254" t="str">
        <f t="shared" si="0"/>
        <v xml:space="preserve"> </v>
      </c>
      <c r="W41" s="268">
        <f t="shared" si="1"/>
        <v>31</v>
      </c>
      <c r="X41" s="171" t="str">
        <f t="shared" si="2"/>
        <v xml:space="preserve"> </v>
      </c>
      <c r="AA41" s="265">
        <f>SUM(K$11:K41)</f>
        <v>0</v>
      </c>
      <c r="AB41" s="271" t="str">
        <f>IF(OR(Sheet1!D$192=1,Sheet1!D$194=1),IF(OR((AB40&gt;=(Sheet1!D$148+$A$11)-1),AND(Sheet1!D$8=3,AB40&gt;=6))," ",AB40+1),NA())</f>
        <v xml:space="preserve"> </v>
      </c>
      <c r="AC41" s="271" t="str">
        <f>IF(OR(Sheet1!D$192=1,Sheet1!D$194=1),IF(OR((AC40&gt;=(Sheet1!D$148+$B$11)-1),AND(Sheet1!D$8=3,AB40&gt;=6))," ",AC40+1),NA())</f>
        <v xml:space="preserve"> </v>
      </c>
      <c r="AD41" s="262"/>
      <c r="AE41" s="263" t="str">
        <f>IF(AND(Sheet1!D$194=1,AB41&lt;&gt;" "),ROUND(VLOOKUP(AB41,AlternativeB!A$17:M$66,12),Sheet1!D$75),IF(Sheet1!D$194=1," ","Alt  'B'  not feasible"))</f>
        <v>Alt  'B'  not feasible</v>
      </c>
      <c r="AF41" s="264" t="str">
        <f>IF(AB41&lt;=Sheet1!D$148, (1/((1+$AF$10)^(AB41-0.5)))," ")</f>
        <v xml:space="preserve"> </v>
      </c>
      <c r="AG41" s="263" t="str">
        <f>IF(AND(Sheet1!D$194=1,AB41&lt;&gt;" "),ROUND(+AE41*AF41,Sheet1!D$75)," ")</f>
        <v xml:space="preserve"> </v>
      </c>
      <c r="AH41" s="264" t="str">
        <f>IF(AB41&lt;&gt;" ",ROUND(VLOOKUP(Sheet1!E$82,CHOOSE(Sheet1!D$213,Inflate1,Inflate2,Inflate3,Inflate4,Inflate5,Inflate6,Inflate7,Inflate8),2),4)," ")</f>
        <v xml:space="preserve"> </v>
      </c>
      <c r="AI41" s="264" t="str">
        <f>IF(AB41&lt;&gt;" ",ROUND(VLOOKUP(AC41,CHOOSE(Sheet1!D$213,Inflate1,Inflate2,Inflate3,Inflate4,Inflate5,Inflate6,Inflate7,Inflate8),3),4)," ")</f>
        <v xml:space="preserve"> </v>
      </c>
      <c r="AJ41" s="263" t="b">
        <f>IF(AND(Sheet1!D$194=1,AB41&lt;&gt;" "),IF(AND(O41&lt;=10,OR(Sheet1!D$8=2,Sheet1!D$8=3,Sheet1!D$22=3)),ROUND((AE41/AH41)*AI41,Sheet1!D$75),IF(AND(Sheet1!D$8&lt;&gt;2,Sheet1!D$8&lt;&gt;3,Sheet1!D$22&lt;&gt;3),ROUND((AE41/AH41)*AI41,Sheet1!D$75)," ")))</f>
        <v>0</v>
      </c>
    </row>
    <row r="42" spans="1:36" ht="11.4" x14ac:dyDescent="0.2">
      <c r="A42" s="271" t="str">
        <f>IF(OR(Sheet1!D$192=1,Sheet1!D$194=1),IF(OR((A41&gt;=(Sheet1!D$148+$A$11)-1),AND(Sheet1!D$8=3,A41&gt;=6))," ",A41+1),NA())</f>
        <v xml:space="preserve"> </v>
      </c>
      <c r="B42" s="271" t="str">
        <f>IF(OR(Sheet1!D$192=1,Sheet1!D$194=1),IF(OR((B41&gt;=(Sheet1!D$148+$B$11)-1),AND(Sheet1!D$8=3,A41&gt;=6))," ",B41+1),NA())</f>
        <v xml:space="preserve"> </v>
      </c>
      <c r="C42" s="262"/>
      <c r="D42" s="263" t="str">
        <f>IF(AND(Sheet1!D$192=1,A42&lt;&gt;" "),ROUND(VLOOKUP(A42,StatusQuo!A$19:M$68,12),Sheet1!D$75),IF(Sheet1!D$192=1," ","SQ not feasible "))</f>
        <v xml:space="preserve"> </v>
      </c>
      <c r="E42" s="263" t="str">
        <f>IF(AND(Sheet1!D$194=1,A42&lt;&gt;" "),ROUND(VLOOKUP(A42,AlternativeB!A$110:M$159,12),Sheet1!D$75),IF(Sheet1!D$194=1," ","Alt  'B'  not feasible"))</f>
        <v>Alt  'B'  not feasible</v>
      </c>
      <c r="F42" s="263" t="str">
        <f>IF(AND(A42&lt;&gt;" ",Sheet1!D$192=1,Sheet1!D$194=1),D42-E42,IF(AND(Sheet1!D$194=1,A42&lt;&gt;" ")," "," "))</f>
        <v xml:space="preserve"> </v>
      </c>
      <c r="G42" s="264" t="str">
        <f>IF(A42&lt;=Sheet1!D$148, (1/((1+$G$10)^(A42-0.5)))," ")</f>
        <v xml:space="preserve"> </v>
      </c>
      <c r="H42" s="263" t="str">
        <f>IF(AND(A42&lt;&gt;" ",Sheet1!D$192=1,Sheet1!D$194=1),ROUND(F42*G42,Sheet1!D$75),IF(AND(A42&lt;&gt;" ",Sheet1!D$194=1),ROUND(E42*G42,Sheet1!D$75)," "))</f>
        <v xml:space="preserve"> </v>
      </c>
      <c r="I42" s="264" t="str">
        <f>IF(A42&lt;&gt;" ",ROUND(VLOOKUP(Sheet1!E$82,CHOOSE(Sheet1!D$233,Inflate7,Inflate2,Inflate3,Inflate4,Inflate5,Inflate6,Inflate1,Inflate8),2),4)," ")</f>
        <v xml:space="preserve"> </v>
      </c>
      <c r="J42" s="264" t="str">
        <f>IF(A42&lt;&gt;" ",ROUND(VLOOKUP(B42,CHOOSE(Sheet1!D$233,Inflate7,Inflate2,Inflate3,Inflate4,Inflate5,Inflate6,Inflate1,Inflate8),3),4)," ")</f>
        <v xml:space="preserve"> </v>
      </c>
      <c r="K42" s="265" t="str">
        <f>IF(AND(A42&lt;&gt;" ",Sheet1!D$192=1,Sheet1!D$194=1),ROUND((F42/I42)*J42,Sheet1!D$75),IF(AND(A42&lt;&gt;" ",Sheet1!D$194=1),ROUND((E42/I42)*J42,Sheet1!D$75)," "))</f>
        <v xml:space="preserve"> </v>
      </c>
      <c r="L42" s="254" t="str">
        <f>IF(Sheet1!D$192=1,IF(AND(AA42&gt;AJ$61,AA41&lt;=AJ$61),"&lt;-Payback"," ")," ")</f>
        <v xml:space="preserve"> </v>
      </c>
      <c r="M42" s="271" t="str">
        <f>IF(OR(Sheet1!D$192=1,Sheet1!D$194=1),IF(OR((A41&gt;=(Sheet1!D$148+$A$11)-1),AND(Sheet1!D$8=3,A41&gt;=6))," ",A41+1),NA())</f>
        <v xml:space="preserve"> </v>
      </c>
      <c r="N42" s="271" t="str">
        <f>IF(OR(Sheet1!D$192=1,Sheet1!D$194=1),IF(OR((B41&gt;=(Sheet1!D$148+$B$11)-1),AND(Sheet1!D$8=3,A41&gt;=6))," ",B41+1),NA())</f>
        <v xml:space="preserve"> </v>
      </c>
      <c r="O42" s="266" t="e">
        <f>IF(OR(Sheet1!D$192=1,Sheet1!D$194=1),IF(NOT(Sheet1!D$192=1),0,IF(ROUND(VLOOKUP(A42,StatusQuo!A$19:M$68,13),Sheet1!D$75)-ROUND(VLOOKUP(A42,AlternativeB!A$110:M$159,13),Sheet1!D$75)&gt;0,1,0))," ")</f>
        <v>#VALUE!</v>
      </c>
      <c r="P42" s="263" t="str">
        <f>IF(AND(A42&lt;&gt;" ",Sheet1!D$192=1,Sheet1!D$194=1),IF(AND(OR(Sheet1!D$8=2,Sheet1!D$22=3),O42&gt;10),0,ROUND(VLOOKUP(A42,StatusQuo!A$19:M$68,13),Sheet1!D$75)),IF(NOT(Sheet1!D$192=1),"not feasible",IF(A42=" "," ", "Savings is  n/a=&gt;")))</f>
        <v xml:space="preserve"> </v>
      </c>
      <c r="Q42" s="263" t="str">
        <f>IF(AND(A42&lt;&gt;" ",Sheet1!D$192=1,Sheet1!D$194=1),IF(AND(OR(Sheet1!D$8=2,Sheet1!D$22=3),O42&gt;10),0,ROUND(VLOOKUP(A42,AlternativeB!A$110:M$159,13),Sheet1!D$75)),IF(NOT(Sheet1!D$194=1),"not feasible",IF(A42=" "," ","&lt;== Savings is n/a")))</f>
        <v>not feasible</v>
      </c>
      <c r="R42" s="263" t="str">
        <f>IF(AND(A42&lt;&gt;" ",Sheet1!D$192=1,Sheet1!D$194=1),IF(G$81&lt;&gt;" ","???????",P42-Q42)," ")</f>
        <v xml:space="preserve"> </v>
      </c>
      <c r="S42" s="263" t="str">
        <f>IF(AND(A42&lt;&gt;" ",Sheet1!D$192=1,Sheet1!D$194=1),ROUND(R42*G42,Sheet1!D$75)," ")</f>
        <v xml:space="preserve"> </v>
      </c>
      <c r="T42" s="263" t="str">
        <f>IF(AND(A42&lt;&gt;" ",Sheet1!D$192=1,Sheet1!D$194=1),ROUND((R42/I42)*J42,Sheet1!D$75)," ")</f>
        <v xml:space="preserve"> </v>
      </c>
      <c r="U42" s="265">
        <f>SUM(T$11:T42)</f>
        <v>0</v>
      </c>
      <c r="V42" s="254" t="str">
        <f t="shared" si="0"/>
        <v xml:space="preserve"> </v>
      </c>
      <c r="W42" s="268">
        <f t="shared" si="1"/>
        <v>32</v>
      </c>
      <c r="X42" s="171" t="str">
        <f t="shared" si="2"/>
        <v xml:space="preserve"> </v>
      </c>
      <c r="AA42" s="265">
        <f>SUM(K$11:K42)</f>
        <v>0</v>
      </c>
      <c r="AB42" s="271" t="str">
        <f>IF(OR(Sheet1!D$192=1,Sheet1!D$194=1),IF(OR((AB41&gt;=(Sheet1!D$148+$A$11)-1),AND(Sheet1!D$8=3,AB41&gt;=6))," ",AB41+1),NA())</f>
        <v xml:space="preserve"> </v>
      </c>
      <c r="AC42" s="271" t="str">
        <f>IF(OR(Sheet1!D$192=1,Sheet1!D$194=1),IF(OR((AC41&gt;=(Sheet1!D$148+$B$11)-1),AND(Sheet1!D$8=3,AB41&gt;=6))," ",AC41+1),NA())</f>
        <v xml:space="preserve"> </v>
      </c>
      <c r="AD42" s="328"/>
      <c r="AE42" s="263" t="str">
        <f>IF(AND(Sheet1!D$194=1,AB42&lt;&gt;" "),ROUND(VLOOKUP(AB42,AlternativeB!A$17:M$66,12),Sheet1!D$75),IF(Sheet1!D$194=1," ","Alt  'B'  not feasible"))</f>
        <v>Alt  'B'  not feasible</v>
      </c>
      <c r="AF42" s="264" t="str">
        <f>IF(AB42&lt;=Sheet1!D$148, (1/((1+$AF$10)^(AB42-0.5)))," ")</f>
        <v xml:space="preserve"> </v>
      </c>
      <c r="AG42" s="263" t="str">
        <f>IF(AND(Sheet1!D$194=1,AB42&lt;&gt;" "),ROUND(+AE42*AF42,Sheet1!D$75)," ")</f>
        <v xml:space="preserve"> </v>
      </c>
      <c r="AH42" s="264" t="str">
        <f>IF(AB42&lt;&gt;" ",ROUND(VLOOKUP(Sheet1!E$82,CHOOSE(Sheet1!D$213,Inflate1,Inflate2,Inflate3,Inflate4,Inflate5,Inflate6,Inflate7,Inflate8),2),4)," ")</f>
        <v xml:space="preserve"> </v>
      </c>
      <c r="AI42" s="264" t="str">
        <f>IF(AB42&lt;&gt;" ",ROUND(VLOOKUP(AC42,CHOOSE(Sheet1!D$213,Inflate1,Inflate2,Inflate3,Inflate4,Inflate5,Inflate6,Inflate7,Inflate8),3),4)," ")</f>
        <v xml:space="preserve"> </v>
      </c>
      <c r="AJ42" s="263" t="b">
        <f>IF(AND(Sheet1!D$194=1,AB42&lt;&gt;" "),IF(AND(O42&lt;=10,OR(Sheet1!D$8=2,Sheet1!D$8=3,Sheet1!D$22=3)),ROUND((AE42/AH42)*AI42,Sheet1!D$75),IF(AND(Sheet1!D$8&lt;&gt;2,Sheet1!D$8&lt;&gt;3,Sheet1!D$22&lt;&gt;3),ROUND((AE42/AH42)*AI42,Sheet1!D$75)," ")))</f>
        <v>0</v>
      </c>
    </row>
    <row r="43" spans="1:36" ht="11.4" x14ac:dyDescent="0.2">
      <c r="A43" s="271" t="str">
        <f>IF(OR(Sheet1!D$192=1,Sheet1!D$194=1),IF(OR((A42&gt;=(Sheet1!D$148+$A$11)-1),AND(Sheet1!D$8=3,A42&gt;=6))," ",A42+1),NA())</f>
        <v xml:space="preserve"> </v>
      </c>
      <c r="B43" s="271" t="str">
        <f>IF(OR(Sheet1!D$192=1,Sheet1!D$194=1),IF(OR((B42&gt;=(Sheet1!D$148+$B$11)-1),AND(Sheet1!D$8=3,A42&gt;=6))," ",B42+1),NA())</f>
        <v xml:space="preserve"> </v>
      </c>
      <c r="C43" s="262"/>
      <c r="D43" s="263" t="str">
        <f>IF(AND(Sheet1!D$192=1,A43&lt;&gt;" "),ROUND(VLOOKUP(A43,StatusQuo!A$19:M$68,12),Sheet1!D$75),IF(Sheet1!D$192=1," ","SQ not feasible "))</f>
        <v xml:space="preserve"> </v>
      </c>
      <c r="E43" s="263" t="str">
        <f>IF(AND(Sheet1!D$194=1,A43&lt;&gt;" "),ROUND(VLOOKUP(A43,AlternativeB!A$110:M$159,12),Sheet1!D$75),IF(Sheet1!D$194=1," ","Alt  'B'  not feasible"))</f>
        <v>Alt  'B'  not feasible</v>
      </c>
      <c r="F43" s="263" t="str">
        <f>IF(AND(A43&lt;&gt;" ",Sheet1!D$192=1,Sheet1!D$194=1),D43-E43,IF(AND(Sheet1!D$194=1,A43&lt;&gt;" ")," "," "))</f>
        <v xml:space="preserve"> </v>
      </c>
      <c r="G43" s="264" t="str">
        <f>IF(A43&lt;=Sheet1!D$148, (1/((1+$G$10)^(A43-0.5)))," ")</f>
        <v xml:space="preserve"> </v>
      </c>
      <c r="H43" s="263" t="str">
        <f>IF(AND(A43&lt;&gt;" ",Sheet1!D$192=1,Sheet1!D$194=1),ROUND(F43*G43,Sheet1!D$75),IF(AND(A43&lt;&gt;" ",Sheet1!D$194=1),ROUND(E43*G43,Sheet1!D$75)," "))</f>
        <v xml:space="preserve"> </v>
      </c>
      <c r="I43" s="264" t="str">
        <f>IF(A43&lt;&gt;" ",ROUND(VLOOKUP(Sheet1!E$82,CHOOSE(Sheet1!D$233,Inflate7,Inflate2,Inflate3,Inflate4,Inflate5,Inflate6,Inflate1,Inflate8),2),4)," ")</f>
        <v xml:space="preserve"> </v>
      </c>
      <c r="J43" s="264" t="str">
        <f>IF(A43&lt;&gt;" ",ROUND(VLOOKUP(B43,CHOOSE(Sheet1!D$233,Inflate7,Inflate2,Inflate3,Inflate4,Inflate5,Inflate6,Inflate1,Inflate8),3),4)," ")</f>
        <v xml:space="preserve"> </v>
      </c>
      <c r="K43" s="265" t="str">
        <f>IF(AND(A43&lt;&gt;" ",Sheet1!D$192=1,Sheet1!D$194=1),ROUND((F43/I43)*J43,Sheet1!D$75),IF(AND(A43&lt;&gt;" ",Sheet1!D$194=1),ROUND((E43/I43)*J43,Sheet1!D$75)," "))</f>
        <v xml:space="preserve"> </v>
      </c>
      <c r="L43" s="254" t="str">
        <f>IF(Sheet1!D$192=1,IF(AND(AA43&gt;AJ$61,AA42&lt;=AJ$61),"&lt;-Payback"," ")," ")</f>
        <v xml:space="preserve"> </v>
      </c>
      <c r="M43" s="271" t="str">
        <f>IF(OR(Sheet1!D$192=1,Sheet1!D$194=1),IF(OR((A42&gt;=(Sheet1!D$148+$A$11)-1),AND(Sheet1!D$8=3,A42&gt;=6))," ",A42+1),NA())</f>
        <v xml:space="preserve"> </v>
      </c>
      <c r="N43" s="271" t="str">
        <f>IF(OR(Sheet1!D$192=1,Sheet1!D$194=1),IF(OR((B42&gt;=(Sheet1!D$148+$B$11)-1),AND(Sheet1!D$8=3,A42&gt;=6))," ",B42+1),NA())</f>
        <v xml:space="preserve"> </v>
      </c>
      <c r="O43" s="266" t="e">
        <f>IF(OR(Sheet1!D$192=1,Sheet1!D$194=1),IF(NOT(Sheet1!D$192=1),0,IF(ROUND(VLOOKUP(A43,StatusQuo!A$19:M$68,13),Sheet1!D$75)-ROUND(VLOOKUP(A43,AlternativeB!A$110:M$159,13),Sheet1!D$75)&gt;0,1,0))," ")</f>
        <v>#VALUE!</v>
      </c>
      <c r="P43" s="263" t="str">
        <f>IF(AND(A43&lt;&gt;" ",Sheet1!D$192=1,Sheet1!D$194=1),IF(AND(OR(Sheet1!D$8=2,Sheet1!D$22=3),O43&gt;10),0,ROUND(VLOOKUP(A43,StatusQuo!A$19:M$68,13),Sheet1!D$75)),IF(NOT(Sheet1!D$192=1),"not feasible",IF(A43=" "," ", "Savings is  n/a=&gt;")))</f>
        <v xml:space="preserve"> </v>
      </c>
      <c r="Q43" s="263" t="str">
        <f>IF(AND(A43&lt;&gt;" ",Sheet1!D$192=1,Sheet1!D$194=1),IF(AND(OR(Sheet1!D$8=2,Sheet1!D$22=3),O43&gt;10),0,ROUND(VLOOKUP(A43,AlternativeB!A$110:M$159,13),Sheet1!D$75)),IF(NOT(Sheet1!D$194=1),"not feasible",IF(A43=" "," ","&lt;== Savings is n/a")))</f>
        <v>not feasible</v>
      </c>
      <c r="R43" s="263" t="str">
        <f>IF(AND(A43&lt;&gt;" ",Sheet1!D$192=1,Sheet1!D$194=1),IF(G$81&lt;&gt;" ","???????",P43-Q43)," ")</f>
        <v xml:space="preserve"> </v>
      </c>
      <c r="S43" s="263" t="str">
        <f>IF(AND(A43&lt;&gt;" ",Sheet1!D$192=1,Sheet1!D$194=1),ROUND(R43*G43,Sheet1!D$75)," ")</f>
        <v xml:space="preserve"> </v>
      </c>
      <c r="T43" s="263" t="str">
        <f>IF(AND(A43&lt;&gt;" ",Sheet1!D$192=1,Sheet1!D$194=1),ROUND((R43/I43)*J43,Sheet1!D$75)," ")</f>
        <v xml:space="preserve"> </v>
      </c>
      <c r="U43" s="265">
        <f>SUM(T$11:T43)</f>
        <v>0</v>
      </c>
      <c r="V43" s="254"/>
      <c r="W43" s="268">
        <f t="shared" ref="W43:W60" si="3">IF(AND(AA43&gt;AJ$61,AA42&lt;=AJ$61),99,W42+1)</f>
        <v>33</v>
      </c>
      <c r="X43" s="171" t="str">
        <f t="shared" ref="X43:X60" si="4">+A43</f>
        <v xml:space="preserve"> </v>
      </c>
      <c r="AA43" s="265">
        <f>SUM(K$11:K43)</f>
        <v>0</v>
      </c>
      <c r="AB43" s="271" t="str">
        <f>IF(OR(Sheet1!D$192=1,Sheet1!D$194=1),IF(OR((AB42&gt;=(Sheet1!D$148+$A$11)-1),AND(Sheet1!D$8=3,AB42&gt;=6))," ",AB42+1),NA())</f>
        <v xml:space="preserve"> </v>
      </c>
      <c r="AC43" s="271" t="str">
        <f>IF(OR(Sheet1!D$192=1,Sheet1!D$194=1),IF(OR((AC42&gt;=(Sheet1!D$148+$B$11)-1),AND(Sheet1!D$8=3,AB42&gt;=6))," ",AC42+1),NA())</f>
        <v xml:space="preserve"> </v>
      </c>
      <c r="AD43" s="272"/>
      <c r="AE43" s="263" t="str">
        <f>IF(AND(Sheet1!D$194=1,AB43&lt;&gt;" "),ROUND(VLOOKUP(AB43,AlternativeB!A$17:M$66,12),Sheet1!D$75),IF(Sheet1!D$194=1," ","Alt  'B'  not feasible"))</f>
        <v>Alt  'B'  not feasible</v>
      </c>
      <c r="AF43" s="264" t="str">
        <f>IF(AB43&lt;=Sheet1!D$148, (1/((1+$AF$10)^(AB43-0.5)))," ")</f>
        <v xml:space="preserve"> </v>
      </c>
      <c r="AG43" s="263" t="str">
        <f>IF(AND(Sheet1!D$194=1,AB43&lt;&gt;" "),ROUND(+AE43*AF43,Sheet1!D$75)," ")</f>
        <v xml:space="preserve"> </v>
      </c>
      <c r="AH43" s="264" t="str">
        <f>IF(AB43&lt;&gt;" ",ROUND(VLOOKUP(Sheet1!E$82,CHOOSE(Sheet1!D$213,Inflate1,Inflate2,Inflate3,Inflate4,Inflate5,Inflate6,Inflate7,Inflate8),2),4)," ")</f>
        <v xml:space="preserve"> </v>
      </c>
      <c r="AI43" s="264" t="str">
        <f>IF(AB43&lt;&gt;" ",ROUND(VLOOKUP(AC43,CHOOSE(Sheet1!D$213,Inflate1,Inflate2,Inflate3,Inflate4,Inflate5,Inflate6,Inflate7,Inflate8),3),4)," ")</f>
        <v xml:space="preserve"> </v>
      </c>
      <c r="AJ43" s="263" t="b">
        <f>IF(AND(Sheet1!D$194=1,AB43&lt;&gt;" "),IF(AND(O43&lt;=10,OR(Sheet1!D$8=2,Sheet1!D$8=3,Sheet1!D$22=3)),ROUND((AE43/AH43)*AI43,Sheet1!D$75),IF(AND(Sheet1!D$8&lt;&gt;2,Sheet1!D$8&lt;&gt;3,Sheet1!D$22&lt;&gt;3),ROUND((AE43/AH43)*AI43,Sheet1!D$75)," ")))</f>
        <v>0</v>
      </c>
    </row>
    <row r="44" spans="1:36" ht="11.4" x14ac:dyDescent="0.2">
      <c r="A44" s="271" t="str">
        <f>IF(OR(Sheet1!D$192=1,Sheet1!D$194=1),IF(OR((A43&gt;=(Sheet1!D$148+$A$11)-1),AND(Sheet1!D$8=3,A43&gt;=6))," ",A43+1),NA())</f>
        <v xml:space="preserve"> </v>
      </c>
      <c r="B44" s="271" t="str">
        <f>IF(OR(Sheet1!D$192=1,Sheet1!D$194=1),IF(OR((B43&gt;=(Sheet1!D$148+$B$11)-1),AND(Sheet1!D$8=3,A43&gt;=6))," ",B43+1),NA())</f>
        <v xml:space="preserve"> </v>
      </c>
      <c r="C44" s="262"/>
      <c r="D44" s="263" t="str">
        <f>IF(AND(Sheet1!D$192=1,A44&lt;&gt;" "),ROUND(VLOOKUP(A44,StatusQuo!A$19:M$68,12),Sheet1!D$75),IF(Sheet1!D$192=1," ","SQ not feasible "))</f>
        <v xml:space="preserve"> </v>
      </c>
      <c r="E44" s="263" t="str">
        <f>IF(AND(Sheet1!D$194=1,A44&lt;&gt;" "),ROUND(VLOOKUP(A44,AlternativeB!A$110:M$159,12),Sheet1!D$75),IF(Sheet1!D$194=1," ","Alt  'B'  not feasible"))</f>
        <v>Alt  'B'  not feasible</v>
      </c>
      <c r="F44" s="263" t="str">
        <f>IF(AND(A44&lt;&gt;" ",Sheet1!D$192=1,Sheet1!D$194=1),D44-E44,IF(AND(Sheet1!D$194=1,A44&lt;&gt;" ")," "," "))</f>
        <v xml:space="preserve"> </v>
      </c>
      <c r="G44" s="264" t="str">
        <f>IF(A44&lt;=Sheet1!D$148, (1/((1+$G$10)^(A44-0.5)))," ")</f>
        <v xml:space="preserve"> </v>
      </c>
      <c r="H44" s="263" t="str">
        <f>IF(AND(A44&lt;&gt;" ",Sheet1!D$192=1,Sheet1!D$194=1),ROUND(F44*G44,Sheet1!D$75),IF(AND(A44&lt;&gt;" ",Sheet1!D$194=1),ROUND(E44*G44,Sheet1!D$75)," "))</f>
        <v xml:space="preserve"> </v>
      </c>
      <c r="I44" s="264" t="str">
        <f>IF(A44&lt;&gt;" ",ROUND(VLOOKUP(Sheet1!E$82,CHOOSE(Sheet1!D$233,Inflate7,Inflate2,Inflate3,Inflate4,Inflate5,Inflate6,Inflate1,Inflate8),2),4)," ")</f>
        <v xml:space="preserve"> </v>
      </c>
      <c r="J44" s="264" t="str">
        <f>IF(A44&lt;&gt;" ",ROUND(VLOOKUP(B44,CHOOSE(Sheet1!D$233,Inflate7,Inflate2,Inflate3,Inflate4,Inflate5,Inflate6,Inflate1,Inflate8),3),4)," ")</f>
        <v xml:space="preserve"> </v>
      </c>
      <c r="K44" s="265" t="str">
        <f>IF(AND(A44&lt;&gt;" ",Sheet1!D$192=1,Sheet1!D$194=1),ROUND((F44/I44)*J44,Sheet1!D$75),IF(AND(A44&lt;&gt;" ",Sheet1!D$194=1),ROUND((E44/I44)*J44,Sheet1!D$75)," "))</f>
        <v xml:space="preserve"> </v>
      </c>
      <c r="L44" s="254" t="str">
        <f>IF(Sheet1!D$192=1,IF(AND(AA44&gt;AJ$61,AA43&lt;=AJ$61),"&lt;-Payback"," ")," ")</f>
        <v xml:space="preserve"> </v>
      </c>
      <c r="M44" s="271" t="str">
        <f>IF(OR(Sheet1!D$192=1,Sheet1!D$194=1),IF(OR((A43&gt;=(Sheet1!D$148+$A$11)-1),AND(Sheet1!D$8=3,A43&gt;=6))," ",A43+1),NA())</f>
        <v xml:space="preserve"> </v>
      </c>
      <c r="N44" s="271" t="str">
        <f>IF(OR(Sheet1!D$192=1,Sheet1!D$194=1),IF(OR((B43&gt;=(Sheet1!D$148+$B$11)-1),AND(Sheet1!D$8=3,A43&gt;=6))," ",B43+1),NA())</f>
        <v xml:space="preserve"> </v>
      </c>
      <c r="O44" s="266" t="e">
        <f>IF(OR(Sheet1!D$192=1,Sheet1!D$194=1),IF(NOT(Sheet1!D$192=1),0,IF(ROUND(VLOOKUP(A44,StatusQuo!A$19:M$68,13),Sheet1!D$75)-ROUND(VLOOKUP(A44,AlternativeB!A$110:M$159,13),Sheet1!D$75)&gt;0,1,0))," ")</f>
        <v>#VALUE!</v>
      </c>
      <c r="P44" s="263" t="str">
        <f>IF(AND(A44&lt;&gt;" ",Sheet1!D$192=1,Sheet1!D$194=1),IF(AND(OR(Sheet1!D$8=2,Sheet1!D$22=3),O44&gt;10),0,ROUND(VLOOKUP(A44,StatusQuo!A$19:M$68,13),Sheet1!D$75)),IF(NOT(Sheet1!D$192=1),"not feasible",IF(A44=" "," ", "Savings is  n/a=&gt;")))</f>
        <v xml:space="preserve"> </v>
      </c>
      <c r="Q44" s="263" t="str">
        <f>IF(AND(A44&lt;&gt;" ",Sheet1!D$192=1,Sheet1!D$194=1),IF(AND(OR(Sheet1!D$8=2,Sheet1!D$22=3),O44&gt;10),0,ROUND(VLOOKUP(A44,AlternativeB!A$110:M$159,13),Sheet1!D$75)),IF(NOT(Sheet1!D$194=1),"not feasible",IF(A44=" "," ","&lt;== Savings is n/a")))</f>
        <v>not feasible</v>
      </c>
      <c r="R44" s="263" t="str">
        <f>IF(AND(A44&lt;&gt;" ",Sheet1!D$192=1,Sheet1!D$194=1),IF(G$81&lt;&gt;" ","???????",P44-Q44)," ")</f>
        <v xml:space="preserve"> </v>
      </c>
      <c r="S44" s="263" t="str">
        <f>IF(AND(A44&lt;&gt;" ",Sheet1!D$192=1,Sheet1!D$194=1),ROUND(R44*G44,Sheet1!D$75)," ")</f>
        <v xml:space="preserve"> </v>
      </c>
      <c r="T44" s="263" t="str">
        <f>IF(AND(A44&lt;&gt;" ",Sheet1!D$192=1,Sheet1!D$194=1),ROUND((R44/I44)*J44,Sheet1!D$75)," ")</f>
        <v xml:space="preserve"> </v>
      </c>
      <c r="U44" s="265">
        <f>SUM(T$11:T44)</f>
        <v>0</v>
      </c>
      <c r="V44" s="254"/>
      <c r="W44" s="268">
        <f t="shared" si="3"/>
        <v>34</v>
      </c>
      <c r="X44" s="171" t="str">
        <f t="shared" si="4"/>
        <v xml:space="preserve"> </v>
      </c>
      <c r="AA44" s="265">
        <f>SUM(K$11:K44)</f>
        <v>0</v>
      </c>
      <c r="AB44" s="271" t="str">
        <f>IF(OR(Sheet1!D$192=1,Sheet1!D$194=1),IF(OR((AB43&gt;=(Sheet1!D$148+$A$11)-1),AND(Sheet1!D$8=3,AB43&gt;=6))," ",AB43+1),NA())</f>
        <v xml:space="preserve"> </v>
      </c>
      <c r="AC44" s="271" t="str">
        <f>IF(OR(Sheet1!D$192=1,Sheet1!D$194=1),IF(OR((AC43&gt;=(Sheet1!D$148+$B$11)-1),AND(Sheet1!D$8=3,AB43&gt;=6))," ",AC43+1),NA())</f>
        <v xml:space="preserve"> </v>
      </c>
      <c r="AD44" s="272"/>
      <c r="AE44" s="263" t="str">
        <f>IF(AND(Sheet1!D$194=1,AB44&lt;&gt;" "),ROUND(VLOOKUP(AB44,AlternativeB!A$17:M$66,12),Sheet1!D$75),IF(Sheet1!D$194=1," ","Alt  'B'  not feasible"))</f>
        <v>Alt  'B'  not feasible</v>
      </c>
      <c r="AF44" s="264" t="str">
        <f>IF(AB44&lt;=Sheet1!D$148, (1/((1+$AF$10)^(AB44-0.5)))," ")</f>
        <v xml:space="preserve"> </v>
      </c>
      <c r="AG44" s="263" t="str">
        <f>IF(AND(Sheet1!D$194=1,AB44&lt;&gt;" "),ROUND(+AE44*AF44,Sheet1!D$75)," ")</f>
        <v xml:space="preserve"> </v>
      </c>
      <c r="AH44" s="264" t="str">
        <f>IF(AB44&lt;&gt;" ",ROUND(VLOOKUP(Sheet1!E$82,CHOOSE(Sheet1!D$213,Inflate1,Inflate2,Inflate3,Inflate4,Inflate5,Inflate6,Inflate7,Inflate8),2),4)," ")</f>
        <v xml:space="preserve"> </v>
      </c>
      <c r="AI44" s="264" t="str">
        <f>IF(AB44&lt;&gt;" ",ROUND(VLOOKUP(AC44,CHOOSE(Sheet1!D$213,Inflate1,Inflate2,Inflate3,Inflate4,Inflate5,Inflate6,Inflate7,Inflate8),3),4)," ")</f>
        <v xml:space="preserve"> </v>
      </c>
      <c r="AJ44" s="263" t="b">
        <f>IF(AND(Sheet1!D$194=1,AB44&lt;&gt;" "),IF(AND(O44&lt;=10,OR(Sheet1!D$8=2,Sheet1!D$8=3,Sheet1!D$22=3)),ROUND((AE44/AH44)*AI44,Sheet1!D$75),IF(AND(Sheet1!D$8&lt;&gt;2,Sheet1!D$8&lt;&gt;3,Sheet1!D$22&lt;&gt;3),ROUND((AE44/AH44)*AI44,Sheet1!D$75)," ")))</f>
        <v>0</v>
      </c>
    </row>
    <row r="45" spans="1:36" ht="11.4" x14ac:dyDescent="0.2">
      <c r="A45" s="271" t="str">
        <f>IF(OR(Sheet1!D$192=1,Sheet1!D$194=1),IF(OR((A44&gt;=(Sheet1!D$148+$A$11)-1),AND(Sheet1!D$8=3,A44&gt;=6))," ",A44+1),NA())</f>
        <v xml:space="preserve"> </v>
      </c>
      <c r="B45" s="271" t="str">
        <f>IF(OR(Sheet1!D$192=1,Sheet1!D$194=1),IF(OR((B44&gt;=(Sheet1!D$148+$B$11)-1),AND(Sheet1!D$8=3,A44&gt;=6))," ",B44+1),NA())</f>
        <v xml:space="preserve"> </v>
      </c>
      <c r="C45" s="262"/>
      <c r="D45" s="263" t="str">
        <f>IF(AND(Sheet1!D$192=1,A45&lt;&gt;" "),ROUND(VLOOKUP(A45,StatusQuo!A$19:M$68,12),Sheet1!D$75),IF(Sheet1!D$192=1," ","SQ not feasible "))</f>
        <v xml:space="preserve"> </v>
      </c>
      <c r="E45" s="263" t="str">
        <f>IF(AND(Sheet1!D$194=1,A45&lt;&gt;" "),ROUND(VLOOKUP(A45,AlternativeB!A$110:M$159,12),Sheet1!D$75),IF(Sheet1!D$194=1," ","Alt  'B'  not feasible"))</f>
        <v>Alt  'B'  not feasible</v>
      </c>
      <c r="F45" s="263" t="str">
        <f>IF(AND(A45&lt;&gt;" ",Sheet1!D$192=1,Sheet1!D$194=1),D45-E45,IF(AND(Sheet1!D$194=1,A45&lt;&gt;" ")," "," "))</f>
        <v xml:space="preserve"> </v>
      </c>
      <c r="G45" s="264" t="str">
        <f>IF(A45&lt;=Sheet1!D$148, (1/((1+$G$10)^(A45-0.5)))," ")</f>
        <v xml:space="preserve"> </v>
      </c>
      <c r="H45" s="263" t="str">
        <f>IF(AND(A45&lt;&gt;" ",Sheet1!D$192=1,Sheet1!D$194=1),ROUND(F45*G45,Sheet1!D$75),IF(AND(A45&lt;&gt;" ",Sheet1!D$194=1),ROUND(E45*G45,Sheet1!D$75)," "))</f>
        <v xml:space="preserve"> </v>
      </c>
      <c r="I45" s="264" t="str">
        <f>IF(A45&lt;&gt;" ",ROUND(VLOOKUP(Sheet1!E$82,CHOOSE(Sheet1!D$233,Inflate7,Inflate2,Inflate3,Inflate4,Inflate5,Inflate6,Inflate1,Inflate8),2),4)," ")</f>
        <v xml:space="preserve"> </v>
      </c>
      <c r="J45" s="264" t="str">
        <f>IF(A45&lt;&gt;" ",ROUND(VLOOKUP(B45,CHOOSE(Sheet1!D$233,Inflate7,Inflate2,Inflate3,Inflate4,Inflate5,Inflate6,Inflate1,Inflate8),3),4)," ")</f>
        <v xml:space="preserve"> </v>
      </c>
      <c r="K45" s="265" t="str">
        <f>IF(AND(A45&lt;&gt;" ",Sheet1!D$192=1,Sheet1!D$194=1),ROUND((F45/I45)*J45,Sheet1!D$75),IF(AND(A45&lt;&gt;" ",Sheet1!D$194=1),ROUND((E45/I45)*J45,Sheet1!D$75)," "))</f>
        <v xml:space="preserve"> </v>
      </c>
      <c r="L45" s="254" t="str">
        <f>IF(Sheet1!D$192=1,IF(AND(AA45&gt;AJ$61,AA44&lt;=AJ$61),"&lt;-Payback"," ")," ")</f>
        <v xml:space="preserve"> </v>
      </c>
      <c r="M45" s="271" t="str">
        <f>IF(OR(Sheet1!D$192=1,Sheet1!D$194=1),IF(OR((A44&gt;=(Sheet1!D$148+$A$11)-1),AND(Sheet1!D$8=3,A44&gt;=6))," ",A44+1),NA())</f>
        <v xml:space="preserve"> </v>
      </c>
      <c r="N45" s="271" t="str">
        <f>IF(OR(Sheet1!D$192=1,Sheet1!D$194=1),IF(OR((B44&gt;=(Sheet1!D$148+$B$11)-1),AND(Sheet1!D$8=3,A44&gt;=6))," ",B44+1),NA())</f>
        <v xml:space="preserve"> </v>
      </c>
      <c r="O45" s="266" t="e">
        <f>IF(OR(Sheet1!D$192=1,Sheet1!D$194=1),IF(NOT(Sheet1!D$192=1),0,IF(ROUND(VLOOKUP(A45,StatusQuo!A$19:M$68,13),Sheet1!D$75)-ROUND(VLOOKUP(A45,AlternativeB!A$110:M$159,13),Sheet1!D$75)&gt;0,1,0))," ")</f>
        <v>#VALUE!</v>
      </c>
      <c r="P45" s="263" t="str">
        <f>IF(AND(A45&lt;&gt;" ",Sheet1!D$192=1,Sheet1!D$194=1),IF(AND(OR(Sheet1!D$8=2,Sheet1!D$22=3),O45&gt;10),0,ROUND(VLOOKUP(A45,StatusQuo!A$19:M$68,13),Sheet1!D$75)),IF(NOT(Sheet1!D$192=1),"not feasible",IF(A45=" "," ", "Savings is  n/a=&gt;")))</f>
        <v xml:space="preserve"> </v>
      </c>
      <c r="Q45" s="263" t="str">
        <f>IF(AND(A45&lt;&gt;" ",Sheet1!D$192=1,Sheet1!D$194=1),IF(AND(OR(Sheet1!D$8=2,Sheet1!D$22=3),O45&gt;10),0,ROUND(VLOOKUP(A45,AlternativeB!A$110:M$159,13),Sheet1!D$75)),IF(NOT(Sheet1!D$194=1),"not feasible",IF(A45=" "," ","&lt;== Savings is n/a")))</f>
        <v>not feasible</v>
      </c>
      <c r="R45" s="263" t="str">
        <f>IF(AND(A45&lt;&gt;" ",Sheet1!D$192=1,Sheet1!D$194=1),IF(G$81&lt;&gt;" ","???????",P45-Q45)," ")</f>
        <v xml:space="preserve"> </v>
      </c>
      <c r="S45" s="263" t="str">
        <f>IF(AND(A45&lt;&gt;" ",Sheet1!D$192=1,Sheet1!D$194=1),ROUND(R45*G45,Sheet1!D$75)," ")</f>
        <v xml:space="preserve"> </v>
      </c>
      <c r="T45" s="263" t="str">
        <f>IF(AND(A45&lt;&gt;" ",Sheet1!D$192=1,Sheet1!D$194=1),ROUND((R45/I45)*J45,Sheet1!D$75)," ")</f>
        <v xml:space="preserve"> </v>
      </c>
      <c r="U45" s="265">
        <f>SUM(T$11:T45)</f>
        <v>0</v>
      </c>
      <c r="V45" s="254"/>
      <c r="W45" s="268">
        <f t="shared" si="3"/>
        <v>35</v>
      </c>
      <c r="X45" s="171" t="str">
        <f t="shared" si="4"/>
        <v xml:space="preserve"> </v>
      </c>
      <c r="AA45" s="265">
        <f>SUM(K$11:K45)</f>
        <v>0</v>
      </c>
      <c r="AB45" s="271" t="str">
        <f>IF(OR(Sheet1!D$192=1,Sheet1!D$194=1),IF(OR((AB44&gt;=(Sheet1!D$148+$A$11)-1),AND(Sheet1!D$8=3,AB44&gt;=6))," ",AB44+1),NA())</f>
        <v xml:space="preserve"> </v>
      </c>
      <c r="AC45" s="271" t="str">
        <f>IF(OR(Sheet1!D$192=1,Sheet1!D$194=1),IF(OR((AC44&gt;=(Sheet1!D$148+$B$11)-1),AND(Sheet1!D$8=3,AB44&gt;=6))," ",AC44+1),NA())</f>
        <v xml:space="preserve"> </v>
      </c>
      <c r="AD45" s="272"/>
      <c r="AE45" s="263" t="str">
        <f>IF(AND(Sheet1!D$194=1,AB45&lt;&gt;" "),ROUND(VLOOKUP(AB45,AlternativeB!A$17:M$66,12),Sheet1!D$75),IF(Sheet1!D$194=1," ","Alt  'B'  not feasible"))</f>
        <v>Alt  'B'  not feasible</v>
      </c>
      <c r="AF45" s="264" t="str">
        <f>IF(AB45&lt;=Sheet1!D$148, (1/((1+$AF$10)^(AB45-0.5)))," ")</f>
        <v xml:space="preserve"> </v>
      </c>
      <c r="AG45" s="263" t="str">
        <f>IF(AND(Sheet1!D$194=1,AB45&lt;&gt;" "),ROUND(+AE45*AF45,Sheet1!D$75)," ")</f>
        <v xml:space="preserve"> </v>
      </c>
      <c r="AH45" s="264" t="str">
        <f>IF(AB45&lt;&gt;" ",ROUND(VLOOKUP(Sheet1!E$82,CHOOSE(Sheet1!D$213,Inflate1,Inflate2,Inflate3,Inflate4,Inflate5,Inflate6,Inflate7,Inflate8),2),4)," ")</f>
        <v xml:space="preserve"> </v>
      </c>
      <c r="AI45" s="264" t="str">
        <f>IF(AB45&lt;&gt;" ",ROUND(VLOOKUP(AC45,CHOOSE(Sheet1!D$213,Inflate1,Inflate2,Inflate3,Inflate4,Inflate5,Inflate6,Inflate7,Inflate8),3),4)," ")</f>
        <v xml:space="preserve"> </v>
      </c>
      <c r="AJ45" s="263" t="b">
        <f>IF(AND(Sheet1!D$194=1,AB45&lt;&gt;" "),IF(AND(O45&lt;=10,OR(Sheet1!D$8=2,Sheet1!D$8=3,Sheet1!D$22=3)),ROUND((AE45/AH45)*AI45,Sheet1!D$75),IF(AND(Sheet1!D$8&lt;&gt;2,Sheet1!D$8&lt;&gt;3,Sheet1!D$22&lt;&gt;3),ROUND((AE45/AH45)*AI45,Sheet1!D$75)," ")))</f>
        <v>0</v>
      </c>
    </row>
    <row r="46" spans="1:36" ht="11.4" x14ac:dyDescent="0.2">
      <c r="A46" s="271" t="str">
        <f>IF(OR(Sheet1!D$192=1,Sheet1!D$194=1),IF(OR((A45&gt;=(Sheet1!D$148+$A$11)-1),AND(Sheet1!D$8=3,A45&gt;=6))," ",A45+1),NA())</f>
        <v xml:space="preserve"> </v>
      </c>
      <c r="B46" s="271" t="str">
        <f>IF(OR(Sheet1!D$192=1,Sheet1!D$194=1),IF(OR((B45&gt;=(Sheet1!D$148+$B$11)-1),AND(Sheet1!D$8=3,A45&gt;=6))," ",B45+1),NA())</f>
        <v xml:space="preserve"> </v>
      </c>
      <c r="C46" s="262"/>
      <c r="D46" s="263" t="str">
        <f>IF(AND(Sheet1!D$192=1,A46&lt;&gt;" "),ROUND(VLOOKUP(A46,StatusQuo!A$19:M$68,12),Sheet1!D$75),IF(Sheet1!D$192=1," ","SQ not feasible "))</f>
        <v xml:space="preserve"> </v>
      </c>
      <c r="E46" s="263" t="str">
        <f>IF(AND(Sheet1!D$194=1,A46&lt;&gt;" "),ROUND(VLOOKUP(A46,AlternativeB!A$110:M$159,12),Sheet1!D$75),IF(Sheet1!D$194=1," ","Alt  'B'  not feasible"))</f>
        <v>Alt  'B'  not feasible</v>
      </c>
      <c r="F46" s="263" t="str">
        <f>IF(AND(A46&lt;&gt;" ",Sheet1!D$192=1,Sheet1!D$194=1),D46-E46,IF(AND(Sheet1!D$194=1,A46&lt;&gt;" ")," "," "))</f>
        <v xml:space="preserve"> </v>
      </c>
      <c r="G46" s="264" t="str">
        <f>IF(A46&lt;=Sheet1!D$148, (1/((1+$G$10)^(A46-0.5)))," ")</f>
        <v xml:space="preserve"> </v>
      </c>
      <c r="H46" s="263" t="str">
        <f>IF(AND(A46&lt;&gt;" ",Sheet1!D$192=1,Sheet1!D$194=1),ROUND(F46*G46,Sheet1!D$75),IF(AND(A46&lt;&gt;" ",Sheet1!D$194=1),ROUND(E46*G46,Sheet1!D$75)," "))</f>
        <v xml:space="preserve"> </v>
      </c>
      <c r="I46" s="264" t="str">
        <f>IF(A46&lt;&gt;" ",ROUND(VLOOKUP(Sheet1!E$82,CHOOSE(Sheet1!D$233,Inflate7,Inflate2,Inflate3,Inflate4,Inflate5,Inflate6,Inflate1,Inflate8),2),4)," ")</f>
        <v xml:space="preserve"> </v>
      </c>
      <c r="J46" s="264" t="str">
        <f>IF(A46&lt;&gt;" ",ROUND(VLOOKUP(B46,CHOOSE(Sheet1!D$233,Inflate7,Inflate2,Inflate3,Inflate4,Inflate5,Inflate6,Inflate1,Inflate8),3),4)," ")</f>
        <v xml:space="preserve"> </v>
      </c>
      <c r="K46" s="265" t="str">
        <f>IF(AND(A46&lt;&gt;" ",Sheet1!D$192=1,Sheet1!D$194=1),ROUND((F46/I46)*J46,Sheet1!D$75),IF(AND(A46&lt;&gt;" ",Sheet1!D$194=1),ROUND((E46/I46)*J46,Sheet1!D$75)," "))</f>
        <v xml:space="preserve"> </v>
      </c>
      <c r="L46" s="254" t="str">
        <f>IF(Sheet1!D$192=1,IF(AND(AA46&gt;AJ$61,AA45&lt;=AJ$61),"&lt;-Payback"," ")," ")</f>
        <v xml:space="preserve"> </v>
      </c>
      <c r="M46" s="271" t="str">
        <f>IF(OR(Sheet1!D$192=1,Sheet1!D$194=1),IF(OR((A45&gt;=(Sheet1!D$148+$A$11)-1),AND(Sheet1!D$8=3,A45&gt;=6))," ",A45+1),NA())</f>
        <v xml:space="preserve"> </v>
      </c>
      <c r="N46" s="271" t="str">
        <f>IF(OR(Sheet1!D$192=1,Sheet1!D$194=1),IF(OR((B45&gt;=(Sheet1!D$148+$B$11)-1),AND(Sheet1!D$8=3,A45&gt;=6))," ",B45+1),NA())</f>
        <v xml:space="preserve"> </v>
      </c>
      <c r="O46" s="266" t="e">
        <f>IF(OR(Sheet1!D$192=1,Sheet1!D$194=1),IF(NOT(Sheet1!D$192=1),0,IF(ROUND(VLOOKUP(A46,StatusQuo!A$19:M$68,13),Sheet1!D$75)-ROUND(VLOOKUP(A46,AlternativeB!A$110:M$159,13),Sheet1!D$75)&gt;0,1,0))," ")</f>
        <v>#VALUE!</v>
      </c>
      <c r="P46" s="263" t="str">
        <f>IF(AND(A46&lt;&gt;" ",Sheet1!D$192=1,Sheet1!D$194=1),IF(AND(OR(Sheet1!D$8=2,Sheet1!D$22=3),O46&gt;10),0,ROUND(VLOOKUP(A46,StatusQuo!A$19:M$68,13),Sheet1!D$75)),IF(NOT(Sheet1!D$192=1),"not feasible",IF(A46=" "," ", "Savings is  n/a=&gt;")))</f>
        <v xml:space="preserve"> </v>
      </c>
      <c r="Q46" s="263" t="str">
        <f>IF(AND(A46&lt;&gt;" ",Sheet1!D$192=1,Sheet1!D$194=1),IF(AND(OR(Sheet1!D$8=2,Sheet1!D$22=3),O46&gt;10),0,ROUND(VLOOKUP(A46,AlternativeB!A$110:M$159,13),Sheet1!D$75)),IF(NOT(Sheet1!D$194=1),"not feasible",IF(A46=" "," ","&lt;== Savings is n/a")))</f>
        <v>not feasible</v>
      </c>
      <c r="R46" s="263" t="str">
        <f>IF(AND(A46&lt;&gt;" ",Sheet1!D$192=1,Sheet1!D$194=1),IF(G$81&lt;&gt;" ","???????",P46-Q46)," ")</f>
        <v xml:space="preserve"> </v>
      </c>
      <c r="S46" s="263" t="str">
        <f>IF(AND(A46&lt;&gt;" ",Sheet1!D$192=1,Sheet1!D$194=1),ROUND(R46*G46,Sheet1!D$75)," ")</f>
        <v xml:space="preserve"> </v>
      </c>
      <c r="T46" s="263" t="str">
        <f>IF(AND(A46&lt;&gt;" ",Sheet1!D$192=1,Sheet1!D$194=1),ROUND((R46/I46)*J46,Sheet1!D$75)," ")</f>
        <v xml:space="preserve"> </v>
      </c>
      <c r="U46" s="265">
        <f>SUM(T$11:T46)</f>
        <v>0</v>
      </c>
      <c r="V46" s="254"/>
      <c r="W46" s="268">
        <f t="shared" si="3"/>
        <v>36</v>
      </c>
      <c r="X46" s="171" t="str">
        <f t="shared" si="4"/>
        <v xml:space="preserve"> </v>
      </c>
      <c r="AA46" s="265">
        <f>SUM(K$11:K46)</f>
        <v>0</v>
      </c>
      <c r="AB46" s="271" t="str">
        <f>IF(OR(Sheet1!D$192=1,Sheet1!D$194=1),IF(OR((AB45&gt;=(Sheet1!D$148+$A$11)-1),AND(Sheet1!D$8=3,AB45&gt;=6))," ",AB45+1),NA())</f>
        <v xml:space="preserve"> </v>
      </c>
      <c r="AC46" s="271" t="str">
        <f>IF(OR(Sheet1!D$192=1,Sheet1!D$194=1),IF(OR((AC45&gt;=(Sheet1!D$148+$B$11)-1),AND(Sheet1!D$8=3,AB45&gt;=6))," ",AC45+1),NA())</f>
        <v xml:space="preserve"> </v>
      </c>
      <c r="AD46" s="272"/>
      <c r="AE46" s="263" t="str">
        <f>IF(AND(Sheet1!D$194=1,AB46&lt;&gt;" "),ROUND(VLOOKUP(AB46,AlternativeB!A$17:M$66,12),Sheet1!D$75),IF(Sheet1!D$194=1," ","Alt  'B'  not feasible"))</f>
        <v>Alt  'B'  not feasible</v>
      </c>
      <c r="AF46" s="264" t="str">
        <f>IF(AB46&lt;=Sheet1!D$148, (1/((1+$AF$10)^(AB46-0.5)))," ")</f>
        <v xml:space="preserve"> </v>
      </c>
      <c r="AG46" s="263" t="str">
        <f>IF(AND(Sheet1!D$194=1,AB46&lt;&gt;" "),ROUND(+AE46*AF46,Sheet1!D$75)," ")</f>
        <v xml:space="preserve"> </v>
      </c>
      <c r="AH46" s="264" t="str">
        <f>IF(AB46&lt;&gt;" ",ROUND(VLOOKUP(Sheet1!E$82,CHOOSE(Sheet1!D$213,Inflate1,Inflate2,Inflate3,Inflate4,Inflate5,Inflate6,Inflate7,Inflate8),2),4)," ")</f>
        <v xml:space="preserve"> </v>
      </c>
      <c r="AI46" s="264" t="str">
        <f>IF(AB46&lt;&gt;" ",ROUND(VLOOKUP(AC46,CHOOSE(Sheet1!D$213,Inflate1,Inflate2,Inflate3,Inflate4,Inflate5,Inflate6,Inflate7,Inflate8),3),4)," ")</f>
        <v xml:space="preserve"> </v>
      </c>
      <c r="AJ46" s="263" t="b">
        <f>IF(AND(Sheet1!D$194=1,AB46&lt;&gt;" "),IF(AND(O46&lt;=10,OR(Sheet1!D$8=2,Sheet1!D$8=3,Sheet1!D$22=3)),ROUND((AE46/AH46)*AI46,Sheet1!D$75),IF(AND(Sheet1!D$8&lt;&gt;2,Sheet1!D$8&lt;&gt;3,Sheet1!D$22&lt;&gt;3),ROUND((AE46/AH46)*AI46,Sheet1!D$75)," ")))</f>
        <v>0</v>
      </c>
    </row>
    <row r="47" spans="1:36" ht="11.4" x14ac:dyDescent="0.2">
      <c r="A47" s="271" t="str">
        <f>IF(OR(Sheet1!D$192=1,Sheet1!D$194=1),IF(OR((A46&gt;=(Sheet1!D$148+$A$11)-1),AND(Sheet1!D$8=3,A46&gt;=6))," ",A46+1),NA())</f>
        <v xml:space="preserve"> </v>
      </c>
      <c r="B47" s="271" t="str">
        <f>IF(OR(Sheet1!D$192=1,Sheet1!D$194=1),IF(OR((B46&gt;=(Sheet1!D$148+$B$11)-1),AND(Sheet1!D$8=3,A46&gt;=6))," ",B46+1),NA())</f>
        <v xml:space="preserve"> </v>
      </c>
      <c r="C47" s="262"/>
      <c r="D47" s="263" t="str">
        <f>IF(AND(Sheet1!D$192=1,A47&lt;&gt;" "),ROUND(VLOOKUP(A47,StatusQuo!A$19:M$68,12),Sheet1!D$75),IF(Sheet1!D$192=1," ","SQ not feasible "))</f>
        <v xml:space="preserve"> </v>
      </c>
      <c r="E47" s="263" t="str">
        <f>IF(AND(Sheet1!D$194=1,A47&lt;&gt;" "),ROUND(VLOOKUP(A47,AlternativeB!A$110:M$159,12),Sheet1!D$75),IF(Sheet1!D$194=1," ","Alt  'B'  not feasible"))</f>
        <v>Alt  'B'  not feasible</v>
      </c>
      <c r="F47" s="263" t="str">
        <f>IF(AND(A47&lt;&gt;" ",Sheet1!D$192=1,Sheet1!D$194=1),D47-E47,IF(AND(Sheet1!D$194=1,A47&lt;&gt;" ")," "," "))</f>
        <v xml:space="preserve"> </v>
      </c>
      <c r="G47" s="264" t="str">
        <f>IF(A47&lt;=Sheet1!D$148, (1/((1+$G$10)^(A47-0.5)))," ")</f>
        <v xml:space="preserve"> </v>
      </c>
      <c r="H47" s="263" t="str">
        <f>IF(AND(A47&lt;&gt;" ",Sheet1!D$192=1,Sheet1!D$194=1),ROUND(F47*G47,Sheet1!D$75),IF(AND(A47&lt;&gt;" ",Sheet1!D$194=1),ROUND(E47*G47,Sheet1!D$75)," "))</f>
        <v xml:space="preserve"> </v>
      </c>
      <c r="I47" s="264" t="str">
        <f>IF(A47&lt;&gt;" ",ROUND(VLOOKUP(Sheet1!E$82,CHOOSE(Sheet1!D$233,Inflate7,Inflate2,Inflate3,Inflate4,Inflate5,Inflate6,Inflate1,Inflate8),2),4)," ")</f>
        <v xml:space="preserve"> </v>
      </c>
      <c r="J47" s="264" t="str">
        <f>IF(A47&lt;&gt;" ",ROUND(VLOOKUP(B47,CHOOSE(Sheet1!D$233,Inflate7,Inflate2,Inflate3,Inflate4,Inflate5,Inflate6,Inflate1,Inflate8),3),4)," ")</f>
        <v xml:space="preserve"> </v>
      </c>
      <c r="K47" s="265" t="str">
        <f>IF(AND(A47&lt;&gt;" ",Sheet1!D$192=1,Sheet1!D$194=1),ROUND((F47/I47)*J47,Sheet1!D$75),IF(AND(A47&lt;&gt;" ",Sheet1!D$194=1),ROUND((E47/I47)*J47,Sheet1!D$75)," "))</f>
        <v xml:space="preserve"> </v>
      </c>
      <c r="L47" s="254" t="str">
        <f>IF(Sheet1!D$192=1,IF(AND(AA47&gt;AJ$61,AA46&lt;=AJ$61),"&lt;-Payback"," ")," ")</f>
        <v xml:space="preserve"> </v>
      </c>
      <c r="M47" s="271" t="str">
        <f>IF(OR(Sheet1!D$192=1,Sheet1!D$194=1),IF(OR((A46&gt;=(Sheet1!D$148+$A$11)-1),AND(Sheet1!D$8=3,A46&gt;=6))," ",A46+1),NA())</f>
        <v xml:space="preserve"> </v>
      </c>
      <c r="N47" s="271" t="str">
        <f>IF(OR(Sheet1!D$192=1,Sheet1!D$194=1),IF(OR((B46&gt;=(Sheet1!D$148+$B$11)-1),AND(Sheet1!D$8=3,A46&gt;=6))," ",B46+1),NA())</f>
        <v xml:space="preserve"> </v>
      </c>
      <c r="O47" s="266" t="e">
        <f>IF(OR(Sheet1!D$192=1,Sheet1!D$194=1),IF(NOT(Sheet1!D$192=1),0,IF(ROUND(VLOOKUP(A47,StatusQuo!A$19:M$68,13),Sheet1!D$75)-ROUND(VLOOKUP(A47,AlternativeB!A$110:M$159,13),Sheet1!D$75)&gt;0,1,0))," ")</f>
        <v>#VALUE!</v>
      </c>
      <c r="P47" s="263" t="str">
        <f>IF(AND(A47&lt;&gt;" ",Sheet1!D$192=1,Sheet1!D$194=1),IF(AND(OR(Sheet1!D$8=2,Sheet1!D$22=3),O47&gt;10),0,ROUND(VLOOKUP(A47,StatusQuo!A$19:M$68,13),Sheet1!D$75)),IF(NOT(Sheet1!D$192=1),"not feasible",IF(A47=" "," ", "Savings is  n/a=&gt;")))</f>
        <v xml:space="preserve"> </v>
      </c>
      <c r="Q47" s="263" t="str">
        <f>IF(AND(A47&lt;&gt;" ",Sheet1!D$192=1,Sheet1!D$194=1),IF(AND(OR(Sheet1!D$8=2,Sheet1!D$22=3),O47&gt;10),0,ROUND(VLOOKUP(A47,AlternativeB!A$110:M$159,13),Sheet1!D$75)),IF(NOT(Sheet1!D$194=1),"not feasible",IF(A47=" "," ","&lt;== Savings is n/a")))</f>
        <v>not feasible</v>
      </c>
      <c r="R47" s="263" t="str">
        <f>IF(AND(A47&lt;&gt;" ",Sheet1!D$192=1,Sheet1!D$194=1),IF(G$81&lt;&gt;" ","???????",P47-Q47)," ")</f>
        <v xml:space="preserve"> </v>
      </c>
      <c r="S47" s="263" t="str">
        <f>IF(AND(A47&lt;&gt;" ",Sheet1!D$192=1,Sheet1!D$194=1),ROUND(R47*G47,Sheet1!D$75)," ")</f>
        <v xml:space="preserve"> </v>
      </c>
      <c r="T47" s="263" t="str">
        <f>IF(AND(A47&lt;&gt;" ",Sheet1!D$192=1,Sheet1!D$194=1),ROUND((R47/I47)*J47,Sheet1!D$75)," ")</f>
        <v xml:space="preserve"> </v>
      </c>
      <c r="U47" s="265">
        <f>SUM(T$11:T47)</f>
        <v>0</v>
      </c>
      <c r="V47" s="254"/>
      <c r="W47" s="268">
        <f t="shared" si="3"/>
        <v>37</v>
      </c>
      <c r="X47" s="171" t="str">
        <f t="shared" si="4"/>
        <v xml:space="preserve"> </v>
      </c>
      <c r="AA47" s="265">
        <f>SUM(K$11:K47)</f>
        <v>0</v>
      </c>
      <c r="AB47" s="271" t="str">
        <f>IF(OR(Sheet1!D$192=1,Sheet1!D$194=1),IF(OR((AB46&gt;=(Sheet1!D$148+$A$11)-1),AND(Sheet1!D$8=3,AB46&gt;=6))," ",AB46+1),NA())</f>
        <v xml:space="preserve"> </v>
      </c>
      <c r="AC47" s="271" t="str">
        <f>IF(OR(Sheet1!D$192=1,Sheet1!D$194=1),IF(OR((AC46&gt;=(Sheet1!D$148+$B$11)-1),AND(Sheet1!D$8=3,AB46&gt;=6))," ",AC46+1),NA())</f>
        <v xml:space="preserve"> </v>
      </c>
      <c r="AD47" s="272"/>
      <c r="AE47" s="263" t="str">
        <f>IF(AND(Sheet1!D$194=1,AB47&lt;&gt;" "),ROUND(VLOOKUP(AB47,AlternativeB!A$17:M$66,12),Sheet1!D$75),IF(Sheet1!D$194=1," ","Alt  'B'  not feasible"))</f>
        <v>Alt  'B'  not feasible</v>
      </c>
      <c r="AF47" s="264" t="str">
        <f>IF(AB47&lt;=Sheet1!D$148, (1/((1+$AF$10)^(AB47-0.5)))," ")</f>
        <v xml:space="preserve"> </v>
      </c>
      <c r="AG47" s="263" t="str">
        <f>IF(AND(Sheet1!D$194=1,AB47&lt;&gt;" "),ROUND(+AE47*AF47,Sheet1!D$75)," ")</f>
        <v xml:space="preserve"> </v>
      </c>
      <c r="AH47" s="264" t="str">
        <f>IF(AB47&lt;&gt;" ",ROUND(VLOOKUP(Sheet1!E$82,CHOOSE(Sheet1!D$213,Inflate1,Inflate2,Inflate3,Inflate4,Inflate5,Inflate6,Inflate7,Inflate8),2),4)," ")</f>
        <v xml:space="preserve"> </v>
      </c>
      <c r="AI47" s="264" t="str">
        <f>IF(AB47&lt;&gt;" ",ROUND(VLOOKUP(AC47,CHOOSE(Sheet1!D$213,Inflate1,Inflate2,Inflate3,Inflate4,Inflate5,Inflate6,Inflate7,Inflate8),3),4)," ")</f>
        <v xml:space="preserve"> </v>
      </c>
      <c r="AJ47" s="263" t="b">
        <f>IF(AND(Sheet1!D$194=1,AB47&lt;&gt;" "),IF(AND(O47&lt;=10,OR(Sheet1!D$8=2,Sheet1!D$8=3,Sheet1!D$22=3)),ROUND((AE47/AH47)*AI47,Sheet1!D$75),IF(AND(Sheet1!D$8&lt;&gt;2,Sheet1!D$8&lt;&gt;3,Sheet1!D$22&lt;&gt;3),ROUND((AE47/AH47)*AI47,Sheet1!D$75)," ")))</f>
        <v>0</v>
      </c>
    </row>
    <row r="48" spans="1:36" ht="11.4" x14ac:dyDescent="0.2">
      <c r="A48" s="271" t="str">
        <f>IF(OR(Sheet1!D$192=1,Sheet1!D$194=1),IF(OR((A47&gt;=(Sheet1!D$148+$A$11)-1),AND(Sheet1!D$8=3,A47&gt;=6))," ",A47+1),NA())</f>
        <v xml:space="preserve"> </v>
      </c>
      <c r="B48" s="271" t="str">
        <f>IF(OR(Sheet1!D$192=1,Sheet1!D$194=1),IF(OR((B47&gt;=(Sheet1!D$148+$B$11)-1),AND(Sheet1!D$8=3,A47&gt;=6))," ",B47+1),NA())</f>
        <v xml:space="preserve"> </v>
      </c>
      <c r="C48" s="262"/>
      <c r="D48" s="263" t="str">
        <f>IF(AND(Sheet1!D$192=1,A48&lt;&gt;" "),ROUND(VLOOKUP(A48,StatusQuo!A$19:M$68,12),Sheet1!D$75),IF(Sheet1!D$192=1," ","SQ not feasible "))</f>
        <v xml:space="preserve"> </v>
      </c>
      <c r="E48" s="263" t="str">
        <f>IF(AND(Sheet1!D$194=1,A48&lt;&gt;" "),ROUND(VLOOKUP(A48,AlternativeB!A$110:M$159,12),Sheet1!D$75),IF(Sheet1!D$194=1," ","Alt  'B'  not feasible"))</f>
        <v>Alt  'B'  not feasible</v>
      </c>
      <c r="F48" s="263" t="str">
        <f>IF(AND(A48&lt;&gt;" ",Sheet1!D$192=1,Sheet1!D$194=1),D48-E48,IF(AND(Sheet1!D$194=1,A48&lt;&gt;" ")," "," "))</f>
        <v xml:space="preserve"> </v>
      </c>
      <c r="G48" s="264" t="str">
        <f>IF(A48&lt;=Sheet1!D$148, (1/((1+$G$10)^(A48-0.5)))," ")</f>
        <v xml:space="preserve"> </v>
      </c>
      <c r="H48" s="263" t="str">
        <f>IF(AND(A48&lt;&gt;" ",Sheet1!D$192=1,Sheet1!D$194=1),ROUND(F48*G48,Sheet1!D$75),IF(AND(A48&lt;&gt;" ",Sheet1!D$194=1),ROUND(E48*G48,Sheet1!D$75)," "))</f>
        <v xml:space="preserve"> </v>
      </c>
      <c r="I48" s="264" t="str">
        <f>IF(A48&lt;&gt;" ",ROUND(VLOOKUP(Sheet1!E$82,CHOOSE(Sheet1!D$233,Inflate7,Inflate2,Inflate3,Inflate4,Inflate5,Inflate6,Inflate1,Inflate8),2),4)," ")</f>
        <v xml:space="preserve"> </v>
      </c>
      <c r="J48" s="264" t="str">
        <f>IF(A48&lt;&gt;" ",ROUND(VLOOKUP(B48,CHOOSE(Sheet1!D$233,Inflate7,Inflate2,Inflate3,Inflate4,Inflate5,Inflate6,Inflate1,Inflate8),3),4)," ")</f>
        <v xml:space="preserve"> </v>
      </c>
      <c r="K48" s="265" t="str">
        <f>IF(AND(A48&lt;&gt;" ",Sheet1!D$192=1,Sheet1!D$194=1),ROUND((F48/I48)*J48,Sheet1!D$75),IF(AND(A48&lt;&gt;" ",Sheet1!D$194=1),ROUND((E48/I48)*J48,Sheet1!D$75)," "))</f>
        <v xml:space="preserve"> </v>
      </c>
      <c r="L48" s="254" t="str">
        <f>IF(Sheet1!D$192=1,IF(AND(AA48&gt;AJ$61,AA47&lt;=AJ$61),"&lt;-Payback"," ")," ")</f>
        <v xml:space="preserve"> </v>
      </c>
      <c r="M48" s="271" t="str">
        <f>IF(OR(Sheet1!D$192=1,Sheet1!D$194=1),IF(OR((A47&gt;=(Sheet1!D$148+$A$11)-1),AND(Sheet1!D$8=3,A47&gt;=6))," ",A47+1),NA())</f>
        <v xml:space="preserve"> </v>
      </c>
      <c r="N48" s="271" t="str">
        <f>IF(OR(Sheet1!D$192=1,Sheet1!D$194=1),IF(OR((B47&gt;=(Sheet1!D$148+$B$11)-1),AND(Sheet1!D$8=3,A47&gt;=6))," ",B47+1),NA())</f>
        <v xml:space="preserve"> </v>
      </c>
      <c r="O48" s="266" t="e">
        <f>IF(OR(Sheet1!D$192=1,Sheet1!D$194=1),IF(NOT(Sheet1!D$192=1),0,IF(ROUND(VLOOKUP(A48,StatusQuo!A$19:M$68,13),Sheet1!D$75)-ROUND(VLOOKUP(A48,AlternativeB!A$110:M$159,13),Sheet1!D$75)&gt;0,1,0))," ")</f>
        <v>#VALUE!</v>
      </c>
      <c r="P48" s="263" t="str">
        <f>IF(AND(A48&lt;&gt;" ",Sheet1!D$192=1,Sheet1!D$194=1),IF(AND(OR(Sheet1!D$8=2,Sheet1!D$22=3),O48&gt;10),0,ROUND(VLOOKUP(A48,StatusQuo!A$19:M$68,13),Sheet1!D$75)),IF(NOT(Sheet1!D$192=1),"not feasible",IF(A48=" "," ", "Savings is  n/a=&gt;")))</f>
        <v xml:space="preserve"> </v>
      </c>
      <c r="Q48" s="263" t="str">
        <f>IF(AND(A48&lt;&gt;" ",Sheet1!D$192=1,Sheet1!D$194=1),IF(AND(OR(Sheet1!D$8=2,Sheet1!D$22=3),O48&gt;10),0,ROUND(VLOOKUP(A48,AlternativeB!A$110:M$159,13),Sheet1!D$75)),IF(NOT(Sheet1!D$194=1),"not feasible",IF(A48=" "," ","&lt;== Savings is n/a")))</f>
        <v>not feasible</v>
      </c>
      <c r="R48" s="263" t="str">
        <f>IF(AND(A48&lt;&gt;" ",Sheet1!D$192=1,Sheet1!D$194=1),IF(G$81&lt;&gt;" ","???????",P48-Q48)," ")</f>
        <v xml:space="preserve"> </v>
      </c>
      <c r="S48" s="263" t="str">
        <f>IF(AND(A48&lt;&gt;" ",Sheet1!D$192=1,Sheet1!D$194=1),ROUND(R48*G48,Sheet1!D$75)," ")</f>
        <v xml:space="preserve"> </v>
      </c>
      <c r="T48" s="263" t="str">
        <f>IF(AND(A48&lt;&gt;" ",Sheet1!D$192=1,Sheet1!D$194=1),ROUND((R48/I48)*J48,Sheet1!D$75)," ")</f>
        <v xml:space="preserve"> </v>
      </c>
      <c r="U48" s="265">
        <f>SUM(T$11:T48)</f>
        <v>0</v>
      </c>
      <c r="V48" s="254"/>
      <c r="W48" s="268">
        <f t="shared" si="3"/>
        <v>38</v>
      </c>
      <c r="X48" s="171" t="str">
        <f t="shared" si="4"/>
        <v xml:space="preserve"> </v>
      </c>
      <c r="AA48" s="265">
        <f>SUM(K$11:K48)</f>
        <v>0</v>
      </c>
      <c r="AB48" s="271" t="str">
        <f>IF(OR(Sheet1!D$192=1,Sheet1!D$194=1),IF(OR((AB47&gt;=(Sheet1!D$148+$A$11)-1),AND(Sheet1!D$8=3,AB47&gt;=6))," ",AB47+1),NA())</f>
        <v xml:space="preserve"> </v>
      </c>
      <c r="AC48" s="271" t="str">
        <f>IF(OR(Sheet1!D$192=1,Sheet1!D$194=1),IF(OR((AC47&gt;=(Sheet1!D$148+$B$11)-1),AND(Sheet1!D$8=3,AB47&gt;=6))," ",AC47+1),NA())</f>
        <v xml:space="preserve"> </v>
      </c>
      <c r="AD48" s="272"/>
      <c r="AE48" s="263" t="str">
        <f>IF(AND(Sheet1!D$194=1,AB48&lt;&gt;" "),ROUND(VLOOKUP(AB48,AlternativeB!A$17:M$66,12),Sheet1!D$75),IF(Sheet1!D$194=1," ","Alt  'B'  not feasible"))</f>
        <v>Alt  'B'  not feasible</v>
      </c>
      <c r="AF48" s="264" t="str">
        <f>IF(AB48&lt;=Sheet1!D$148, (1/((1+$AF$10)^(AB48-0.5)))," ")</f>
        <v xml:space="preserve"> </v>
      </c>
      <c r="AG48" s="263" t="str">
        <f>IF(AND(Sheet1!D$194=1,AB48&lt;&gt;" "),ROUND(+AE48*AF48,Sheet1!D$75)," ")</f>
        <v xml:space="preserve"> </v>
      </c>
      <c r="AH48" s="264" t="str">
        <f>IF(AB48&lt;&gt;" ",ROUND(VLOOKUP(Sheet1!E$82,CHOOSE(Sheet1!D$213,Inflate1,Inflate2,Inflate3,Inflate4,Inflate5,Inflate6,Inflate7,Inflate8),2),4)," ")</f>
        <v xml:space="preserve"> </v>
      </c>
      <c r="AI48" s="264" t="str">
        <f>IF(AB48&lt;&gt;" ",ROUND(VLOOKUP(AC48,CHOOSE(Sheet1!D$213,Inflate1,Inflate2,Inflate3,Inflate4,Inflate5,Inflate6,Inflate7,Inflate8),3),4)," ")</f>
        <v xml:space="preserve"> </v>
      </c>
      <c r="AJ48" s="263" t="b">
        <f>IF(AND(Sheet1!D$194=1,AB48&lt;&gt;" "),IF(AND(O48&lt;=10,OR(Sheet1!D$8=2,Sheet1!D$8=3,Sheet1!D$22=3)),ROUND((AE48/AH48)*AI48,Sheet1!D$75),IF(AND(Sheet1!D$8&lt;&gt;2,Sheet1!D$8&lt;&gt;3,Sheet1!D$22&lt;&gt;3),ROUND((AE48/AH48)*AI48,Sheet1!D$75)," ")))</f>
        <v>0</v>
      </c>
    </row>
    <row r="49" spans="1:36" ht="11.4" x14ac:dyDescent="0.2">
      <c r="A49" s="271" t="str">
        <f>IF(OR(Sheet1!D$192=1,Sheet1!D$194=1),IF(OR((A48&gt;=(Sheet1!D$148+$A$11)-1),AND(Sheet1!D$8=3,A48&gt;=6))," ",A48+1),NA())</f>
        <v xml:space="preserve"> </v>
      </c>
      <c r="B49" s="271" t="str">
        <f>IF(OR(Sheet1!D$192=1,Sheet1!D$194=1),IF(OR((B48&gt;=(Sheet1!D$148+$B$11)-1),AND(Sheet1!D$8=3,A48&gt;=6))," ",B48+1),NA())</f>
        <v xml:space="preserve"> </v>
      </c>
      <c r="C49" s="262"/>
      <c r="D49" s="263" t="str">
        <f>IF(AND(Sheet1!D$192=1,A49&lt;&gt;" "),ROUND(VLOOKUP(A49,StatusQuo!A$19:M$68,12),Sheet1!D$75),IF(Sheet1!D$192=1," ","SQ not feasible "))</f>
        <v xml:space="preserve"> </v>
      </c>
      <c r="E49" s="263" t="str">
        <f>IF(AND(Sheet1!D$194=1,A49&lt;&gt;" "),ROUND(VLOOKUP(A49,AlternativeB!A$110:M$159,12),Sheet1!D$75),IF(Sheet1!D$194=1," ","Alt  'B'  not feasible"))</f>
        <v>Alt  'B'  not feasible</v>
      </c>
      <c r="F49" s="263" t="str">
        <f>IF(AND(A49&lt;&gt;" ",Sheet1!D$192=1,Sheet1!D$194=1),D49-E49,IF(AND(Sheet1!D$194=1,A49&lt;&gt;" ")," "," "))</f>
        <v xml:space="preserve"> </v>
      </c>
      <c r="G49" s="264" t="str">
        <f>IF(A49&lt;=Sheet1!D$148, (1/((1+$G$10)^(A49-0.5)))," ")</f>
        <v xml:space="preserve"> </v>
      </c>
      <c r="H49" s="263" t="str">
        <f>IF(AND(A49&lt;&gt;" ",Sheet1!D$192=1,Sheet1!D$194=1),ROUND(F49*G49,Sheet1!D$75),IF(AND(A49&lt;&gt;" ",Sheet1!D$194=1),ROUND(E49*G49,Sheet1!D$75)," "))</f>
        <v xml:space="preserve"> </v>
      </c>
      <c r="I49" s="264" t="str">
        <f>IF(A49&lt;&gt;" ",ROUND(VLOOKUP(Sheet1!E$82,CHOOSE(Sheet1!D$233,Inflate7,Inflate2,Inflate3,Inflate4,Inflate5,Inflate6,Inflate1,Inflate8),2),4)," ")</f>
        <v xml:space="preserve"> </v>
      </c>
      <c r="J49" s="264" t="str">
        <f>IF(A49&lt;&gt;" ",ROUND(VLOOKUP(B49,CHOOSE(Sheet1!D$233,Inflate7,Inflate2,Inflate3,Inflate4,Inflate5,Inflate6,Inflate1,Inflate8),3),4)," ")</f>
        <v xml:space="preserve"> </v>
      </c>
      <c r="K49" s="265" t="str">
        <f>IF(AND(A49&lt;&gt;" ",Sheet1!D$192=1,Sheet1!D$194=1),ROUND((F49/I49)*J49,Sheet1!D$75),IF(AND(A49&lt;&gt;" ",Sheet1!D$194=1),ROUND((E49/I49)*J49,Sheet1!D$75)," "))</f>
        <v xml:space="preserve"> </v>
      </c>
      <c r="L49" s="254" t="str">
        <f>IF(Sheet1!D$192=1,IF(AND(AA49&gt;AJ$61,AA48&lt;=AJ$61),"&lt;-Payback"," ")," ")</f>
        <v xml:space="preserve"> </v>
      </c>
      <c r="M49" s="271" t="str">
        <f>IF(OR(Sheet1!D$192=1,Sheet1!D$194=1),IF(OR((A48&gt;=(Sheet1!D$148+$A$11)-1),AND(Sheet1!D$8=3,A48&gt;=6))," ",A48+1),NA())</f>
        <v xml:space="preserve"> </v>
      </c>
      <c r="N49" s="271" t="str">
        <f>IF(OR(Sheet1!D$192=1,Sheet1!D$194=1),IF(OR((B48&gt;=(Sheet1!D$148+$B$11)-1),AND(Sheet1!D$8=3,A48&gt;=6))," ",B48+1),NA())</f>
        <v xml:space="preserve"> </v>
      </c>
      <c r="O49" s="266" t="e">
        <f>IF(OR(Sheet1!D$192=1,Sheet1!D$194=1),IF(NOT(Sheet1!D$192=1),0,IF(ROUND(VLOOKUP(A49,StatusQuo!A$19:M$68,13),Sheet1!D$75)-ROUND(VLOOKUP(A49,AlternativeB!A$110:M$159,13),Sheet1!D$75)&gt;0,1,0))," ")</f>
        <v>#VALUE!</v>
      </c>
      <c r="P49" s="263" t="str">
        <f>IF(AND(A49&lt;&gt;" ",Sheet1!D$192=1,Sheet1!D$194=1),IF(AND(OR(Sheet1!D$8=2,Sheet1!D$22=3),O49&gt;10),0,ROUND(VLOOKUP(A49,StatusQuo!A$19:M$68,13),Sheet1!D$75)),IF(NOT(Sheet1!D$192=1),"not feasible",IF(A49=" "," ", "Savings is  n/a=&gt;")))</f>
        <v xml:space="preserve"> </v>
      </c>
      <c r="Q49" s="263" t="str">
        <f>IF(AND(A49&lt;&gt;" ",Sheet1!D$192=1,Sheet1!D$194=1),IF(AND(OR(Sheet1!D$8=2,Sheet1!D$22=3),O49&gt;10),0,ROUND(VLOOKUP(A49,AlternativeB!A$110:M$159,13),Sheet1!D$75)),IF(NOT(Sheet1!D$194=1),"not feasible",IF(A49=" "," ","&lt;== Savings is n/a")))</f>
        <v>not feasible</v>
      </c>
      <c r="R49" s="263" t="str">
        <f>IF(AND(A49&lt;&gt;" ",Sheet1!D$192=1,Sheet1!D$194=1),IF(G$81&lt;&gt;" ","???????",P49-Q49)," ")</f>
        <v xml:space="preserve"> </v>
      </c>
      <c r="S49" s="263" t="str">
        <f>IF(AND(A49&lt;&gt;" ",Sheet1!D$192=1,Sheet1!D$194=1),ROUND(R49*G49,Sheet1!D$75)," ")</f>
        <v xml:space="preserve"> </v>
      </c>
      <c r="T49" s="263" t="str">
        <f>IF(AND(A49&lt;&gt;" ",Sheet1!D$192=1,Sheet1!D$194=1),ROUND((R49/I49)*J49,Sheet1!D$75)," ")</f>
        <v xml:space="preserve"> </v>
      </c>
      <c r="U49" s="265">
        <f>SUM(T$11:T49)</f>
        <v>0</v>
      </c>
      <c r="V49" s="254"/>
      <c r="W49" s="268">
        <f t="shared" si="3"/>
        <v>39</v>
      </c>
      <c r="X49" s="171" t="str">
        <f t="shared" si="4"/>
        <v xml:space="preserve"> </v>
      </c>
      <c r="AA49" s="265">
        <f>SUM(K$11:K49)</f>
        <v>0</v>
      </c>
      <c r="AB49" s="271" t="str">
        <f>IF(OR(Sheet1!D$192=1,Sheet1!D$194=1),IF(OR((AB48&gt;=(Sheet1!D$148+$A$11)-1),AND(Sheet1!D$8=3,AB48&gt;=6))," ",AB48+1),NA())</f>
        <v xml:space="preserve"> </v>
      </c>
      <c r="AC49" s="271" t="str">
        <f>IF(OR(Sheet1!D$192=1,Sheet1!D$194=1),IF(OR((AC48&gt;=(Sheet1!D$148+$B$11)-1),AND(Sheet1!D$8=3,AB48&gt;=6))," ",AC48+1),NA())</f>
        <v xml:space="preserve"> </v>
      </c>
      <c r="AD49" s="272"/>
      <c r="AE49" s="263" t="str">
        <f>IF(AND(Sheet1!D$194=1,AB49&lt;&gt;" "),ROUND(VLOOKUP(AB49,AlternativeB!A$17:M$66,12),Sheet1!D$75),IF(Sheet1!D$194=1," ","Alt  'B'  not feasible"))</f>
        <v>Alt  'B'  not feasible</v>
      </c>
      <c r="AF49" s="264" t="str">
        <f>IF(AB49&lt;=Sheet1!D$148, (1/((1+$AF$10)^(AB49-0.5)))," ")</f>
        <v xml:space="preserve"> </v>
      </c>
      <c r="AG49" s="263" t="str">
        <f>IF(AND(Sheet1!D$194=1,AB49&lt;&gt;" "),ROUND(+AE49*AF49,Sheet1!D$75)," ")</f>
        <v xml:space="preserve"> </v>
      </c>
      <c r="AH49" s="264" t="str">
        <f>IF(AB49&lt;&gt;" ",ROUND(VLOOKUP(Sheet1!E$82,CHOOSE(Sheet1!D$213,Inflate1,Inflate2,Inflate3,Inflate4,Inflate5,Inflate6,Inflate7,Inflate8),2),4)," ")</f>
        <v xml:space="preserve"> </v>
      </c>
      <c r="AI49" s="264" t="str">
        <f>IF(AB49&lt;&gt;" ",ROUND(VLOOKUP(AC49,CHOOSE(Sheet1!D$213,Inflate1,Inflate2,Inflate3,Inflate4,Inflate5,Inflate6,Inflate7,Inflate8),3),4)," ")</f>
        <v xml:space="preserve"> </v>
      </c>
      <c r="AJ49" s="263" t="b">
        <f>IF(AND(Sheet1!D$194=1,AB49&lt;&gt;" "),IF(AND(O49&lt;=10,OR(Sheet1!D$8=2,Sheet1!D$8=3,Sheet1!D$22=3)),ROUND((AE49/AH49)*AI49,Sheet1!D$75),IF(AND(Sheet1!D$8&lt;&gt;2,Sheet1!D$8&lt;&gt;3,Sheet1!D$22&lt;&gt;3),ROUND((AE49/AH49)*AI49,Sheet1!D$75)," ")))</f>
        <v>0</v>
      </c>
    </row>
    <row r="50" spans="1:36" ht="11.4" x14ac:dyDescent="0.2">
      <c r="A50" s="271" t="str">
        <f>IF(OR(Sheet1!D$192=1,Sheet1!D$194=1),IF(OR((A49&gt;=(Sheet1!D$148+$A$11)-1),AND(Sheet1!D$8=3,A49&gt;=6))," ",A49+1),NA())</f>
        <v xml:space="preserve"> </v>
      </c>
      <c r="B50" s="271" t="str">
        <f>IF(OR(Sheet1!D$192=1,Sheet1!D$194=1),IF(OR((B49&gt;=(Sheet1!D$148+$B$11)-1),AND(Sheet1!D$8=3,A49&gt;=6))," ",B49+1),NA())</f>
        <v xml:space="preserve"> </v>
      </c>
      <c r="C50" s="262"/>
      <c r="D50" s="263" t="str">
        <f>IF(AND(Sheet1!D$192=1,A50&lt;&gt;" "),ROUND(VLOOKUP(A50,StatusQuo!A$19:M$68,12),Sheet1!D$75),IF(Sheet1!D$192=1," ","SQ not feasible "))</f>
        <v xml:space="preserve"> </v>
      </c>
      <c r="E50" s="263" t="str">
        <f>IF(AND(Sheet1!D$194=1,A50&lt;&gt;" "),ROUND(VLOOKUP(A50,AlternativeB!A$110:M$159,12),Sheet1!D$75),IF(Sheet1!D$194=1," ","Alt  'B'  not feasible"))</f>
        <v>Alt  'B'  not feasible</v>
      </c>
      <c r="F50" s="263" t="str">
        <f>IF(AND(A50&lt;&gt;" ",Sheet1!D$192=1,Sheet1!D$194=1),D50-E50,IF(AND(Sheet1!D$194=1,A50&lt;&gt;" ")," "," "))</f>
        <v xml:space="preserve"> </v>
      </c>
      <c r="G50" s="264" t="str">
        <f>IF(A50&lt;=Sheet1!D$148, (1/((1+$G$10)^(A50-0.5)))," ")</f>
        <v xml:space="preserve"> </v>
      </c>
      <c r="H50" s="263" t="str">
        <f>IF(AND(A50&lt;&gt;" ",Sheet1!D$192=1,Sheet1!D$194=1),ROUND(F50*G50,Sheet1!D$75),IF(AND(A50&lt;&gt;" ",Sheet1!D$194=1),ROUND(E50*G50,Sheet1!D$75)," "))</f>
        <v xml:space="preserve"> </v>
      </c>
      <c r="I50" s="264" t="str">
        <f>IF(A50&lt;&gt;" ",ROUND(VLOOKUP(Sheet1!E$82,CHOOSE(Sheet1!D$233,Inflate7,Inflate2,Inflate3,Inflate4,Inflate5,Inflate6,Inflate1,Inflate8),2),4)," ")</f>
        <v xml:space="preserve"> </v>
      </c>
      <c r="J50" s="264" t="str">
        <f>IF(A50&lt;&gt;" ",ROUND(VLOOKUP(B50,CHOOSE(Sheet1!D$233,Inflate7,Inflate2,Inflate3,Inflate4,Inflate5,Inflate6,Inflate1,Inflate8),3),4)," ")</f>
        <v xml:space="preserve"> </v>
      </c>
      <c r="K50" s="265" t="str">
        <f>IF(AND(A50&lt;&gt;" ",Sheet1!D$192=1,Sheet1!D$194=1),ROUND((F50/I50)*J50,Sheet1!D$75),IF(AND(A50&lt;&gt;" ",Sheet1!D$194=1),ROUND((E50/I50)*J50,Sheet1!D$75)," "))</f>
        <v xml:space="preserve"> </v>
      </c>
      <c r="L50" s="254" t="str">
        <f>IF(Sheet1!D$192=1,IF(AND(AA50&gt;AJ$61,AA49&lt;=AJ$61),"&lt;-Payback"," ")," ")</f>
        <v xml:space="preserve"> </v>
      </c>
      <c r="M50" s="271" t="str">
        <f>IF(OR(Sheet1!D$192=1,Sheet1!D$194=1),IF(OR((A49&gt;=(Sheet1!D$148+$A$11)-1),AND(Sheet1!D$8=3,A49&gt;=6))," ",A49+1),NA())</f>
        <v xml:space="preserve"> </v>
      </c>
      <c r="N50" s="271" t="str">
        <f>IF(OR(Sheet1!D$192=1,Sheet1!D$194=1),IF(OR((B49&gt;=(Sheet1!D$148+$B$11)-1),AND(Sheet1!D$8=3,A49&gt;=6))," ",B49+1),NA())</f>
        <v xml:space="preserve"> </v>
      </c>
      <c r="O50" s="266" t="e">
        <f>IF(OR(Sheet1!D$192=1,Sheet1!D$194=1),IF(NOT(Sheet1!D$192=1),0,IF(ROUND(VLOOKUP(A50,StatusQuo!A$19:M$68,13),Sheet1!D$75)-ROUND(VLOOKUP(A50,AlternativeB!A$110:M$159,13),Sheet1!D$75)&gt;0,1,0))," ")</f>
        <v>#VALUE!</v>
      </c>
      <c r="P50" s="263" t="str">
        <f>IF(AND(A50&lt;&gt;" ",Sheet1!D$192=1,Sheet1!D$194=1),IF(AND(OR(Sheet1!D$8=2,Sheet1!D$22=3),O50&gt;10),0,ROUND(VLOOKUP(A50,StatusQuo!A$19:M$68,13),Sheet1!D$75)),IF(NOT(Sheet1!D$192=1),"not feasible",IF(A50=" "," ", "Savings is  n/a=&gt;")))</f>
        <v xml:space="preserve"> </v>
      </c>
      <c r="Q50" s="263" t="str">
        <f>IF(AND(A50&lt;&gt;" ",Sheet1!D$192=1,Sheet1!D$194=1),IF(AND(OR(Sheet1!D$8=2,Sheet1!D$22=3),O50&gt;10),0,ROUND(VLOOKUP(A50,AlternativeB!A$110:M$159,13),Sheet1!D$75)),IF(NOT(Sheet1!D$194=1),"not feasible",IF(A50=" "," ","&lt;== Savings is n/a")))</f>
        <v>not feasible</v>
      </c>
      <c r="R50" s="263" t="str">
        <f>IF(AND(A50&lt;&gt;" ",Sheet1!D$192=1,Sheet1!D$194=1),IF(G$81&lt;&gt;" ","???????",P50-Q50)," ")</f>
        <v xml:space="preserve"> </v>
      </c>
      <c r="S50" s="263" t="str">
        <f>IF(AND(A50&lt;&gt;" ",Sheet1!D$192=1,Sheet1!D$194=1),ROUND(R50*G50,Sheet1!D$75)," ")</f>
        <v xml:space="preserve"> </v>
      </c>
      <c r="T50" s="263" t="str">
        <f>IF(AND(A50&lt;&gt;" ",Sheet1!D$192=1,Sheet1!D$194=1),ROUND((R50/I50)*J50,Sheet1!D$75)," ")</f>
        <v xml:space="preserve"> </v>
      </c>
      <c r="U50" s="265">
        <f>SUM(T$11:T50)</f>
        <v>0</v>
      </c>
      <c r="V50" s="254"/>
      <c r="W50" s="268">
        <f t="shared" si="3"/>
        <v>40</v>
      </c>
      <c r="X50" s="171" t="str">
        <f t="shared" si="4"/>
        <v xml:space="preserve"> </v>
      </c>
      <c r="AA50" s="265">
        <f>SUM(K$11:K50)</f>
        <v>0</v>
      </c>
      <c r="AB50" s="271" t="str">
        <f>IF(OR(Sheet1!D$192=1,Sheet1!D$194=1),IF(OR((AB49&gt;=(Sheet1!D$148+$A$11)-1),AND(Sheet1!D$8=3,AB49&gt;=6))," ",AB49+1),NA())</f>
        <v xml:space="preserve"> </v>
      </c>
      <c r="AC50" s="271" t="str">
        <f>IF(OR(Sheet1!D$192=1,Sheet1!D$194=1),IF(OR((AC49&gt;=(Sheet1!D$148+$B$11)-1),AND(Sheet1!D$8=3,AB49&gt;=6))," ",AC49+1),NA())</f>
        <v xml:space="preserve"> </v>
      </c>
      <c r="AD50" s="272"/>
      <c r="AE50" s="263" t="str">
        <f>IF(AND(Sheet1!D$194=1,AB50&lt;&gt;" "),ROUND(VLOOKUP(AB50,AlternativeB!A$17:M$66,12),Sheet1!D$75),IF(Sheet1!D$194=1," ","Alt  'B'  not feasible"))</f>
        <v>Alt  'B'  not feasible</v>
      </c>
      <c r="AF50" s="264" t="str">
        <f>IF(AB50&lt;=Sheet1!D$148, (1/((1+$AF$10)^(AB50-0.5)))," ")</f>
        <v xml:space="preserve"> </v>
      </c>
      <c r="AG50" s="263" t="str">
        <f>IF(AND(Sheet1!D$194=1,AB50&lt;&gt;" "),ROUND(+AE50*AF50,Sheet1!D$75)," ")</f>
        <v xml:space="preserve"> </v>
      </c>
      <c r="AH50" s="264" t="str">
        <f>IF(AB50&lt;&gt;" ",ROUND(VLOOKUP(Sheet1!E$82,CHOOSE(Sheet1!D$213,Inflate1,Inflate2,Inflate3,Inflate4,Inflate5,Inflate6,Inflate7,Inflate8),2),4)," ")</f>
        <v xml:space="preserve"> </v>
      </c>
      <c r="AI50" s="264" t="str">
        <f>IF(AB50&lt;&gt;" ",ROUND(VLOOKUP(AC50,CHOOSE(Sheet1!D$213,Inflate1,Inflate2,Inflate3,Inflate4,Inflate5,Inflate6,Inflate7,Inflate8),3),4)," ")</f>
        <v xml:space="preserve"> </v>
      </c>
      <c r="AJ50" s="263" t="b">
        <f>IF(AND(Sheet1!D$194=1,AB50&lt;&gt;" "),IF(AND(O50&lt;=10,OR(Sheet1!D$8=2,Sheet1!D$8=3,Sheet1!D$22=3)),ROUND((AE50/AH50)*AI50,Sheet1!D$75),IF(AND(Sheet1!D$8&lt;&gt;2,Sheet1!D$8&lt;&gt;3,Sheet1!D$22&lt;&gt;3),ROUND((AE50/AH50)*AI50,Sheet1!D$75)," ")))</f>
        <v>0</v>
      </c>
    </row>
    <row r="51" spans="1:36" ht="11.4" x14ac:dyDescent="0.2">
      <c r="A51" s="271" t="str">
        <f>IF(OR(Sheet1!D$192=1,Sheet1!D$194=1),IF(OR((A50&gt;=(Sheet1!D$148+$A$11)-1),AND(Sheet1!D$8=3,A50&gt;=6))," ",A50+1),NA())</f>
        <v xml:space="preserve"> </v>
      </c>
      <c r="B51" s="271" t="str">
        <f>IF(OR(Sheet1!D$192=1,Sheet1!D$194=1),IF(OR((B50&gt;=(Sheet1!D$148+$B$11)-1),AND(Sheet1!D$8=3,A50&gt;=6))," ",B50+1),NA())</f>
        <v xml:space="preserve"> </v>
      </c>
      <c r="C51" s="262"/>
      <c r="D51" s="263" t="str">
        <f>IF(AND(Sheet1!D$192=1,A51&lt;&gt;" "),ROUND(VLOOKUP(A51,StatusQuo!A$19:M$68,12),Sheet1!D$75),IF(Sheet1!D$192=1," ","SQ not feasible "))</f>
        <v xml:space="preserve"> </v>
      </c>
      <c r="E51" s="263" t="str">
        <f>IF(AND(Sheet1!D$194=1,A51&lt;&gt;" "),ROUND(VLOOKUP(A51,AlternativeB!A$110:M$159,12),Sheet1!D$75),IF(Sheet1!D$194=1," ","Alt  'B'  not feasible"))</f>
        <v>Alt  'B'  not feasible</v>
      </c>
      <c r="F51" s="263" t="str">
        <f>IF(AND(A51&lt;&gt;" ",Sheet1!D$192=1,Sheet1!D$194=1),D51-E51,IF(AND(Sheet1!D$194=1,A51&lt;&gt;" ")," "," "))</f>
        <v xml:space="preserve"> </v>
      </c>
      <c r="G51" s="264" t="str">
        <f>IF(A51&lt;=Sheet1!D$148, (1/((1+$G$10)^(A51-0.5)))," ")</f>
        <v xml:space="preserve"> </v>
      </c>
      <c r="H51" s="263" t="str">
        <f>IF(AND(A51&lt;&gt;" ",Sheet1!D$192=1,Sheet1!D$194=1),ROUND(F51*G51,Sheet1!D$75),IF(AND(A51&lt;&gt;" ",Sheet1!D$194=1),ROUND(E51*G51,Sheet1!D$75)," "))</f>
        <v xml:space="preserve"> </v>
      </c>
      <c r="I51" s="264" t="str">
        <f>IF(A51&lt;&gt;" ",ROUND(VLOOKUP(Sheet1!E$82,CHOOSE(Sheet1!D$233,Inflate7,Inflate2,Inflate3,Inflate4,Inflate5,Inflate6,Inflate1,Inflate8),2),4)," ")</f>
        <v xml:space="preserve"> </v>
      </c>
      <c r="J51" s="264" t="str">
        <f>IF(A51&lt;&gt;" ",ROUND(VLOOKUP(B51,CHOOSE(Sheet1!D$233,Inflate7,Inflate2,Inflate3,Inflate4,Inflate5,Inflate6,Inflate1,Inflate8),3),4)," ")</f>
        <v xml:space="preserve"> </v>
      </c>
      <c r="K51" s="265" t="str">
        <f>IF(AND(A51&lt;&gt;" ",Sheet1!D$192=1,Sheet1!D$194=1),ROUND((F51/I51)*J51,Sheet1!D$75),IF(AND(A51&lt;&gt;" ",Sheet1!D$194=1),ROUND((E51/I51)*J51,Sheet1!D$75)," "))</f>
        <v xml:space="preserve"> </v>
      </c>
      <c r="L51" s="254" t="str">
        <f>IF(Sheet1!D$192=1,IF(AND(AA51&gt;AJ$61,AA50&lt;=AJ$61),"&lt;-Payback"," ")," ")</f>
        <v xml:space="preserve"> </v>
      </c>
      <c r="M51" s="271" t="str">
        <f>IF(OR(Sheet1!D$192=1,Sheet1!D$194=1),IF(OR((A50&gt;=(Sheet1!D$148+$A$11)-1),AND(Sheet1!D$8=3,A50&gt;=6))," ",A50+1),NA())</f>
        <v xml:space="preserve"> </v>
      </c>
      <c r="N51" s="271" t="str">
        <f>IF(OR(Sheet1!D$192=1,Sheet1!D$194=1),IF(OR((B50&gt;=(Sheet1!D$148+$B$11)-1),AND(Sheet1!D$8=3,A50&gt;=6))," ",B50+1),NA())</f>
        <v xml:space="preserve"> </v>
      </c>
      <c r="O51" s="266" t="e">
        <f>IF(OR(Sheet1!D$192=1,Sheet1!D$194=1),IF(NOT(Sheet1!D$192=1),0,IF(ROUND(VLOOKUP(A51,StatusQuo!A$19:M$68,13),Sheet1!D$75)-ROUND(VLOOKUP(A51,AlternativeB!A$110:M$159,13),Sheet1!D$75)&gt;0,1,0))," ")</f>
        <v>#VALUE!</v>
      </c>
      <c r="P51" s="263" t="str">
        <f>IF(AND(A51&lt;&gt;" ",Sheet1!D$192=1,Sheet1!D$194=1),IF(AND(OR(Sheet1!D$8=2,Sheet1!D$22=3),O51&gt;10),0,ROUND(VLOOKUP(A51,StatusQuo!A$19:M$68,13),Sheet1!D$75)),IF(NOT(Sheet1!D$192=1),"not feasible",IF(A51=" "," ", "Savings is  n/a=&gt;")))</f>
        <v xml:space="preserve"> </v>
      </c>
      <c r="Q51" s="263" t="str">
        <f>IF(AND(A51&lt;&gt;" ",Sheet1!D$192=1,Sheet1!D$194=1),IF(AND(OR(Sheet1!D$8=2,Sheet1!D$22=3),O51&gt;10),0,ROUND(VLOOKUP(A51,AlternativeB!A$110:M$159,13),Sheet1!D$75)),IF(NOT(Sheet1!D$194=1),"not feasible",IF(A51=" "," ","&lt;== Savings is n/a")))</f>
        <v>not feasible</v>
      </c>
      <c r="R51" s="263" t="str">
        <f>IF(AND(A51&lt;&gt;" ",Sheet1!D$192=1,Sheet1!D$194=1),IF(G$81&lt;&gt;" ","???????",P51-Q51)," ")</f>
        <v xml:space="preserve"> </v>
      </c>
      <c r="S51" s="263" t="str">
        <f>IF(AND(A51&lt;&gt;" ",Sheet1!D$192=1,Sheet1!D$194=1),ROUND(R51*G51,Sheet1!D$75)," ")</f>
        <v xml:space="preserve"> </v>
      </c>
      <c r="T51" s="263" t="str">
        <f>IF(AND(A51&lt;&gt;" ",Sheet1!D$192=1,Sheet1!D$194=1),ROUND((R51/I51)*J51,Sheet1!D$75)," ")</f>
        <v xml:space="preserve"> </v>
      </c>
      <c r="U51" s="265">
        <f>SUM(T$11:T51)</f>
        <v>0</v>
      </c>
      <c r="V51" s="254"/>
      <c r="W51" s="268">
        <f t="shared" si="3"/>
        <v>41</v>
      </c>
      <c r="X51" s="171" t="str">
        <f t="shared" si="4"/>
        <v xml:space="preserve"> </v>
      </c>
      <c r="AA51" s="265">
        <f>SUM(K$11:K51)</f>
        <v>0</v>
      </c>
      <c r="AB51" s="271" t="str">
        <f>IF(OR(Sheet1!D$192=1,Sheet1!D$194=1),IF(OR((AB50&gt;=(Sheet1!D$148+$A$11)-1),AND(Sheet1!D$8=3,AB50&gt;=6))," ",AB50+1),NA())</f>
        <v xml:space="preserve"> </v>
      </c>
      <c r="AC51" s="271" t="str">
        <f>IF(OR(Sheet1!D$192=1,Sheet1!D$194=1),IF(OR((AC50&gt;=(Sheet1!D$148+$B$11)-1),AND(Sheet1!D$8=3,AB50&gt;=6))," ",AC50+1),NA())</f>
        <v xml:space="preserve"> </v>
      </c>
      <c r="AD51" s="272"/>
      <c r="AE51" s="263" t="str">
        <f>IF(AND(Sheet1!D$194=1,AB51&lt;&gt;" "),ROUND(VLOOKUP(AB51,AlternativeB!A$17:M$66,12),Sheet1!D$75),IF(Sheet1!D$194=1," ","Alt  'B'  not feasible"))</f>
        <v>Alt  'B'  not feasible</v>
      </c>
      <c r="AF51" s="264" t="str">
        <f>IF(AB51&lt;=Sheet1!D$148, (1/((1+$AF$10)^(AB51-0.5)))," ")</f>
        <v xml:space="preserve"> </v>
      </c>
      <c r="AG51" s="263" t="str">
        <f>IF(AND(Sheet1!D$194=1,AB51&lt;&gt;" "),ROUND(+AE51*AF51,Sheet1!D$75)," ")</f>
        <v xml:space="preserve"> </v>
      </c>
      <c r="AH51" s="264" t="str">
        <f>IF(AB51&lt;&gt;" ",ROUND(VLOOKUP(Sheet1!E$82,CHOOSE(Sheet1!D$213,Inflate1,Inflate2,Inflate3,Inflate4,Inflate5,Inflate6,Inflate7,Inflate8),2),4)," ")</f>
        <v xml:space="preserve"> </v>
      </c>
      <c r="AI51" s="264" t="str">
        <f>IF(AB51&lt;&gt;" ",ROUND(VLOOKUP(AC51,CHOOSE(Sheet1!D$213,Inflate1,Inflate2,Inflate3,Inflate4,Inflate5,Inflate6,Inflate7,Inflate8),3),4)," ")</f>
        <v xml:space="preserve"> </v>
      </c>
      <c r="AJ51" s="263" t="b">
        <f>IF(AND(Sheet1!D$194=1,AB51&lt;&gt;" "),IF(AND(O51&lt;=10,OR(Sheet1!D$8=2,Sheet1!D$8=3,Sheet1!D$22=3)),ROUND((AE51/AH51)*AI51,Sheet1!D$75),IF(AND(Sheet1!D$8&lt;&gt;2,Sheet1!D$8&lt;&gt;3,Sheet1!D$22&lt;&gt;3),ROUND((AE51/AH51)*AI51,Sheet1!D$75)," ")))</f>
        <v>0</v>
      </c>
    </row>
    <row r="52" spans="1:36" ht="11.4" x14ac:dyDescent="0.2">
      <c r="A52" s="271" t="str">
        <f>IF(OR(Sheet1!D$192=1,Sheet1!D$194=1),IF(OR((A51&gt;=(Sheet1!D$148+$A$11)-1),AND(Sheet1!D$8=3,A51&gt;=6))," ",A51+1),NA())</f>
        <v xml:space="preserve"> </v>
      </c>
      <c r="B52" s="271" t="str">
        <f>IF(OR(Sheet1!D$192=1,Sheet1!D$194=1),IF(OR((B51&gt;=(Sheet1!D$148+$B$11)-1),AND(Sheet1!D$8=3,A51&gt;=6))," ",B51+1),NA())</f>
        <v xml:space="preserve"> </v>
      </c>
      <c r="C52" s="262"/>
      <c r="D52" s="263" t="str">
        <f>IF(AND(Sheet1!D$192=1,A52&lt;&gt;" "),ROUND(VLOOKUP(A52,StatusQuo!A$19:M$68,12),Sheet1!D$75),IF(Sheet1!D$192=1," ","SQ not feasible "))</f>
        <v xml:space="preserve"> </v>
      </c>
      <c r="E52" s="263" t="str">
        <f>IF(AND(Sheet1!D$194=1,A52&lt;&gt;" "),ROUND(VLOOKUP(A52,AlternativeB!A$110:M$159,12),Sheet1!D$75),IF(Sheet1!D$194=1," ","Alt  'B'  not feasible"))</f>
        <v>Alt  'B'  not feasible</v>
      </c>
      <c r="F52" s="263" t="str">
        <f>IF(AND(A52&lt;&gt;" ",Sheet1!D$192=1,Sheet1!D$194=1),D52-E52,IF(AND(Sheet1!D$194=1,A52&lt;&gt;" ")," "," "))</f>
        <v xml:space="preserve"> </v>
      </c>
      <c r="G52" s="264" t="str">
        <f>IF(A52&lt;=Sheet1!D$148, (1/((1+$G$10)^(A52-0.5)))," ")</f>
        <v xml:space="preserve"> </v>
      </c>
      <c r="H52" s="263" t="str">
        <f>IF(AND(A52&lt;&gt;" ",Sheet1!D$192=1,Sheet1!D$194=1),ROUND(F52*G52,Sheet1!D$75),IF(AND(A52&lt;&gt;" ",Sheet1!D$194=1),ROUND(E52*G52,Sheet1!D$75)," "))</f>
        <v xml:space="preserve"> </v>
      </c>
      <c r="I52" s="264" t="str">
        <f>IF(A52&lt;&gt;" ",ROUND(VLOOKUP(Sheet1!E$82,CHOOSE(Sheet1!D$233,Inflate7,Inflate2,Inflate3,Inflate4,Inflate5,Inflate6,Inflate1,Inflate8),2),4)," ")</f>
        <v xml:space="preserve"> </v>
      </c>
      <c r="J52" s="264" t="str">
        <f>IF(A52&lt;&gt;" ",ROUND(VLOOKUP(B52,CHOOSE(Sheet1!D$233,Inflate7,Inflate2,Inflate3,Inflate4,Inflate5,Inflate6,Inflate1,Inflate8),3),4)," ")</f>
        <v xml:space="preserve"> </v>
      </c>
      <c r="K52" s="265" t="str">
        <f>IF(AND(A52&lt;&gt;" ",Sheet1!D$192=1,Sheet1!D$194=1),ROUND((F52/I52)*J52,Sheet1!D$75),IF(AND(A52&lt;&gt;" ",Sheet1!D$194=1),ROUND((E52/I52)*J52,Sheet1!D$75)," "))</f>
        <v xml:space="preserve"> </v>
      </c>
      <c r="L52" s="254" t="str">
        <f>IF(Sheet1!D$192=1,IF(AND(AA52&gt;AJ$61,AA51&lt;=AJ$61),"&lt;-Payback"," ")," ")</f>
        <v xml:space="preserve"> </v>
      </c>
      <c r="M52" s="271" t="str">
        <f>IF(OR(Sheet1!D$192=1,Sheet1!D$194=1),IF(OR((A51&gt;=(Sheet1!D$148+$A$11)-1),AND(Sheet1!D$8=3,A51&gt;=6))," ",A51+1),NA())</f>
        <v xml:space="preserve"> </v>
      </c>
      <c r="N52" s="271" t="str">
        <f>IF(OR(Sheet1!D$192=1,Sheet1!D$194=1),IF(OR((B51&gt;=(Sheet1!D$148+$B$11)-1),AND(Sheet1!D$8=3,A51&gt;=6))," ",B51+1),NA())</f>
        <v xml:space="preserve"> </v>
      </c>
      <c r="O52" s="266" t="e">
        <f>IF(OR(Sheet1!D$192=1,Sheet1!D$194=1),IF(NOT(Sheet1!D$192=1),0,IF(ROUND(VLOOKUP(A52,StatusQuo!A$19:M$68,13),Sheet1!D$75)-ROUND(VLOOKUP(A52,AlternativeB!A$110:M$159,13),Sheet1!D$75)&gt;0,1,0))," ")</f>
        <v>#VALUE!</v>
      </c>
      <c r="P52" s="263" t="str">
        <f>IF(AND(A52&lt;&gt;" ",Sheet1!D$192=1,Sheet1!D$194=1),IF(AND(OR(Sheet1!D$8=2,Sheet1!D$22=3),O52&gt;10),0,ROUND(VLOOKUP(A52,StatusQuo!A$19:M$68,13),Sheet1!D$75)),IF(NOT(Sheet1!D$192=1),"not feasible",IF(A52=" "," ", "Savings is  n/a=&gt;")))</f>
        <v xml:space="preserve"> </v>
      </c>
      <c r="Q52" s="263" t="str">
        <f>IF(AND(A52&lt;&gt;" ",Sheet1!D$192=1,Sheet1!D$194=1),IF(AND(OR(Sheet1!D$8=2,Sheet1!D$22=3),O52&gt;10),0,ROUND(VLOOKUP(A52,AlternativeB!A$110:M$159,13),Sheet1!D$75)),IF(NOT(Sheet1!D$194=1),"not feasible",IF(A52=" "," ","&lt;== Savings is n/a")))</f>
        <v>not feasible</v>
      </c>
      <c r="R52" s="263" t="str">
        <f>IF(AND(A52&lt;&gt;" ",Sheet1!D$192=1,Sheet1!D$194=1),IF(G$81&lt;&gt;" ","???????",P52-Q52)," ")</f>
        <v xml:space="preserve"> </v>
      </c>
      <c r="S52" s="263" t="str">
        <f>IF(AND(A52&lt;&gt;" ",Sheet1!D$192=1,Sheet1!D$194=1),ROUND(R52*G52,Sheet1!D$75)," ")</f>
        <v xml:space="preserve"> </v>
      </c>
      <c r="T52" s="263" t="str">
        <f>IF(AND(A52&lt;&gt;" ",Sheet1!D$192=1,Sheet1!D$194=1),ROUND((R52/I52)*J52,Sheet1!D$75)," ")</f>
        <v xml:space="preserve"> </v>
      </c>
      <c r="U52" s="265">
        <f>SUM(T$11:T52)</f>
        <v>0</v>
      </c>
      <c r="V52" s="254"/>
      <c r="W52" s="268">
        <f t="shared" si="3"/>
        <v>42</v>
      </c>
      <c r="X52" s="171" t="str">
        <f t="shared" si="4"/>
        <v xml:space="preserve"> </v>
      </c>
      <c r="AA52" s="265">
        <f>SUM(K$11:K52)</f>
        <v>0</v>
      </c>
      <c r="AB52" s="271" t="str">
        <f>IF(OR(Sheet1!D$192=1,Sheet1!D$194=1),IF(OR((AB51&gt;=(Sheet1!D$148+$A$11)-1),AND(Sheet1!D$8=3,AB51&gt;=6))," ",AB51+1),NA())</f>
        <v xml:space="preserve"> </v>
      </c>
      <c r="AC52" s="271" t="str">
        <f>IF(OR(Sheet1!D$192=1,Sheet1!D$194=1),IF(OR((AC51&gt;=(Sheet1!D$148+$B$11)-1),AND(Sheet1!D$8=3,AB51&gt;=6))," ",AC51+1),NA())</f>
        <v xml:space="preserve"> </v>
      </c>
      <c r="AD52" s="272"/>
      <c r="AE52" s="263" t="str">
        <f>IF(AND(Sheet1!D$194=1,AB52&lt;&gt;" "),ROUND(VLOOKUP(AB52,AlternativeB!A$17:M$66,12),Sheet1!D$75),IF(Sheet1!D$194=1," ","Alt  'B'  not feasible"))</f>
        <v>Alt  'B'  not feasible</v>
      </c>
      <c r="AF52" s="264" t="str">
        <f>IF(AB52&lt;=Sheet1!D$148, (1/((1+$AF$10)^(AB52-0.5)))," ")</f>
        <v xml:space="preserve"> </v>
      </c>
      <c r="AG52" s="263" t="str">
        <f>IF(AND(Sheet1!D$194=1,AB52&lt;&gt;" "),ROUND(+AE52*AF52,Sheet1!D$75)," ")</f>
        <v xml:space="preserve"> </v>
      </c>
      <c r="AH52" s="264" t="str">
        <f>IF(AB52&lt;&gt;" ",ROUND(VLOOKUP(Sheet1!E$82,CHOOSE(Sheet1!D$213,Inflate1,Inflate2,Inflate3,Inflate4,Inflate5,Inflate6,Inflate7,Inflate8),2),4)," ")</f>
        <v xml:space="preserve"> </v>
      </c>
      <c r="AI52" s="264" t="str">
        <f>IF(AB52&lt;&gt;" ",ROUND(VLOOKUP(AC52,CHOOSE(Sheet1!D$213,Inflate1,Inflate2,Inflate3,Inflate4,Inflate5,Inflate6,Inflate7,Inflate8),3),4)," ")</f>
        <v xml:space="preserve"> </v>
      </c>
      <c r="AJ52" s="263" t="b">
        <f>IF(AND(Sheet1!D$194=1,AB52&lt;&gt;" "),IF(AND(O52&lt;=10,OR(Sheet1!D$8=2,Sheet1!D$8=3,Sheet1!D$22=3)),ROUND((AE52/AH52)*AI52,Sheet1!D$75),IF(AND(Sheet1!D$8&lt;&gt;2,Sheet1!D$8&lt;&gt;3,Sheet1!D$22&lt;&gt;3),ROUND((AE52/AH52)*AI52,Sheet1!D$75)," ")))</f>
        <v>0</v>
      </c>
    </row>
    <row r="53" spans="1:36" ht="11.4" x14ac:dyDescent="0.2">
      <c r="A53" s="271" t="str">
        <f>IF(OR(Sheet1!D$192=1,Sheet1!D$194=1),IF(OR((A52&gt;=(Sheet1!D$148+$A$11)-1),AND(Sheet1!D$8=3,A52&gt;=6))," ",A52+1),NA())</f>
        <v xml:space="preserve"> </v>
      </c>
      <c r="B53" s="271" t="str">
        <f>IF(OR(Sheet1!D$192=1,Sheet1!D$194=1),IF(OR((B52&gt;=(Sheet1!D$148+$B$11)-1),AND(Sheet1!D$8=3,A52&gt;=6))," ",B52+1),NA())</f>
        <v xml:space="preserve"> </v>
      </c>
      <c r="C53" s="262"/>
      <c r="D53" s="263" t="str">
        <f>IF(AND(Sheet1!D$192=1,A53&lt;&gt;" "),ROUND(VLOOKUP(A53,StatusQuo!A$19:M$68,12),Sheet1!D$75),IF(Sheet1!D$192=1," ","SQ not feasible "))</f>
        <v xml:space="preserve"> </v>
      </c>
      <c r="E53" s="263" t="str">
        <f>IF(AND(Sheet1!D$194=1,A53&lt;&gt;" "),ROUND(VLOOKUP(A53,AlternativeB!A$110:M$159,12),Sheet1!D$75),IF(Sheet1!D$194=1," ","Alt  'B'  not feasible"))</f>
        <v>Alt  'B'  not feasible</v>
      </c>
      <c r="F53" s="263" t="str">
        <f>IF(AND(A53&lt;&gt;" ",Sheet1!D$192=1,Sheet1!D$194=1),D53-E53,IF(AND(Sheet1!D$194=1,A53&lt;&gt;" ")," "," "))</f>
        <v xml:space="preserve"> </v>
      </c>
      <c r="G53" s="264" t="str">
        <f>IF(A53&lt;=Sheet1!D$148, (1/((1+$G$10)^(A53-0.5)))," ")</f>
        <v xml:space="preserve"> </v>
      </c>
      <c r="H53" s="263" t="str">
        <f>IF(AND(A53&lt;&gt;" ",Sheet1!D$192=1,Sheet1!D$194=1),ROUND(F53*G53,Sheet1!D$75),IF(AND(A53&lt;&gt;" ",Sheet1!D$194=1),ROUND(E53*G53,Sheet1!D$75)," "))</f>
        <v xml:space="preserve"> </v>
      </c>
      <c r="I53" s="264" t="str">
        <f>IF(A53&lt;&gt;" ",ROUND(VLOOKUP(Sheet1!E$82,CHOOSE(Sheet1!D$233,Inflate7,Inflate2,Inflate3,Inflate4,Inflate5,Inflate6,Inflate1,Inflate8),2),4)," ")</f>
        <v xml:space="preserve"> </v>
      </c>
      <c r="J53" s="264" t="str">
        <f>IF(A53&lt;&gt;" ",ROUND(VLOOKUP(B53,CHOOSE(Sheet1!D$233,Inflate7,Inflate2,Inflate3,Inflate4,Inflate5,Inflate6,Inflate1,Inflate8),3),4)," ")</f>
        <v xml:space="preserve"> </v>
      </c>
      <c r="K53" s="265" t="str">
        <f>IF(AND(A53&lt;&gt;" ",Sheet1!D$192=1,Sheet1!D$194=1),ROUND((F53/I53)*J53,Sheet1!D$75),IF(AND(A53&lt;&gt;" ",Sheet1!D$194=1),ROUND((E53/I53)*J53,Sheet1!D$75)," "))</f>
        <v xml:space="preserve"> </v>
      </c>
      <c r="L53" s="254" t="str">
        <f>IF(Sheet1!D$192=1,IF(AND(AA53&gt;AJ$61,AA52&lt;=AJ$61),"&lt;-Payback"," ")," ")</f>
        <v xml:space="preserve"> </v>
      </c>
      <c r="M53" s="271" t="str">
        <f>IF(OR(Sheet1!D$192=1,Sheet1!D$194=1),IF(OR((A52&gt;=(Sheet1!D$148+$A$11)-1),AND(Sheet1!D$8=3,A52&gt;=6))," ",A52+1),NA())</f>
        <v xml:space="preserve"> </v>
      </c>
      <c r="N53" s="271" t="str">
        <f>IF(OR(Sheet1!D$192=1,Sheet1!D$194=1),IF(OR((B52&gt;=(Sheet1!D$148+$B$11)-1),AND(Sheet1!D$8=3,A52&gt;=6))," ",B52+1),NA())</f>
        <v xml:space="preserve"> </v>
      </c>
      <c r="O53" s="266" t="e">
        <f>IF(OR(Sheet1!D$192=1,Sheet1!D$194=1),IF(NOT(Sheet1!D$192=1),0,IF(ROUND(VLOOKUP(A53,StatusQuo!A$19:M$68,13),Sheet1!D$75)-ROUND(VLOOKUP(A53,AlternativeB!A$110:M$159,13),Sheet1!D$75)&gt;0,1,0))," ")</f>
        <v>#VALUE!</v>
      </c>
      <c r="P53" s="263" t="str">
        <f>IF(AND(A53&lt;&gt;" ",Sheet1!D$192=1,Sheet1!D$194=1),IF(AND(OR(Sheet1!D$8=2,Sheet1!D$22=3),O53&gt;10),0,ROUND(VLOOKUP(A53,StatusQuo!A$19:M$68,13),Sheet1!D$75)),IF(NOT(Sheet1!D$192=1),"not feasible",IF(A53=" "," ", "Savings is  n/a=&gt;")))</f>
        <v xml:space="preserve"> </v>
      </c>
      <c r="Q53" s="263" t="str">
        <f>IF(AND(A53&lt;&gt;" ",Sheet1!D$192=1,Sheet1!D$194=1),IF(AND(OR(Sheet1!D$8=2,Sheet1!D$22=3),O53&gt;10),0,ROUND(VLOOKUP(A53,AlternativeB!A$110:M$159,13),Sheet1!D$75)),IF(NOT(Sheet1!D$194=1),"not feasible",IF(A53=" "," ","&lt;== Savings is n/a")))</f>
        <v>not feasible</v>
      </c>
      <c r="R53" s="263" t="str">
        <f>IF(AND(A53&lt;&gt;" ",Sheet1!D$192=1,Sheet1!D$194=1),IF(G$81&lt;&gt;" ","???????",P53-Q53)," ")</f>
        <v xml:space="preserve"> </v>
      </c>
      <c r="S53" s="263" t="str">
        <f>IF(AND(A53&lt;&gt;" ",Sheet1!D$192=1,Sheet1!D$194=1),ROUND(R53*G53,Sheet1!D$75)," ")</f>
        <v xml:space="preserve"> </v>
      </c>
      <c r="T53" s="263" t="str">
        <f>IF(AND(A53&lt;&gt;" ",Sheet1!D$192=1,Sheet1!D$194=1),ROUND((R53/I53)*J53,Sheet1!D$75)," ")</f>
        <v xml:space="preserve"> </v>
      </c>
      <c r="U53" s="265">
        <f>SUM(T$11:T53)</f>
        <v>0</v>
      </c>
      <c r="V53" s="254"/>
      <c r="W53" s="268">
        <f t="shared" si="3"/>
        <v>43</v>
      </c>
      <c r="X53" s="171" t="str">
        <f t="shared" si="4"/>
        <v xml:space="preserve"> </v>
      </c>
      <c r="AA53" s="265">
        <f>SUM(K$11:K53)</f>
        <v>0</v>
      </c>
      <c r="AB53" s="271" t="str">
        <f>IF(OR(Sheet1!D$192=1,Sheet1!D$194=1),IF(OR((AB52&gt;=(Sheet1!D$148+$A$11)-1),AND(Sheet1!D$8=3,AB52&gt;=6))," ",AB52+1),NA())</f>
        <v xml:space="preserve"> </v>
      </c>
      <c r="AC53" s="271" t="str">
        <f>IF(OR(Sheet1!D$192=1,Sheet1!D$194=1),IF(OR((AC52&gt;=(Sheet1!D$148+$B$11)-1),AND(Sheet1!D$8=3,AB52&gt;=6))," ",AC52+1),NA())</f>
        <v xml:space="preserve"> </v>
      </c>
      <c r="AD53" s="272"/>
      <c r="AE53" s="263" t="str">
        <f>IF(AND(Sheet1!D$194=1,AB53&lt;&gt;" "),ROUND(VLOOKUP(AB53,AlternativeB!A$17:M$66,12),Sheet1!D$75),IF(Sheet1!D$194=1," ","Alt  'B'  not feasible"))</f>
        <v>Alt  'B'  not feasible</v>
      </c>
      <c r="AF53" s="264" t="str">
        <f>IF(AB53&lt;=Sheet1!D$148, (1/((1+$AF$10)^(AB53-0.5)))," ")</f>
        <v xml:space="preserve"> </v>
      </c>
      <c r="AG53" s="263" t="str">
        <f>IF(AND(Sheet1!D$194=1,AB53&lt;&gt;" "),ROUND(+AE53*AF53,Sheet1!D$75)," ")</f>
        <v xml:space="preserve"> </v>
      </c>
      <c r="AH53" s="264" t="str">
        <f>IF(AB53&lt;&gt;" ",ROUND(VLOOKUP(Sheet1!E$82,CHOOSE(Sheet1!D$213,Inflate1,Inflate2,Inflate3,Inflate4,Inflate5,Inflate6,Inflate7,Inflate8),2),4)," ")</f>
        <v xml:space="preserve"> </v>
      </c>
      <c r="AI53" s="264" t="str">
        <f>IF(AB53&lt;&gt;" ",ROUND(VLOOKUP(AC53,CHOOSE(Sheet1!D$213,Inflate1,Inflate2,Inflate3,Inflate4,Inflate5,Inflate6,Inflate7,Inflate8),3),4)," ")</f>
        <v xml:space="preserve"> </v>
      </c>
      <c r="AJ53" s="263" t="b">
        <f>IF(AND(Sheet1!D$194=1,AB53&lt;&gt;" "),IF(AND(O53&lt;=10,OR(Sheet1!D$8=2,Sheet1!D$8=3,Sheet1!D$22=3)),ROUND((AE53/AH53)*AI53,Sheet1!D$75),IF(AND(Sheet1!D$8&lt;&gt;2,Sheet1!D$8&lt;&gt;3,Sheet1!D$22&lt;&gt;3),ROUND((AE53/AH53)*AI53,Sheet1!D$75)," ")))</f>
        <v>0</v>
      </c>
    </row>
    <row r="54" spans="1:36" ht="11.4" x14ac:dyDescent="0.2">
      <c r="A54" s="271" t="str">
        <f>IF(OR(Sheet1!D$192=1,Sheet1!D$194=1),IF(OR((A53&gt;=(Sheet1!D$148+$A$11)-1),AND(Sheet1!D$8=3,A53&gt;=6))," ",A53+1),NA())</f>
        <v xml:space="preserve"> </v>
      </c>
      <c r="B54" s="271" t="str">
        <f>IF(OR(Sheet1!D$192=1,Sheet1!D$194=1),IF(OR((B53&gt;=(Sheet1!D$148+$B$11)-1),AND(Sheet1!D$8=3,A53&gt;=6))," ",B53+1),NA())</f>
        <v xml:space="preserve"> </v>
      </c>
      <c r="C54" s="262"/>
      <c r="D54" s="263" t="str">
        <f>IF(AND(Sheet1!D$192=1,A54&lt;&gt;" "),ROUND(VLOOKUP(A54,StatusQuo!A$19:M$68,12),Sheet1!D$75),IF(Sheet1!D$192=1," ","SQ not feasible "))</f>
        <v xml:space="preserve"> </v>
      </c>
      <c r="E54" s="263" t="str">
        <f>IF(AND(Sheet1!D$194=1,A54&lt;&gt;" "),ROUND(VLOOKUP(A54,AlternativeB!A$110:M$159,12),Sheet1!D$75),IF(Sheet1!D$194=1," ","Alt  'B'  not feasible"))</f>
        <v>Alt  'B'  not feasible</v>
      </c>
      <c r="F54" s="263" t="str">
        <f>IF(AND(A54&lt;&gt;" ",Sheet1!D$192=1,Sheet1!D$194=1),D54-E54,IF(AND(Sheet1!D$194=1,A54&lt;&gt;" ")," "," "))</f>
        <v xml:space="preserve"> </v>
      </c>
      <c r="G54" s="264" t="str">
        <f>IF(A54&lt;=Sheet1!D$148, (1/((1+$G$10)^(A54-0.5)))," ")</f>
        <v xml:space="preserve"> </v>
      </c>
      <c r="H54" s="263" t="str">
        <f>IF(AND(A54&lt;&gt;" ",Sheet1!D$192=1,Sheet1!D$194=1),ROUND(F54*G54,Sheet1!D$75),IF(AND(A54&lt;&gt;" ",Sheet1!D$194=1),ROUND(E54*G54,Sheet1!D$75)," "))</f>
        <v xml:space="preserve"> </v>
      </c>
      <c r="I54" s="264" t="str">
        <f>IF(A54&lt;&gt;" ",ROUND(VLOOKUP(Sheet1!E$82,CHOOSE(Sheet1!D$233,Inflate7,Inflate2,Inflate3,Inflate4,Inflate5,Inflate6,Inflate1,Inflate8),2),4)," ")</f>
        <v xml:space="preserve"> </v>
      </c>
      <c r="J54" s="264" t="str">
        <f>IF(A54&lt;&gt;" ",ROUND(VLOOKUP(B54,CHOOSE(Sheet1!D$233,Inflate7,Inflate2,Inflate3,Inflate4,Inflate5,Inflate6,Inflate1,Inflate8),3),4)," ")</f>
        <v xml:space="preserve"> </v>
      </c>
      <c r="K54" s="265" t="str">
        <f>IF(AND(A54&lt;&gt;" ",Sheet1!D$192=1,Sheet1!D$194=1),ROUND((F54/I54)*J54,Sheet1!D$75),IF(AND(A54&lt;&gt;" ",Sheet1!D$194=1),ROUND((E54/I54)*J54,Sheet1!D$75)," "))</f>
        <v xml:space="preserve"> </v>
      </c>
      <c r="L54" s="254" t="str">
        <f>IF(Sheet1!D$192=1,IF(AND(AA54&gt;AJ$61,AA53&lt;=AJ$61),"&lt;-Payback"," ")," ")</f>
        <v xml:space="preserve"> </v>
      </c>
      <c r="M54" s="271" t="str">
        <f>IF(OR(Sheet1!D$192=1,Sheet1!D$194=1),IF(OR((A53&gt;=(Sheet1!D$148+$A$11)-1),AND(Sheet1!D$8=3,A53&gt;=6))," ",A53+1),NA())</f>
        <v xml:space="preserve"> </v>
      </c>
      <c r="N54" s="271" t="str">
        <f>IF(OR(Sheet1!D$192=1,Sheet1!D$194=1),IF(OR((B53&gt;=(Sheet1!D$148+$B$11)-1),AND(Sheet1!D$8=3,A53&gt;=6))," ",B53+1),NA())</f>
        <v xml:space="preserve"> </v>
      </c>
      <c r="O54" s="266" t="e">
        <f>IF(OR(Sheet1!D$192=1,Sheet1!D$194=1),IF(NOT(Sheet1!D$192=1),0,IF(ROUND(VLOOKUP(A54,StatusQuo!A$19:M$68,13),Sheet1!D$75)-ROUND(VLOOKUP(A54,AlternativeB!A$110:M$159,13),Sheet1!D$75)&gt;0,1,0))," ")</f>
        <v>#VALUE!</v>
      </c>
      <c r="P54" s="263" t="str">
        <f>IF(AND(A54&lt;&gt;" ",Sheet1!D$192=1,Sheet1!D$194=1),IF(AND(OR(Sheet1!D$8=2,Sheet1!D$22=3),O54&gt;10),0,ROUND(VLOOKUP(A54,StatusQuo!A$19:M$68,13),Sheet1!D$75)),IF(NOT(Sheet1!D$192=1),"not feasible",IF(A54=" "," ", "Savings is  n/a=&gt;")))</f>
        <v xml:space="preserve"> </v>
      </c>
      <c r="Q54" s="263" t="str">
        <f>IF(AND(A54&lt;&gt;" ",Sheet1!D$192=1,Sheet1!D$194=1),IF(AND(OR(Sheet1!D$8=2,Sheet1!D$22=3),O54&gt;10),0,ROUND(VLOOKUP(A54,AlternativeB!A$110:M$159,13),Sheet1!D$75)),IF(NOT(Sheet1!D$194=1),"not feasible",IF(A54=" "," ","&lt;== Savings is n/a")))</f>
        <v>not feasible</v>
      </c>
      <c r="R54" s="263" t="str">
        <f>IF(AND(A54&lt;&gt;" ",Sheet1!D$192=1,Sheet1!D$194=1),IF(G$81&lt;&gt;" ","???????",P54-Q54)," ")</f>
        <v xml:space="preserve"> </v>
      </c>
      <c r="S54" s="263" t="str">
        <f>IF(AND(A54&lt;&gt;" ",Sheet1!D$192=1,Sheet1!D$194=1),ROUND(R54*G54,Sheet1!D$75)," ")</f>
        <v xml:space="preserve"> </v>
      </c>
      <c r="T54" s="263" t="str">
        <f>IF(AND(A54&lt;&gt;" ",Sheet1!D$192=1,Sheet1!D$194=1),ROUND((R54/I54)*J54,Sheet1!D$75)," ")</f>
        <v xml:space="preserve"> </v>
      </c>
      <c r="U54" s="265">
        <f>SUM(T$11:T54)</f>
        <v>0</v>
      </c>
      <c r="V54" s="254"/>
      <c r="W54" s="268">
        <f t="shared" si="3"/>
        <v>44</v>
      </c>
      <c r="X54" s="171" t="str">
        <f t="shared" si="4"/>
        <v xml:space="preserve"> </v>
      </c>
      <c r="AA54" s="265">
        <f>SUM(K$11:K54)</f>
        <v>0</v>
      </c>
      <c r="AB54" s="271" t="str">
        <f>IF(OR(Sheet1!D$192=1,Sheet1!D$194=1),IF(OR((AB53&gt;=(Sheet1!D$148+$A$11)-1),AND(Sheet1!D$8=3,AB53&gt;=6))," ",AB53+1),NA())</f>
        <v xml:space="preserve"> </v>
      </c>
      <c r="AC54" s="271" t="str">
        <f>IF(OR(Sheet1!D$192=1,Sheet1!D$194=1),IF(OR((AC53&gt;=(Sheet1!D$148+$B$11)-1),AND(Sheet1!D$8=3,AB53&gt;=6))," ",AC53+1),NA())</f>
        <v xml:space="preserve"> </v>
      </c>
      <c r="AD54" s="272"/>
      <c r="AE54" s="263" t="str">
        <f>IF(AND(Sheet1!D$194=1,AB54&lt;&gt;" "),ROUND(VLOOKUP(AB54,AlternativeB!A$17:M$66,12),Sheet1!D$75),IF(Sheet1!D$194=1," ","Alt  'B'  not feasible"))</f>
        <v>Alt  'B'  not feasible</v>
      </c>
      <c r="AF54" s="264" t="str">
        <f>IF(AB54&lt;=Sheet1!D$148, (1/((1+$AF$10)^(AB54-0.5)))," ")</f>
        <v xml:space="preserve"> </v>
      </c>
      <c r="AG54" s="263" t="str">
        <f>IF(AND(Sheet1!D$194=1,AB54&lt;&gt;" "),ROUND(+AE54*AF54,Sheet1!D$75)," ")</f>
        <v xml:space="preserve"> </v>
      </c>
      <c r="AH54" s="264" t="str">
        <f>IF(AB54&lt;&gt;" ",ROUND(VLOOKUP(Sheet1!E$82,CHOOSE(Sheet1!D$213,Inflate1,Inflate2,Inflate3,Inflate4,Inflate5,Inflate6,Inflate7,Inflate8),2),4)," ")</f>
        <v xml:space="preserve"> </v>
      </c>
      <c r="AI54" s="264" t="str">
        <f>IF(AB54&lt;&gt;" ",ROUND(VLOOKUP(AC54,CHOOSE(Sheet1!D$213,Inflate1,Inflate2,Inflate3,Inflate4,Inflate5,Inflate6,Inflate7,Inflate8),3),4)," ")</f>
        <v xml:space="preserve"> </v>
      </c>
      <c r="AJ54" s="263" t="b">
        <f>IF(AND(Sheet1!D$194=1,AB54&lt;&gt;" "),IF(AND(O54&lt;=10,OR(Sheet1!D$8=2,Sheet1!D$8=3,Sheet1!D$22=3)),ROUND((AE54/AH54)*AI54,Sheet1!D$75),IF(AND(Sheet1!D$8&lt;&gt;2,Sheet1!D$8&lt;&gt;3,Sheet1!D$22&lt;&gt;3),ROUND((AE54/AH54)*AI54,Sheet1!D$75)," ")))</f>
        <v>0</v>
      </c>
    </row>
    <row r="55" spans="1:36" ht="11.4" x14ac:dyDescent="0.2">
      <c r="A55" s="271" t="str">
        <f>IF(OR(Sheet1!D$192=1,Sheet1!D$194=1),IF(OR((A54&gt;=(Sheet1!D$148+$A$11)-1),AND(Sheet1!D$8=3,A54&gt;=6))," ",A54+1),NA())</f>
        <v xml:space="preserve"> </v>
      </c>
      <c r="B55" s="271" t="str">
        <f>IF(OR(Sheet1!D$192=1,Sheet1!D$194=1),IF(OR((B54&gt;=(Sheet1!D$148+$B$11)-1),AND(Sheet1!D$8=3,A54&gt;=6))," ",B54+1),NA())</f>
        <v xml:space="preserve"> </v>
      </c>
      <c r="C55" s="262"/>
      <c r="D55" s="263" t="str">
        <f>IF(AND(Sheet1!D$192=1,A55&lt;&gt;" "),ROUND(VLOOKUP(A55,StatusQuo!A$19:M$68,12),Sheet1!D$75),IF(Sheet1!D$192=1," ","SQ not feasible "))</f>
        <v xml:space="preserve"> </v>
      </c>
      <c r="E55" s="263" t="str">
        <f>IF(AND(Sheet1!D$194=1,A55&lt;&gt;" "),ROUND(VLOOKUP(A55,AlternativeB!A$110:M$159,12),Sheet1!D$75),IF(Sheet1!D$194=1," ","Alt  'B'  not feasible"))</f>
        <v>Alt  'B'  not feasible</v>
      </c>
      <c r="F55" s="263" t="str">
        <f>IF(AND(A55&lt;&gt;" ",Sheet1!D$192=1,Sheet1!D$194=1),D55-E55,IF(AND(Sheet1!D$194=1,A55&lt;&gt;" ")," "," "))</f>
        <v xml:space="preserve"> </v>
      </c>
      <c r="G55" s="264" t="str">
        <f>IF(A55&lt;=Sheet1!D$148, (1/((1+$G$10)^(A55-0.5)))," ")</f>
        <v xml:space="preserve"> </v>
      </c>
      <c r="H55" s="263" t="str">
        <f>IF(AND(A55&lt;&gt;" ",Sheet1!D$192=1,Sheet1!D$194=1),ROUND(F55*G55,Sheet1!D$75),IF(AND(A55&lt;&gt;" ",Sheet1!D$194=1),ROUND(E55*G55,Sheet1!D$75)," "))</f>
        <v xml:space="preserve"> </v>
      </c>
      <c r="I55" s="264" t="str">
        <f>IF(A55&lt;&gt;" ",ROUND(VLOOKUP(Sheet1!E$82,CHOOSE(Sheet1!D$233,Inflate7,Inflate2,Inflate3,Inflate4,Inflate5,Inflate6,Inflate1,Inflate8),2),4)," ")</f>
        <v xml:space="preserve"> </v>
      </c>
      <c r="J55" s="264" t="str">
        <f>IF(A55&lt;&gt;" ",ROUND(VLOOKUP(B55,CHOOSE(Sheet1!D$233,Inflate7,Inflate2,Inflate3,Inflate4,Inflate5,Inflate6,Inflate1,Inflate8),3),4)," ")</f>
        <v xml:space="preserve"> </v>
      </c>
      <c r="K55" s="265" t="str">
        <f>IF(AND(A55&lt;&gt;" ",Sheet1!D$192=1,Sheet1!D$194=1),ROUND((F55/I55)*J55,Sheet1!D$75),IF(AND(A55&lt;&gt;" ",Sheet1!D$194=1),ROUND((E55/I55)*J55,Sheet1!D$75)," "))</f>
        <v xml:space="preserve"> </v>
      </c>
      <c r="L55" s="254" t="str">
        <f>IF(Sheet1!D$192=1,IF(AND(AA55&gt;AJ$61,AA54&lt;=AJ$61),"&lt;-Payback"," ")," ")</f>
        <v xml:space="preserve"> </v>
      </c>
      <c r="M55" s="271" t="str">
        <f>IF(OR(Sheet1!D$192=1,Sheet1!D$194=1),IF(OR((A54&gt;=(Sheet1!D$148+$A$11)-1),AND(Sheet1!D$8=3,A54&gt;=6))," ",A54+1),NA())</f>
        <v xml:space="preserve"> </v>
      </c>
      <c r="N55" s="271" t="str">
        <f>IF(OR(Sheet1!D$192=1,Sheet1!D$194=1),IF(OR((B54&gt;=(Sheet1!D$148+$B$11)-1),AND(Sheet1!D$8=3,A54&gt;=6))," ",B54+1),NA())</f>
        <v xml:space="preserve"> </v>
      </c>
      <c r="O55" s="266" t="e">
        <f>IF(OR(Sheet1!D$192=1,Sheet1!D$194=1),IF(NOT(Sheet1!D$192=1),0,IF(ROUND(VLOOKUP(A55,StatusQuo!A$19:M$68,13),Sheet1!D$75)-ROUND(VLOOKUP(A55,AlternativeB!A$110:M$159,13),Sheet1!D$75)&gt;0,1,0))," ")</f>
        <v>#VALUE!</v>
      </c>
      <c r="P55" s="263" t="str">
        <f>IF(AND(A55&lt;&gt;" ",Sheet1!D$192=1,Sheet1!D$194=1),IF(AND(OR(Sheet1!D$8=2,Sheet1!D$22=3),O55&gt;10),0,ROUND(VLOOKUP(A55,StatusQuo!A$19:M$68,13),Sheet1!D$75)),IF(NOT(Sheet1!D$192=1),"not feasible",IF(A55=" "," ", "Savings is  n/a=&gt;")))</f>
        <v xml:space="preserve"> </v>
      </c>
      <c r="Q55" s="263" t="str">
        <f>IF(AND(A55&lt;&gt;" ",Sheet1!D$192=1,Sheet1!D$194=1),IF(AND(OR(Sheet1!D$8=2,Sheet1!D$22=3),O55&gt;10),0,ROUND(VLOOKUP(A55,AlternativeB!A$110:M$159,13),Sheet1!D$75)),IF(NOT(Sheet1!D$194=1),"not feasible",IF(A55=" "," ","&lt;== Savings is n/a")))</f>
        <v>not feasible</v>
      </c>
      <c r="R55" s="263" t="str">
        <f>IF(AND(A55&lt;&gt;" ",Sheet1!D$192=1,Sheet1!D$194=1),IF(G$81&lt;&gt;" ","???????",P55-Q55)," ")</f>
        <v xml:space="preserve"> </v>
      </c>
      <c r="S55" s="263" t="str">
        <f>IF(AND(A55&lt;&gt;" ",Sheet1!D$192=1,Sheet1!D$194=1),ROUND(R55*G55,Sheet1!D$75)," ")</f>
        <v xml:space="preserve"> </v>
      </c>
      <c r="T55" s="263" t="str">
        <f>IF(AND(A55&lt;&gt;" ",Sheet1!D$192=1,Sheet1!D$194=1),ROUND((R55/I55)*J55,Sheet1!D$75)," ")</f>
        <v xml:space="preserve"> </v>
      </c>
      <c r="U55" s="265">
        <f>SUM(T$11:T55)</f>
        <v>0</v>
      </c>
      <c r="V55" s="254"/>
      <c r="W55" s="268">
        <f t="shared" si="3"/>
        <v>45</v>
      </c>
      <c r="X55" s="171" t="str">
        <f t="shared" si="4"/>
        <v xml:space="preserve"> </v>
      </c>
      <c r="AA55" s="265">
        <f>SUM(K$11:K55)</f>
        <v>0</v>
      </c>
      <c r="AB55" s="271" t="str">
        <f>IF(OR(Sheet1!D$192=1,Sheet1!D$194=1),IF(OR((AB54&gt;=(Sheet1!D$148+$A$11)-1),AND(Sheet1!D$8=3,AB54&gt;=6))," ",AB54+1),NA())</f>
        <v xml:space="preserve"> </v>
      </c>
      <c r="AC55" s="271" t="str">
        <f>IF(OR(Sheet1!D$192=1,Sheet1!D$194=1),IF(OR((AC54&gt;=(Sheet1!D$148+$B$11)-1),AND(Sheet1!D$8=3,AB54&gt;=6))," ",AC54+1),NA())</f>
        <v xml:space="preserve"> </v>
      </c>
      <c r="AD55" s="272"/>
      <c r="AE55" s="263" t="str">
        <f>IF(AND(Sheet1!D$194=1,AB55&lt;&gt;" "),ROUND(VLOOKUP(AB55,AlternativeB!A$17:M$66,12),Sheet1!D$75),IF(Sheet1!D$194=1," ","Alt  'B'  not feasible"))</f>
        <v>Alt  'B'  not feasible</v>
      </c>
      <c r="AF55" s="264" t="str">
        <f>IF(AB55&lt;=Sheet1!D$148, (1/((1+$AF$10)^(AB55-0.5)))," ")</f>
        <v xml:space="preserve"> </v>
      </c>
      <c r="AG55" s="263" t="str">
        <f>IF(AND(Sheet1!D$194=1,AB55&lt;&gt;" "),ROUND(+AE55*AF55,Sheet1!D$75)," ")</f>
        <v xml:space="preserve"> </v>
      </c>
      <c r="AH55" s="264" t="str">
        <f>IF(AB55&lt;&gt;" ",ROUND(VLOOKUP(Sheet1!E$82,CHOOSE(Sheet1!D$213,Inflate1,Inflate2,Inflate3,Inflate4,Inflate5,Inflate6,Inflate7,Inflate8),2),4)," ")</f>
        <v xml:space="preserve"> </v>
      </c>
      <c r="AI55" s="264" t="str">
        <f>IF(AB55&lt;&gt;" ",ROUND(VLOOKUP(AC55,CHOOSE(Sheet1!D$213,Inflate1,Inflate2,Inflate3,Inflate4,Inflate5,Inflate6,Inflate7,Inflate8),3),4)," ")</f>
        <v xml:space="preserve"> </v>
      </c>
      <c r="AJ55" s="263" t="b">
        <f>IF(AND(Sheet1!D$194=1,AB55&lt;&gt;" "),IF(AND(O55&lt;=10,OR(Sheet1!D$8=2,Sheet1!D$8=3,Sheet1!D$22=3)),ROUND((AE55/AH55)*AI55,Sheet1!D$75),IF(AND(Sheet1!D$8&lt;&gt;2,Sheet1!D$8&lt;&gt;3,Sheet1!D$22&lt;&gt;3),ROUND((AE55/AH55)*AI55,Sheet1!D$75)," ")))</f>
        <v>0</v>
      </c>
    </row>
    <row r="56" spans="1:36" ht="11.4" x14ac:dyDescent="0.2">
      <c r="A56" s="271" t="str">
        <f>IF(OR(Sheet1!D$192=1,Sheet1!D$194=1),IF(OR((A55&gt;=(Sheet1!D$148+$A$11)-1),AND(Sheet1!D$8=3,A55&gt;=6))," ",A55+1),NA())</f>
        <v xml:space="preserve"> </v>
      </c>
      <c r="B56" s="271" t="str">
        <f>IF(OR(Sheet1!D$192=1,Sheet1!D$194=1),IF(OR((B55&gt;=(Sheet1!D$148+$B$11)-1),AND(Sheet1!D$8=3,A55&gt;=6))," ",B55+1),NA())</f>
        <v xml:space="preserve"> </v>
      </c>
      <c r="C56" s="262"/>
      <c r="D56" s="263" t="str">
        <f>IF(AND(Sheet1!D$192=1,A56&lt;&gt;" "),ROUND(VLOOKUP(A56,StatusQuo!A$19:M$68,12),Sheet1!D$75),IF(Sheet1!D$192=1," ","SQ not feasible "))</f>
        <v xml:space="preserve"> </v>
      </c>
      <c r="E56" s="263" t="str">
        <f>IF(AND(Sheet1!D$194=1,A56&lt;&gt;" "),ROUND(VLOOKUP(A56,AlternativeB!A$110:M$159,12),Sheet1!D$75),IF(Sheet1!D$194=1," ","Alt  'B'  not feasible"))</f>
        <v>Alt  'B'  not feasible</v>
      </c>
      <c r="F56" s="263" t="str">
        <f>IF(AND(A56&lt;&gt;" ",Sheet1!D$192=1,Sheet1!D$194=1),D56-E56,IF(AND(Sheet1!D$194=1,A56&lt;&gt;" ")," "," "))</f>
        <v xml:space="preserve"> </v>
      </c>
      <c r="G56" s="264" t="str">
        <f>IF(A56&lt;=Sheet1!D$148, (1/((1+$G$10)^(A56-0.5)))," ")</f>
        <v xml:space="preserve"> </v>
      </c>
      <c r="H56" s="263" t="str">
        <f>IF(AND(A56&lt;&gt;" ",Sheet1!D$192=1,Sheet1!D$194=1),ROUND(F56*G56,Sheet1!D$75),IF(AND(A56&lt;&gt;" ",Sheet1!D$194=1),ROUND(E56*G56,Sheet1!D$75)," "))</f>
        <v xml:space="preserve"> </v>
      </c>
      <c r="I56" s="264" t="str">
        <f>IF(A56&lt;&gt;" ",ROUND(VLOOKUP(Sheet1!E$82,CHOOSE(Sheet1!D$233,Inflate7,Inflate2,Inflate3,Inflate4,Inflate5,Inflate6,Inflate1,Inflate8),2),4)," ")</f>
        <v xml:space="preserve"> </v>
      </c>
      <c r="J56" s="264" t="str">
        <f>IF(A56&lt;&gt;" ",ROUND(VLOOKUP(B56,CHOOSE(Sheet1!D$233,Inflate7,Inflate2,Inflate3,Inflate4,Inflate5,Inflate6,Inflate1,Inflate8),3),4)," ")</f>
        <v xml:space="preserve"> </v>
      </c>
      <c r="K56" s="265" t="str">
        <f>IF(AND(A56&lt;&gt;" ",Sheet1!D$192=1,Sheet1!D$194=1),ROUND((F56/I56)*J56,Sheet1!D$75),IF(AND(A56&lt;&gt;" ",Sheet1!D$194=1),ROUND((E56/I56)*J56,Sheet1!D$75)," "))</f>
        <v xml:space="preserve"> </v>
      </c>
      <c r="L56" s="254" t="str">
        <f>IF(Sheet1!D$192=1,IF(AND(AA56&gt;AJ$61,AA55&lt;=AJ$61),"&lt;-Payback"," ")," ")</f>
        <v xml:space="preserve"> </v>
      </c>
      <c r="M56" s="271" t="str">
        <f>IF(OR(Sheet1!D$192=1,Sheet1!D$194=1),IF(OR((A55&gt;=(Sheet1!D$148+$A$11)-1),AND(Sheet1!D$8=3,A55&gt;=6))," ",A55+1),NA())</f>
        <v xml:space="preserve"> </v>
      </c>
      <c r="N56" s="271" t="str">
        <f>IF(OR(Sheet1!D$192=1,Sheet1!D$194=1),IF(OR((B55&gt;=(Sheet1!D$148+$B$11)-1),AND(Sheet1!D$8=3,A55&gt;=6))," ",B55+1),NA())</f>
        <v xml:space="preserve"> </v>
      </c>
      <c r="O56" s="266" t="e">
        <f>IF(OR(Sheet1!D$192=1,Sheet1!D$194=1),IF(NOT(Sheet1!D$192=1),0,IF(ROUND(VLOOKUP(A56,StatusQuo!A$19:M$68,13),Sheet1!D$75)-ROUND(VLOOKUP(A56,AlternativeB!A$110:M$159,13),Sheet1!D$75)&gt;0,1,0))," ")</f>
        <v>#VALUE!</v>
      </c>
      <c r="P56" s="263" t="str">
        <f>IF(AND(A56&lt;&gt;" ",Sheet1!D$192=1,Sheet1!D$194=1),IF(AND(OR(Sheet1!D$8=2,Sheet1!D$22=3),O56&gt;10),0,ROUND(VLOOKUP(A56,StatusQuo!A$19:M$68,13),Sheet1!D$75)),IF(NOT(Sheet1!D$192=1),"not feasible",IF(A56=" "," ", "Savings is  n/a=&gt;")))</f>
        <v xml:space="preserve"> </v>
      </c>
      <c r="Q56" s="263" t="str">
        <f>IF(AND(A56&lt;&gt;" ",Sheet1!D$192=1,Sheet1!D$194=1),IF(AND(OR(Sheet1!D$8=2,Sheet1!D$22=3),O56&gt;10),0,ROUND(VLOOKUP(A56,AlternativeB!A$110:M$159,13),Sheet1!D$75)),IF(NOT(Sheet1!D$194=1),"not feasible",IF(A56=" "," ","&lt;== Savings is n/a")))</f>
        <v>not feasible</v>
      </c>
      <c r="R56" s="263" t="str">
        <f>IF(AND(A56&lt;&gt;" ",Sheet1!D$192=1,Sheet1!D$194=1),IF(G$81&lt;&gt;" ","???????",P56-Q56)," ")</f>
        <v xml:space="preserve"> </v>
      </c>
      <c r="S56" s="263" t="str">
        <f>IF(AND(A56&lt;&gt;" ",Sheet1!D$192=1,Sheet1!D$194=1),ROUND(R56*G56,Sheet1!D$75)," ")</f>
        <v xml:space="preserve"> </v>
      </c>
      <c r="T56" s="263" t="str">
        <f>IF(AND(A56&lt;&gt;" ",Sheet1!D$192=1,Sheet1!D$194=1),ROUND((R56/I56)*J56,Sheet1!D$75)," ")</f>
        <v xml:space="preserve"> </v>
      </c>
      <c r="U56" s="265">
        <f>SUM(T$11:T56)</f>
        <v>0</v>
      </c>
      <c r="V56" s="254"/>
      <c r="W56" s="268">
        <f t="shared" si="3"/>
        <v>46</v>
      </c>
      <c r="X56" s="171" t="str">
        <f t="shared" si="4"/>
        <v xml:space="preserve"> </v>
      </c>
      <c r="AA56" s="265">
        <f>SUM(K$11:K56)</f>
        <v>0</v>
      </c>
      <c r="AB56" s="271" t="str">
        <f>IF(OR(Sheet1!D$192=1,Sheet1!D$194=1),IF(OR((AB55&gt;=(Sheet1!D$148+$A$11)-1),AND(Sheet1!D$8=3,AB55&gt;=6))," ",AB55+1),NA())</f>
        <v xml:space="preserve"> </v>
      </c>
      <c r="AC56" s="271" t="str">
        <f>IF(OR(Sheet1!D$192=1,Sheet1!D$194=1),IF(OR((AC55&gt;=(Sheet1!D$148+$B$11)-1),AND(Sheet1!D$8=3,AB55&gt;=6))," ",AC55+1),NA())</f>
        <v xml:space="preserve"> </v>
      </c>
      <c r="AD56" s="272"/>
      <c r="AE56" s="263" t="str">
        <f>IF(AND(Sheet1!D$194=1,AB56&lt;&gt;" "),ROUND(VLOOKUP(AB56,AlternativeB!A$17:M$66,12),Sheet1!D$75),IF(Sheet1!D$194=1," ","Alt  'B'  not feasible"))</f>
        <v>Alt  'B'  not feasible</v>
      </c>
      <c r="AF56" s="264" t="str">
        <f>IF(AB56&lt;=Sheet1!D$148, (1/((1+$AF$10)^(AB56-0.5)))," ")</f>
        <v xml:space="preserve"> </v>
      </c>
      <c r="AG56" s="263" t="str">
        <f>IF(AND(Sheet1!D$194=1,AB56&lt;&gt;" "),ROUND(+AE56*AF56,Sheet1!D$75)," ")</f>
        <v xml:space="preserve"> </v>
      </c>
      <c r="AH56" s="264" t="str">
        <f>IF(AB56&lt;&gt;" ",ROUND(VLOOKUP(Sheet1!E$82,CHOOSE(Sheet1!D$213,Inflate1,Inflate2,Inflate3,Inflate4,Inflate5,Inflate6,Inflate7,Inflate8),2),4)," ")</f>
        <v xml:space="preserve"> </v>
      </c>
      <c r="AI56" s="264" t="str">
        <f>IF(AB56&lt;&gt;" ",ROUND(VLOOKUP(AC56,CHOOSE(Sheet1!D$213,Inflate1,Inflate2,Inflate3,Inflate4,Inflate5,Inflate6,Inflate7,Inflate8),3),4)," ")</f>
        <v xml:space="preserve"> </v>
      </c>
      <c r="AJ56" s="263" t="b">
        <f>IF(AND(Sheet1!D$194=1,AB56&lt;&gt;" "),IF(AND(O56&lt;=10,OR(Sheet1!D$8=2,Sheet1!D$8=3,Sheet1!D$22=3)),ROUND((AE56/AH56)*AI56,Sheet1!D$75),IF(AND(Sheet1!D$8&lt;&gt;2,Sheet1!D$8&lt;&gt;3,Sheet1!D$22&lt;&gt;3),ROUND((AE56/AH56)*AI56,Sheet1!D$75)," ")))</f>
        <v>0</v>
      </c>
    </row>
    <row r="57" spans="1:36" ht="12" thickBot="1" x14ac:dyDescent="0.25">
      <c r="A57" s="271" t="str">
        <f>IF(OR(Sheet1!D$192=1,Sheet1!D$194=1),IF(OR((A56&gt;=(Sheet1!D$148+$A$11)-1),AND(Sheet1!D$8=3,A56&gt;=6))," ",A56+1),NA())</f>
        <v xml:space="preserve"> </v>
      </c>
      <c r="B57" s="271" t="str">
        <f>IF(OR(Sheet1!D$192=1,Sheet1!D$194=1),IF(OR((B56&gt;=(Sheet1!D$148+$B$11)-1),AND(Sheet1!D$8=3,A56&gt;=6))," ",B56+1),NA())</f>
        <v xml:space="preserve"> </v>
      </c>
      <c r="C57" s="262"/>
      <c r="D57" s="263" t="str">
        <f>IF(AND(Sheet1!D$192=1,A57&lt;&gt;" "),ROUND(VLOOKUP(A57,StatusQuo!A$19:M$68,12),Sheet1!D$75),IF(Sheet1!D$192=1," ","SQ not feasible "))</f>
        <v xml:space="preserve"> </v>
      </c>
      <c r="E57" s="263" t="str">
        <f>IF(AND(Sheet1!D$194=1,A57&lt;&gt;" "),ROUND(VLOOKUP(A57,AlternativeB!A$110:M$159,12),Sheet1!D$75),IF(Sheet1!D$194=1," ","Alt  'B'  not feasible"))</f>
        <v>Alt  'B'  not feasible</v>
      </c>
      <c r="F57" s="263" t="str">
        <f>IF(AND(A57&lt;&gt;" ",Sheet1!D$192=1,Sheet1!D$194=1),D57-E57,IF(AND(Sheet1!D$194=1,A57&lt;&gt;" ")," "," "))</f>
        <v xml:space="preserve"> </v>
      </c>
      <c r="G57" s="264" t="str">
        <f>IF(A57&lt;=Sheet1!D$148, (1/((1+$G$10)^(A57-0.5)))," ")</f>
        <v xml:space="preserve"> </v>
      </c>
      <c r="H57" s="263" t="str">
        <f>IF(AND(A57&lt;&gt;" ",Sheet1!D$192=1,Sheet1!D$194=1),ROUND(F57*G57,Sheet1!D$75),IF(AND(A57&lt;&gt;" ",Sheet1!D$194=1),ROUND(E57*G57,Sheet1!D$75)," "))</f>
        <v xml:space="preserve"> </v>
      </c>
      <c r="I57" s="264" t="str">
        <f>IF(A57&lt;&gt;" ",ROUND(VLOOKUP(Sheet1!E$82,CHOOSE(Sheet1!D$233,Inflate7,Inflate2,Inflate3,Inflate4,Inflate5,Inflate6,Inflate1,Inflate8),2),4)," ")</f>
        <v xml:space="preserve"> </v>
      </c>
      <c r="J57" s="264" t="str">
        <f>IF(A57&lt;&gt;" ",ROUND(VLOOKUP(B57,CHOOSE(Sheet1!D$233,Inflate7,Inflate2,Inflate3,Inflate4,Inflate5,Inflate6,Inflate1,Inflate8),3),4)," ")</f>
        <v xml:space="preserve"> </v>
      </c>
      <c r="K57" s="265" t="str">
        <f>IF(AND(A57&lt;&gt;" ",Sheet1!D$192=1,Sheet1!D$194=1),ROUND((F57/I57)*J57,Sheet1!D$75),IF(AND(A57&lt;&gt;" ",Sheet1!D$194=1),ROUND((E57/I57)*J57,Sheet1!D$75)," "))</f>
        <v xml:space="preserve"> </v>
      </c>
      <c r="L57" s="254" t="str">
        <f>IF(Sheet1!D$192=1,IF(AND(AA57&gt;AJ$61,AA56&lt;=AJ$61),"&lt;-Payback"," ")," ")</f>
        <v xml:space="preserve"> </v>
      </c>
      <c r="M57" s="271" t="str">
        <f>IF(OR(Sheet1!D$192=1,Sheet1!D$194=1),IF(OR((A56&gt;=(Sheet1!D$148+$A$11)-1),AND(Sheet1!D$8=3,A56&gt;=6))," ",A56+1),NA())</f>
        <v xml:space="preserve"> </v>
      </c>
      <c r="N57" s="271" t="str">
        <f>IF(OR(Sheet1!D$192=1,Sheet1!D$194=1),IF(OR((B56&gt;=(Sheet1!D$148+$B$11)-1),AND(Sheet1!D$8=3,A56&gt;=6))," ",B56+1),NA())</f>
        <v xml:space="preserve"> </v>
      </c>
      <c r="O57" s="266" t="e">
        <f>IF(OR(Sheet1!D$192=1,Sheet1!D$194=1),IF(NOT(Sheet1!D$192=1),0,IF(ROUND(VLOOKUP(A57,StatusQuo!A$19:M$68,13),Sheet1!D$75)-ROUND(VLOOKUP(A57,AlternativeB!A$110:M$159,13),Sheet1!D$75)&gt;0,1,0))," ")</f>
        <v>#VALUE!</v>
      </c>
      <c r="P57" s="263" t="str">
        <f>IF(AND(A57&lt;&gt;" ",Sheet1!D$192=1,Sheet1!D$194=1),IF(AND(OR(Sheet1!D$8=2,Sheet1!D$22=3),O57&gt;10),0,ROUND(VLOOKUP(A57,StatusQuo!A$19:M$68,13),Sheet1!D$75)),IF(NOT(Sheet1!D$192=1),"not feasible",IF(A57=" "," ", "Savings is  n/a=&gt;")))</f>
        <v xml:space="preserve"> </v>
      </c>
      <c r="Q57" s="263" t="str">
        <f>IF(AND(A57&lt;&gt;" ",Sheet1!D$192=1,Sheet1!D$194=1),IF(AND(OR(Sheet1!D$8=2,Sheet1!D$22=3),O57&gt;10),0,ROUND(VLOOKUP(A57,AlternativeB!A$110:M$159,13),Sheet1!D$75)),IF(NOT(Sheet1!D$194=1),"not feasible",IF(A57=" "," ","&lt;== Savings is n/a")))</f>
        <v>not feasible</v>
      </c>
      <c r="R57" s="263" t="str">
        <f>IF(AND(A57&lt;&gt;" ",Sheet1!D$192=1,Sheet1!D$194=1),IF(G$81&lt;&gt;" ","???????",P57-Q57)," ")</f>
        <v xml:space="preserve"> </v>
      </c>
      <c r="S57" s="263" t="str">
        <f>IF(AND(A57&lt;&gt;" ",Sheet1!D$192=1,Sheet1!D$194=1),ROUND(R57*G57,Sheet1!D$75)," ")</f>
        <v xml:space="preserve"> </v>
      </c>
      <c r="T57" s="263" t="str">
        <f>IF(AND(A57&lt;&gt;" ",Sheet1!D$192=1,Sheet1!D$194=1),ROUND((R57/I57)*J57,Sheet1!D$75)," ")</f>
        <v xml:space="preserve"> </v>
      </c>
      <c r="U57" s="265">
        <f>SUM(T$11:T57)</f>
        <v>0</v>
      </c>
      <c r="V57" s="254"/>
      <c r="W57" s="268">
        <f t="shared" si="3"/>
        <v>47</v>
      </c>
      <c r="X57" s="171" t="str">
        <f t="shared" si="4"/>
        <v xml:space="preserve"> </v>
      </c>
      <c r="AA57" s="265">
        <f>SUM(K$11:K57)</f>
        <v>0</v>
      </c>
      <c r="AB57" s="271" t="str">
        <f>IF(OR(Sheet1!D$192=1,Sheet1!D$194=1),IF(OR((AB56&gt;=(Sheet1!D$148+$A$11)-1),AND(Sheet1!D$8=3,AB56&gt;=6))," ",AB56+1),NA())</f>
        <v xml:space="preserve"> </v>
      </c>
      <c r="AC57" s="271" t="str">
        <f>IF(OR(Sheet1!D$192=1,Sheet1!D$194=1),IF(OR((AC56&gt;=(Sheet1!D$148+$B$11)-1),AND(Sheet1!D$8=3,AB56&gt;=6))," ",AC56+1),NA())</f>
        <v xml:space="preserve"> </v>
      </c>
      <c r="AD57" s="272"/>
      <c r="AE57" s="263" t="str">
        <f>IF(AND(Sheet1!D$194=1,AB57&lt;&gt;" "),ROUND(VLOOKUP(AB57,AlternativeB!A$17:M$66,12),Sheet1!D$75),IF(Sheet1!D$194=1," ","Alt  'B'  not feasible"))</f>
        <v>Alt  'B'  not feasible</v>
      </c>
      <c r="AF57" s="264" t="str">
        <f>IF(AB57&lt;=Sheet1!D$148, (1/((1+$AF$10)^(AB57-0.5)))," ")</f>
        <v xml:space="preserve"> </v>
      </c>
      <c r="AG57" s="263" t="str">
        <f>IF(AND(Sheet1!D$194=1,AB57&lt;&gt;" "),ROUND(+AE57*AF57,Sheet1!D$75)," ")</f>
        <v xml:space="preserve"> </v>
      </c>
      <c r="AH57" s="264" t="str">
        <f>IF(AB57&lt;&gt;" ",ROUND(VLOOKUP(Sheet1!E$82,CHOOSE(Sheet1!D$213,Inflate1,Inflate2,Inflate3,Inflate4,Inflate5,Inflate6,Inflate7,Inflate8),2),4)," ")</f>
        <v xml:space="preserve"> </v>
      </c>
      <c r="AI57" s="264" t="str">
        <f>IF(AB57&lt;&gt;" ",ROUND(VLOOKUP(AC57,CHOOSE(Sheet1!D$213,Inflate1,Inflate2,Inflate3,Inflate4,Inflate5,Inflate6,Inflate7,Inflate8),3),4)," ")</f>
        <v xml:space="preserve"> </v>
      </c>
      <c r="AJ57" s="263" t="b">
        <f>IF(AND(Sheet1!D$194=1,AB57&lt;&gt;" "),IF(AND(O57&lt;=10,OR(Sheet1!D$8=2,Sheet1!D$8=3,Sheet1!D$22=3)),ROUND((AE57/AH57)*AI57,Sheet1!D$75),IF(AND(Sheet1!D$8&lt;&gt;2,Sheet1!D$8&lt;&gt;3,Sheet1!D$22&lt;&gt;3),ROUND((AE57/AH57)*AI57,Sheet1!D$75)," ")))</f>
        <v>0</v>
      </c>
    </row>
    <row r="58" spans="1:36" ht="12" hidden="1" thickBot="1" x14ac:dyDescent="0.25">
      <c r="A58" s="271" t="str">
        <f>IF(OR(Sheet1!D$192=1,Sheet1!D$194=1),IF(OR((A57&gt;=(Sheet1!D$148+$A$11)-1),AND(Sheet1!D$8=3,A57&gt;=6))," ",A57+1),NA())</f>
        <v xml:space="preserve"> </v>
      </c>
      <c r="B58" s="271" t="str">
        <f>IF(OR(Sheet1!D$192=1,Sheet1!D$194=1),IF(OR((B57&gt;=(Sheet1!D$148+$B$11)-1),AND(Sheet1!D$8=3,A57&gt;=6))," ",B57+1),NA())</f>
        <v xml:space="preserve"> </v>
      </c>
      <c r="C58" s="262"/>
      <c r="D58" s="263" t="str">
        <f>IF(AND(Sheet1!D$192=1,A58&lt;&gt;" "),ROUND(VLOOKUP(A58,Sheet1!A$19:M$68,12),Sheet1!D$75),IF(Sheet1!D$192=1," ","SQ not feasible "))</f>
        <v xml:space="preserve"> </v>
      </c>
      <c r="E58" s="263" t="str">
        <f>IF(AND(Sheet1!D$194=1,A58&lt;&gt;" "),ROUND(VLOOKUP(A58,AlternativeB!A$110:M$159,12),Sheet1!D$75),IF(Sheet1!D$194=1," ","Alt  'B'  not feasible"))</f>
        <v>Alt  'B'  not feasible</v>
      </c>
      <c r="F58" s="263" t="str">
        <f>IF(AND(A58&lt;&gt;" ",Sheet1!D$192=1,Sheet1!D$194=1),D58-E58,IF(AND(Sheet1!D$194=1,A58&lt;&gt;" ")," "," "))</f>
        <v xml:space="preserve"> </v>
      </c>
      <c r="G58" s="264" t="str">
        <f>IF(A58&lt;=Sheet1!D$148, (1/((1+$G$10)^(A58-0.5)))," ")</f>
        <v xml:space="preserve"> </v>
      </c>
      <c r="H58" s="263" t="str">
        <f>IF(AND(A58&lt;&gt;" ",Sheet1!D$192=1,Sheet1!D$194=1),ROUND(F58*G58,Sheet1!D$75),IF(AND(A58&lt;&gt;" ",Sheet1!D$194=1),ROUND(E58*G58,Sheet1!D$75)," "))</f>
        <v xml:space="preserve"> </v>
      </c>
      <c r="I58" s="264" t="str">
        <f>IF(A58&lt;&gt;" ",ROUND(VLOOKUP(Sheet1!E$82,CHOOSE(Sheet1!D$233,Inflate7,Inflate2,Inflate3,Inflate4,Inflate5,Inflate6,Inflate1,Inflate8),2),4)," ")</f>
        <v xml:space="preserve"> </v>
      </c>
      <c r="J58" s="264" t="str">
        <f>IF(A58&lt;&gt;" ",ROUND(VLOOKUP(B58,CHOOSE(Sheet1!D$233,Inflate7,Inflate2,Inflate3,Inflate4,Inflate5,Inflate6,Inflate1,Inflate8),3),4)," ")</f>
        <v xml:space="preserve"> </v>
      </c>
      <c r="K58" s="265" t="str">
        <f>IF(AND(A58&lt;&gt;" ",Sheet1!D$192=1,Sheet1!D$194=1),ROUND((F58/I58)*J58,Sheet1!D$75),IF(AND(A58&lt;&gt;" ",Sheet1!D$194=1),ROUND((E58/I58)*J58,Sheet1!D$75)," "))</f>
        <v xml:space="preserve"> </v>
      </c>
      <c r="L58" s="254" t="str">
        <f>IF(Sheet1!D$192=1,IF(AND(AA58&gt;AJ$61,AA57&lt;=AJ$61),"&lt;-Payback"," ")," ")</f>
        <v xml:space="preserve"> </v>
      </c>
      <c r="M58" s="271" t="str">
        <f>IF(OR(Sheet1!D$192=1,Sheet1!D$194=1),IF(OR((A57&gt;=(Sheet1!D$148+$A$11)-1),AND(Sheet1!D$8=3,A57&gt;=6))," ",A57+1),NA())</f>
        <v xml:space="preserve"> </v>
      </c>
      <c r="N58" s="271" t="str">
        <f>IF(OR(Sheet1!D$192=1,Sheet1!D$194=1),IF(OR((B57&gt;=(Sheet1!D$148+$B$11)-1),AND(Sheet1!D$8=3,A57&gt;=6))," ",B57+1),NA())</f>
        <v xml:space="preserve"> </v>
      </c>
      <c r="O58" s="266" t="e">
        <f>IF(AND(Sheet1!D$8=3,M58=" ")," ",IF(OR(Sheet1!D$192=1,Sheet1!D$194=1),IF(O57&gt;0,IF(AND(OR(Sheet1!D$8=2,Sheet1!D$22=3),O57&gt;=10)," ",O57+1),IF(NOT(Sheet1!D$192=1),0,IF(ROUND(VLOOKUP(A58,Sheet1!A$19:M$68,13),Sheet1!D$75)-ROUND(VLOOKUP(A58,AlternativeB!A$110:M$159,13),Sheet1!D$75)&gt;0,1,0)))," "))</f>
        <v>#VALUE!</v>
      </c>
      <c r="P58" s="263" t="str">
        <f>IF(AND(A58&lt;&gt;" ",Sheet1!D$192=1,Sheet1!D$194=1),IF(AND(OR(Sheet1!D$8=2,Sheet1!D$22=3),O58&gt;10),0,ROUND(VLOOKUP(A58,StatusQuo!A$19:M$68,13),Sheet1!D$75)),IF(NOT(Sheet1!D$192=1),"not feasible",IF(A58=" "," ", "Savings is  n/a=&gt;")))</f>
        <v xml:space="preserve"> </v>
      </c>
      <c r="Q58" s="263" t="str">
        <f>IF(AND(A58&lt;&gt;" ",Sheet1!D$192=1,Sheet1!D$194=1),IF(AND(OR(Sheet1!D$8=2,Sheet1!D$22=3),O58&gt;10),0,ROUND(VLOOKUP(A58,AlternativeB!A$110:M$159,13),Sheet1!D$75)),IF(NOT(Sheet1!D$194=1),"not feasible",IF(A58=" "," ","&lt;== Savings is n/a")))</f>
        <v>not feasible</v>
      </c>
      <c r="R58" s="263" t="str">
        <f>IF(AND(A58&lt;&gt;" ",Sheet1!D$192=1,Sheet1!D$194=1),IF(G$81&lt;&gt;" ","???????",P58-Q58)," ")</f>
        <v xml:space="preserve"> </v>
      </c>
      <c r="S58" s="263" t="str">
        <f>IF(AND(A58&lt;&gt;" ",Sheet1!D$192=1,Sheet1!D$194=1),ROUND(R58*G58,Sheet1!D$75)," ")</f>
        <v xml:space="preserve"> </v>
      </c>
      <c r="T58" s="263" t="str">
        <f>IF(AND(A58&lt;&gt;" ",Sheet1!D$192=1,Sheet1!D$194=1),ROUND((R58/I58)*J58,Sheet1!D$75)," ")</f>
        <v xml:space="preserve"> </v>
      </c>
      <c r="U58" s="265">
        <f>SUM(T$11:T58)</f>
        <v>0</v>
      </c>
      <c r="V58" s="254"/>
      <c r="W58" s="268">
        <f t="shared" si="3"/>
        <v>48</v>
      </c>
      <c r="X58" s="171" t="str">
        <f t="shared" si="4"/>
        <v xml:space="preserve"> </v>
      </c>
      <c r="AA58" s="265">
        <f>SUM(K$11:K58)</f>
        <v>0</v>
      </c>
      <c r="AB58" s="271" t="str">
        <f>IF(OR(Sheet1!D$192=1,Sheet1!D$194=1),IF(OR((AB57&gt;=(Sheet1!D$148+$A$11)-1),AND(Sheet1!D$8=3,AB57&gt;=6))," ",AB57+1),NA())</f>
        <v xml:space="preserve"> </v>
      </c>
      <c r="AC58" s="271" t="str">
        <f>IF(OR(Sheet1!D$192=1,Sheet1!D$194=1),IF(OR((AC57&gt;=(Sheet1!D$148+$B$11)-1),AND(Sheet1!D$8=3,AB57&gt;=6))," ",AC57+1),NA())</f>
        <v xml:space="preserve"> </v>
      </c>
      <c r="AD58" s="272"/>
      <c r="AE58" s="263" t="str">
        <f>IF(AND(Sheet1!D$194=1,AB58&lt;&gt;" "),ROUND(VLOOKUP(AB58,AlternativeB!A$17:M$66,12),Sheet1!D$75),IF(Sheet1!D$194=1," ","Alt  'B'  not feasible"))</f>
        <v>Alt  'B'  not feasible</v>
      </c>
      <c r="AF58" s="264" t="str">
        <f>IF(AB58&lt;=Sheet1!D$148, (1/((1+$AF$10)^(AB58-0.5)))," ")</f>
        <v xml:space="preserve"> </v>
      </c>
      <c r="AG58" s="263" t="str">
        <f>IF(AND(Sheet1!D$194=1,AB58&lt;&gt;" "),ROUND(+AE58*AF58,Sheet1!D$75)," ")</f>
        <v xml:space="preserve"> </v>
      </c>
      <c r="AH58" s="264" t="str">
        <f>IF(AB58&lt;&gt;" ",ROUND(VLOOKUP(Sheet1!E$82,CHOOSE(Sheet1!D$213,Inflate1,Inflate2,Inflate3,Inflate4,Inflate5,Inflate6,Inflate7,Inflate8),2),4)," ")</f>
        <v xml:space="preserve"> </v>
      </c>
      <c r="AI58" s="264" t="str">
        <f>IF(AB58&lt;&gt;" ",ROUND(VLOOKUP(AC58,CHOOSE(Sheet1!D$213,Inflate1,Inflate2,Inflate3,Inflate4,Inflate5,Inflate6,Inflate7,Inflate8),3),4)," ")</f>
        <v xml:space="preserve"> </v>
      </c>
      <c r="AJ58" s="263" t="b">
        <f>IF(AND(Sheet1!D$194=1,AB58&lt;&gt;" "),IF(AND(O58&lt;=10,OR(Sheet1!D$8=2,Sheet1!D$8=3,Sheet1!D$22=3)),ROUND((AE58/AH58)*AI58,Sheet1!D$75),IF(AND(Sheet1!D$8&lt;&gt;2,Sheet1!D$8&lt;&gt;3,Sheet1!D$22&lt;&gt;3),ROUND((AE58/AH58)*AI58,Sheet1!D$75)," ")))</f>
        <v>0</v>
      </c>
    </row>
    <row r="59" spans="1:36" ht="12" hidden="1" thickBot="1" x14ac:dyDescent="0.25">
      <c r="A59" s="271" t="str">
        <f>IF(OR(Sheet1!D$192=1,Sheet1!D$194=1),IF(OR((A58&gt;=(Sheet1!D$148+$A$11)-1),AND(Sheet1!D$8=3,A58&gt;=6))," ",A58+1),NA())</f>
        <v xml:space="preserve"> </v>
      </c>
      <c r="B59" s="271" t="str">
        <f>IF(OR(Sheet1!D$192=1,Sheet1!D$194=1),IF(OR((B58&gt;=(Sheet1!D$148+$B$11)-1),AND(Sheet1!D$8=3,A58&gt;=6))," ",B58+1),NA())</f>
        <v xml:space="preserve"> </v>
      </c>
      <c r="C59" s="262"/>
      <c r="D59" s="263" t="str">
        <f>IF(AND(Sheet1!D$192=1,A59&lt;&gt;" "),ROUND(VLOOKUP(A59,Sheet1!A$19:M$68,12),Sheet1!D$75),IF(Sheet1!D$192=1," ","SQ not feasible "))</f>
        <v xml:space="preserve"> </v>
      </c>
      <c r="E59" s="263" t="str">
        <f>IF(AND(Sheet1!D$194=1,A59&lt;&gt;" "),ROUND(VLOOKUP(A59,AlternativeB!A$110:M$159,12),Sheet1!D$75),IF(Sheet1!D$194=1," ","Alt  'B'  not feasible"))</f>
        <v>Alt  'B'  not feasible</v>
      </c>
      <c r="F59" s="263" t="str">
        <f>IF(AND(A59&lt;&gt;" ",Sheet1!D$192=1,Sheet1!D$194=1),D59-E59,IF(AND(Sheet1!D$194=1,A59&lt;&gt;" ")," "," "))</f>
        <v xml:space="preserve"> </v>
      </c>
      <c r="G59" s="264" t="str">
        <f>IF(A59&lt;=Sheet1!D$148, (1/((1+$G$10)^(A59-0.5)))," ")</f>
        <v xml:space="preserve"> </v>
      </c>
      <c r="H59" s="263" t="str">
        <f>IF(AND(A59&lt;&gt;" ",Sheet1!D$192=1,Sheet1!D$194=1),ROUND(F59*G59,Sheet1!D$75),IF(AND(A59&lt;&gt;" ",Sheet1!D$194=1),ROUND(E59*G59,Sheet1!D$75)," "))</f>
        <v xml:space="preserve"> </v>
      </c>
      <c r="I59" s="264" t="str">
        <f>IF(A59&lt;&gt;" ",ROUND(VLOOKUP(Sheet1!E$82,CHOOSE(Sheet1!D$233,Inflate7,Inflate2,Inflate3,Inflate4,Inflate5,Inflate6,Inflate1,Inflate8),2),4)," ")</f>
        <v xml:space="preserve"> </v>
      </c>
      <c r="J59" s="264" t="str">
        <f>IF(A59&lt;&gt;" ",ROUND(VLOOKUP(B59,CHOOSE(Sheet1!D$233,Inflate7,Inflate2,Inflate3,Inflate4,Inflate5,Inflate6,Inflate1,Inflate8),3),4)," ")</f>
        <v xml:space="preserve"> </v>
      </c>
      <c r="K59" s="265" t="str">
        <f>IF(AND(A59&lt;&gt;" ",Sheet1!D$192=1,Sheet1!D$194=1),ROUND((F59/I59)*J59,Sheet1!D$75),IF(AND(A59&lt;&gt;" ",Sheet1!D$194=1),ROUND((E59/I59)*J59,Sheet1!D$75)," "))</f>
        <v xml:space="preserve"> </v>
      </c>
      <c r="L59" s="254" t="str">
        <f>IF(Sheet1!D$192=1,IF(AND(AA59&gt;AJ$61,AA58&lt;=AJ$61),"&lt;-Payback"," ")," ")</f>
        <v xml:space="preserve"> </v>
      </c>
      <c r="M59" s="271" t="str">
        <f>IF(OR(Sheet1!D$192=1,Sheet1!D$194=1),IF(OR((A58&gt;=(Sheet1!D$148+$A$11)-1),AND(Sheet1!D$8=3,A58&gt;=6))," ",A58+1),NA())</f>
        <v xml:space="preserve"> </v>
      </c>
      <c r="N59" s="271" t="str">
        <f>IF(OR(Sheet1!D$192=1,Sheet1!D$194=1),IF(OR((B58&gt;=(Sheet1!D$148+$B$11)-1),AND(Sheet1!D$8=3,A58&gt;=6))," ",B58+1),NA())</f>
        <v xml:space="preserve"> </v>
      </c>
      <c r="O59" s="266" t="e">
        <f>IF(AND(Sheet1!D$8=3,M59=" ")," ",IF(OR(Sheet1!D$192=1,Sheet1!D$194=1),IF(O58&gt;0,IF(AND(OR(Sheet1!D$8=2,Sheet1!D$22=3),O58&gt;=10)," ",O58+1),IF(NOT(Sheet1!D$192=1),0,IF(ROUND(VLOOKUP(A59,Sheet1!A$19:M$68,13),Sheet1!D$75)-ROUND(VLOOKUP(A59,AlternativeB!A$110:M$159,13),Sheet1!D$75)&gt;0,1,0)))," "))</f>
        <v>#VALUE!</v>
      </c>
      <c r="P59" s="263" t="str">
        <f>IF(AND(A59&lt;&gt;" ",Sheet1!D$192=1,Sheet1!D$194=1),IF(AND(OR(Sheet1!D$8=2,Sheet1!D$22=3),O59&gt;10),0,ROUND(VLOOKUP(A59,StatusQuo!A$19:M$68,13),Sheet1!D$75)),IF(NOT(Sheet1!D$192=1),"not feasible",IF(A59=" "," ", "Savings is  n/a=&gt;")))</f>
        <v xml:space="preserve"> </v>
      </c>
      <c r="Q59" s="263" t="str">
        <f>IF(AND(A59&lt;&gt;" ",Sheet1!D$192=1,Sheet1!D$194=1),IF(AND(OR(Sheet1!D$8=2,Sheet1!D$22=3),O59&gt;10),0,ROUND(VLOOKUP(A59,AlternativeB!A$110:M$159,13),Sheet1!D$75)),IF(NOT(Sheet1!D$194=1),"not feasible",IF(A59=" "," ","&lt;== Savings is n/a")))</f>
        <v>not feasible</v>
      </c>
      <c r="R59" s="263" t="str">
        <f>IF(AND(A59&lt;&gt;" ",Sheet1!D$192=1,Sheet1!D$194=1),IF(G$81&lt;&gt;" ","???????",P59-Q59)," ")</f>
        <v xml:space="preserve"> </v>
      </c>
      <c r="S59" s="263" t="str">
        <f>IF(AND(A59&lt;&gt;" ",Sheet1!D$192=1,Sheet1!D$194=1),ROUND(R59*G59,Sheet1!D$75)," ")</f>
        <v xml:space="preserve"> </v>
      </c>
      <c r="T59" s="263" t="str">
        <f>IF(AND(A59&lt;&gt;" ",Sheet1!D$192=1,Sheet1!D$194=1),ROUND((R59/I59)*J59,Sheet1!D$75)," ")</f>
        <v xml:space="preserve"> </v>
      </c>
      <c r="U59" s="265">
        <f>SUM(T$11:T59)</f>
        <v>0</v>
      </c>
      <c r="V59" s="254"/>
      <c r="W59" s="268">
        <f t="shared" si="3"/>
        <v>49</v>
      </c>
      <c r="X59" s="171" t="str">
        <f t="shared" si="4"/>
        <v xml:space="preserve"> </v>
      </c>
      <c r="AA59" s="265">
        <f>SUM(K$11:K59)</f>
        <v>0</v>
      </c>
      <c r="AB59" s="271" t="str">
        <f>IF(OR(Sheet1!D$192=1,Sheet1!D$194=1),IF(OR((AB58&gt;=(Sheet1!D$148+$A$11)-1),AND(Sheet1!D$8=3,AB58&gt;=6))," ",AB58+1),NA())</f>
        <v xml:space="preserve"> </v>
      </c>
      <c r="AC59" s="271" t="str">
        <f>IF(OR(Sheet1!D$192=1,Sheet1!D$194=1),IF(OR((AC58&gt;=(Sheet1!D$148+$B$11)-1),AND(Sheet1!D$8=3,AB58&gt;=6))," ",AC58+1),NA())</f>
        <v xml:space="preserve"> </v>
      </c>
      <c r="AD59" s="272"/>
      <c r="AE59" s="263" t="str">
        <f>IF(AND(Sheet1!D$194=1,AB59&lt;&gt;" "),ROUND(VLOOKUP(AB59,AlternativeB!A$17:M$66,12),Sheet1!D$75),IF(Sheet1!D$194=1," ","Alt  'B'  not feasible"))</f>
        <v>Alt  'B'  not feasible</v>
      </c>
      <c r="AF59" s="264" t="str">
        <f>IF(AB59&lt;=Sheet1!D$148, (1/((1+$AF$10)^(AB59-0.5)))," ")</f>
        <v xml:space="preserve"> </v>
      </c>
      <c r="AG59" s="263" t="str">
        <f>IF(AND(Sheet1!D$194=1,AB59&lt;&gt;" "),ROUND(+AE59*AF59,Sheet1!D$75)," ")</f>
        <v xml:space="preserve"> </v>
      </c>
      <c r="AH59" s="264" t="str">
        <f>IF(AB59&lt;&gt;" ",ROUND(VLOOKUP(Sheet1!E$82,CHOOSE(Sheet1!D$213,Inflate1,Inflate2,Inflate3,Inflate4,Inflate5,Inflate6,Inflate7,Inflate8),2),4)," ")</f>
        <v xml:space="preserve"> </v>
      </c>
      <c r="AI59" s="264" t="str">
        <f>IF(AB59&lt;&gt;" ",ROUND(VLOOKUP(AC59,CHOOSE(Sheet1!D$213,Inflate1,Inflate2,Inflate3,Inflate4,Inflate5,Inflate6,Inflate7,Inflate8),3),4)," ")</f>
        <v xml:space="preserve"> </v>
      </c>
      <c r="AJ59" s="263" t="b">
        <f>IF(AND(Sheet1!D$194=1,AB59&lt;&gt;" "),IF(AND(O59&lt;=10,OR(Sheet1!D$8=2,Sheet1!D$8=3,Sheet1!D$22=3)),ROUND((AE59/AH59)*AI59,Sheet1!D$75),IF(AND(Sheet1!D$8&lt;&gt;2,Sheet1!D$8&lt;&gt;3,Sheet1!D$22&lt;&gt;3),ROUND((AE59/AH59)*AI59,Sheet1!D$75)," ")))</f>
        <v>0</v>
      </c>
    </row>
    <row r="60" spans="1:36" ht="12" hidden="1" thickBot="1" x14ac:dyDescent="0.25">
      <c r="A60" s="271" t="str">
        <f>IF(OR(Sheet1!D$192=1,Sheet1!D$194=1),IF(OR((A59&gt;=(Sheet1!D$148+$A$11)-1),AND(Sheet1!D$8=3,A59&gt;=6))," ",A59+1),NA())</f>
        <v xml:space="preserve"> </v>
      </c>
      <c r="B60" s="271" t="str">
        <f>IF(OR(Sheet1!D$192=1,Sheet1!D$194=1),IF(OR((B59&gt;=(Sheet1!D$148+$B$11)-1),AND(Sheet1!D$8=3,A59&gt;=6))," ",B59+1),NA())</f>
        <v xml:space="preserve"> </v>
      </c>
      <c r="C60" s="262"/>
      <c r="D60" s="263" t="str">
        <f>IF(AND(Sheet1!D$192=1,A60&lt;&gt;" "),ROUND(VLOOKUP(A60,Sheet1!A$19:M$68,12),Sheet1!D$75),IF(Sheet1!D$192=1," ","SQ not feasible "))</f>
        <v xml:space="preserve"> </v>
      </c>
      <c r="E60" s="263" t="str">
        <f>IF(AND(Sheet1!D$194=1,A60&lt;&gt;" "),ROUND(VLOOKUP(A60,AlternativeB!A$110:M$159,12),Sheet1!D$75),IF(Sheet1!D$194=1," ","Alt  'B'  not feasible"))</f>
        <v>Alt  'B'  not feasible</v>
      </c>
      <c r="F60" s="263" t="str">
        <f>IF(AND(A60&lt;&gt;" ",Sheet1!D$192=1,Sheet1!D$194=1),D60-E60,IF(AND(Sheet1!D$194=1,A60&lt;&gt;" ")," "," "))</f>
        <v xml:space="preserve"> </v>
      </c>
      <c r="G60" s="264" t="str">
        <f>IF(A60&lt;=Sheet1!D$148, (1/((1+$G$10)^(A60-0.5)))," ")</f>
        <v xml:space="preserve"> </v>
      </c>
      <c r="H60" s="263" t="str">
        <f>IF(AND(A60&lt;&gt;" ",Sheet1!D$192=1,Sheet1!D$194=1),ROUND(F60*G60,Sheet1!D$75),IF(AND(A60&lt;&gt;" ",Sheet1!D$194=1),ROUND(E60*G60,Sheet1!D$75)," "))</f>
        <v xml:space="preserve"> </v>
      </c>
      <c r="I60" s="264" t="str">
        <f>IF(A60&lt;&gt;" ",ROUND(VLOOKUP(Sheet1!E$82,CHOOSE(Sheet1!D$233,Inflate7,Inflate2,Inflate3,Inflate4,Inflate5,Inflate6,Inflate1,Inflate8),2),4)," ")</f>
        <v xml:space="preserve"> </v>
      </c>
      <c r="J60" s="264" t="str">
        <f>IF(A60&lt;&gt;" ",ROUND(VLOOKUP(B60,CHOOSE(Sheet1!D$233,Inflate7,Inflate2,Inflate3,Inflate4,Inflate5,Inflate6,Inflate1,Inflate8),3),4)," ")</f>
        <v xml:space="preserve"> </v>
      </c>
      <c r="K60" s="265" t="str">
        <f>IF(AND(A60&lt;&gt;" ",Sheet1!D$192=1,Sheet1!D$194=1),ROUND((F60/I60)*J60,Sheet1!D$75),IF(AND(A60&lt;&gt;" ",Sheet1!D$194=1),ROUND((E60/I60)*J60,Sheet1!D$75)," "))</f>
        <v xml:space="preserve"> </v>
      </c>
      <c r="L60" s="254" t="str">
        <f>IF(Sheet1!D$192=1,IF(AND(AA60&gt;AJ$61,AA59&lt;=AJ$61),"&lt;-Payback"," ")," ")</f>
        <v xml:space="preserve"> </v>
      </c>
      <c r="M60" s="271" t="str">
        <f>IF(OR(Sheet1!D$192=1,Sheet1!D$194=1),IF(OR((A59&gt;=(Sheet1!D$148+$A$11)-1),AND(Sheet1!D$8=3,A59&gt;=6))," ",A59+1),NA())</f>
        <v xml:space="preserve"> </v>
      </c>
      <c r="N60" s="271" t="str">
        <f>IF(OR(Sheet1!D$192=1,Sheet1!D$194=1),IF(OR((B59&gt;=(Sheet1!D$148+$B$11)-1),AND(Sheet1!D$8=3,A59&gt;=6))," ",B59+1),NA())</f>
        <v xml:space="preserve"> </v>
      </c>
      <c r="O60" s="266" t="e">
        <f>IF(AND(Sheet1!D$8=3,M60=" ")," ",IF(OR(Sheet1!D$192=1,Sheet1!D$194=1),IF(O59&gt;0,IF(AND(OR(Sheet1!D$8=2,Sheet1!D$22=3),O59&gt;=10)," ",O59+1),IF(NOT(Sheet1!D$192=1),0,IF(ROUND(VLOOKUP(A60,Sheet1!A$19:M$68,13),Sheet1!D$75)-ROUND(VLOOKUP(A60,AlternativeB!A$110:M$159,13),Sheet1!D$75)&gt;0,1,0)))," "))</f>
        <v>#VALUE!</v>
      </c>
      <c r="P60" s="263" t="str">
        <f>IF(AND(A60&lt;&gt;" ",Sheet1!D$192=1,Sheet1!D$194=1),IF(AND(OR(Sheet1!D$8=2,Sheet1!D$22=3),O60&gt;10),0,ROUND(VLOOKUP(A60,StatusQuo!A$19:M$68,13),Sheet1!D$75)),IF(NOT(Sheet1!D$192=1),"not feasible",IF(A60=" "," ", "Savings is  n/a=&gt;")))</f>
        <v xml:space="preserve"> </v>
      </c>
      <c r="Q60" s="263" t="str">
        <f>IF(AND(A60&lt;&gt;" ",Sheet1!D$192=1,Sheet1!D$194=1),IF(AND(OR(Sheet1!D$8=2,Sheet1!D$22=3),O60&gt;10),0,ROUND(VLOOKUP(A60,AlternativeB!A$110:M$159,13),Sheet1!D$75)),IF(NOT(Sheet1!D$194=1),"not feasible",IF(A60=" "," ","&lt;== Savings is n/a")))</f>
        <v>not feasible</v>
      </c>
      <c r="R60" s="263" t="str">
        <f>IF(AND(A60&lt;&gt;" ",Sheet1!D$192=1,Sheet1!D$194=1),IF(G$81&lt;&gt;" ","???????",P60-Q60)," ")</f>
        <v xml:space="preserve"> </v>
      </c>
      <c r="S60" s="263" t="str">
        <f>IF(AND(A60&lt;&gt;" ",Sheet1!D$192=1,Sheet1!D$194=1),ROUND(R60*G60,Sheet1!D$75)," ")</f>
        <v xml:space="preserve"> </v>
      </c>
      <c r="T60" s="263" t="str">
        <f>IF(AND(A60&lt;&gt;" ",Sheet1!D$192=1,Sheet1!D$194=1),ROUND((R60/I60)*J60,Sheet1!D$75)," ")</f>
        <v xml:space="preserve"> </v>
      </c>
      <c r="U60" s="265">
        <f>SUM(T$11:T60)</f>
        <v>0</v>
      </c>
      <c r="V60" s="254"/>
      <c r="W60" s="268">
        <f t="shared" si="3"/>
        <v>50</v>
      </c>
      <c r="X60" s="171" t="str">
        <f t="shared" si="4"/>
        <v xml:space="preserve"> </v>
      </c>
      <c r="AA60" s="265">
        <f>SUM(K$11:K60)</f>
        <v>0</v>
      </c>
      <c r="AB60" s="271" t="str">
        <f>IF(OR(Sheet1!D$192=1,Sheet1!D$194=1),IF(OR((AB59&gt;=(Sheet1!D$148+$A$11)-1),AND(Sheet1!D$8=3,AB59&gt;=6))," ",AB59+1),NA())</f>
        <v xml:space="preserve"> </v>
      </c>
      <c r="AC60" s="271" t="str">
        <f>IF(OR(Sheet1!D$192=1,Sheet1!D$194=1),IF(OR((AC59&gt;=(Sheet1!D$148+$B$11)-1),AND(Sheet1!D$8=3,AB59&gt;=6))," ",AC59+1),NA())</f>
        <v xml:space="preserve"> </v>
      </c>
      <c r="AD60" s="272"/>
      <c r="AE60" s="263" t="str">
        <f>IF(AND(Sheet1!D$194=1,AB60&lt;&gt;" "),ROUND(VLOOKUP(AB60,AlternativeB!A$17:M$66,12),Sheet1!D$75),IF(Sheet1!D$194=1," ","Alt  'B'  not feasible"))</f>
        <v>Alt  'B'  not feasible</v>
      </c>
      <c r="AF60" s="264" t="str">
        <f>IF(AB60&lt;=Sheet1!D$148, (1/((1+$AF$10)^(AB60-0.5)))," ")</f>
        <v xml:space="preserve"> </v>
      </c>
      <c r="AG60" s="263" t="str">
        <f>IF(AND(Sheet1!D$194=1,AB60&lt;&gt;" "),ROUND(+AE60*AF60,Sheet1!D$75)," ")</f>
        <v xml:space="preserve"> </v>
      </c>
      <c r="AH60" s="264" t="str">
        <f>IF(AB60&lt;&gt;" ",ROUND(VLOOKUP(Sheet1!E$82,CHOOSE(Sheet1!D$213,Inflate1,Inflate2,Inflate3,Inflate4,Inflate5,Inflate6,Inflate7,Inflate8),2),4)," ")</f>
        <v xml:space="preserve"> </v>
      </c>
      <c r="AI60" s="264" t="str">
        <f>IF(AB60&lt;&gt;" ",ROUND(VLOOKUP(AC60,CHOOSE(Sheet1!D$213,Inflate1,Inflate2,Inflate3,Inflate4,Inflate5,Inflate6,Inflate7,Inflate8),3),4)," ")</f>
        <v xml:space="preserve"> </v>
      </c>
      <c r="AJ60" s="263" t="b">
        <f>IF(AND(Sheet1!D$194=1,AB60&lt;&gt;" "),IF(AND(O60&lt;=10,OR(Sheet1!D$8=2,Sheet1!D$8=3,Sheet1!D$22=3)),ROUND((AE60/AH60)*AI60,Sheet1!D$75),IF(AND(Sheet1!D$8&lt;&gt;2,Sheet1!D$8&lt;&gt;3,Sheet1!D$22&lt;&gt;3),ROUND((AE60/AH60)*AI60,Sheet1!D$75)," ")))</f>
        <v>0</v>
      </c>
    </row>
    <row r="61" spans="1:36" ht="21.6" thickTop="1" thickBot="1" x14ac:dyDescent="0.25">
      <c r="A61" s="274" t="s">
        <v>311</v>
      </c>
      <c r="B61" s="275"/>
      <c r="C61" s="276"/>
      <c r="D61" s="277">
        <f>IF(Sheet1!D$192=1,SUM(D11:D60),"SQ not feasible")</f>
        <v>0</v>
      </c>
      <c r="E61" s="277" t="str">
        <f>IF(Sheet1!D$194=1,SUM(E11:E60),"Alt  'B'  not feasible")</f>
        <v>Alt  'B'  not feasible</v>
      </c>
      <c r="F61" s="277">
        <f>SUM(F11:F60)</f>
        <v>0</v>
      </c>
      <c r="G61" s="278"/>
      <c r="H61" s="277">
        <f>SUM(H11:H60)</f>
        <v>0</v>
      </c>
      <c r="I61" s="279"/>
      <c r="J61" s="280" t="str">
        <f>CHOOSE(Sheet1!D$213,"RDTE weighted","APA weighted","MIPA weighted","WTCV weighted","AMMO weighted","OPA weighted","OMA weighted","MCA weighted")</f>
        <v>RDTE weighted</v>
      </c>
      <c r="K61" s="277">
        <f>SUM(K11:K60)</f>
        <v>0</v>
      </c>
      <c r="L61" s="281"/>
      <c r="M61" s="282"/>
      <c r="N61" s="275" t="s">
        <v>252</v>
      </c>
      <c r="O61" s="275"/>
      <c r="P61" s="283">
        <f>SUM(P11:P60)</f>
        <v>0</v>
      </c>
      <c r="Q61" s="283">
        <f>SUM(Q11:Q60)</f>
        <v>0</v>
      </c>
      <c r="R61" s="283">
        <f>IF(G81&lt;&gt;" ","???????",SUM(R11:R60))</f>
        <v>0</v>
      </c>
      <c r="S61" s="283">
        <f>SUM(S11:S60)</f>
        <v>0</v>
      </c>
      <c r="T61" s="283">
        <f>SUM(T11:T60)</f>
        <v>0</v>
      </c>
      <c r="U61" s="284"/>
      <c r="V61" s="260"/>
      <c r="AB61" s="285" t="s">
        <v>312</v>
      </c>
      <c r="AC61" s="286"/>
      <c r="AD61" s="287"/>
      <c r="AE61" s="288" t="str">
        <f>IF(Sheet1!D$194=1,SUM(AE11:AE60),"Alt  'B'  not feasible")</f>
        <v>Alt  'B'  not feasible</v>
      </c>
      <c r="AF61" s="289"/>
      <c r="AG61" s="288">
        <f>SUM(AG11:AG60)</f>
        <v>0</v>
      </c>
      <c r="AH61" s="289"/>
      <c r="AI61" s="289"/>
      <c r="AJ61" s="288">
        <f>IF(Sheet1!D194=1,SUM(AJ11:AJ60),0)</f>
        <v>0</v>
      </c>
    </row>
    <row r="62" spans="1:36" ht="21" thickBot="1" x14ac:dyDescent="0.25">
      <c r="A62" s="290" t="s">
        <v>313</v>
      </c>
      <c r="B62" s="291">
        <f>IF(Sheet1!D$192=1,IF(AND(Sheet1!D$8=3,Sheet1!A$77&gt;7)," ",StatusQuo!B$77),IF(Sheet1!D$194=1,IF(AND(Sheet1!D$8=3,AlternativeB!A$168&gt;7)," ",AlternativeB!B$168)," "))</f>
        <v>2025</v>
      </c>
      <c r="C62" s="292" t="str">
        <f>IF(Sheet1!D$192=1,"(+)","(+) ")</f>
        <v>(+)</v>
      </c>
      <c r="D62" s="293">
        <f>IF(Sheet1!D$192=1,IF(AND(Sheet1!D$8=3,StatusQuo!A$77&gt;7),0,ROUND((StatusQuo!L$77),Sheet1!D$75)*-1),"SQ not feasible ")</f>
        <v>0</v>
      </c>
      <c r="E62" s="293" t="str">
        <f>IF(Sheet1!D$194=1,IF(AND(Sheet1!D$8=3,AlternativeB!A$168&gt;7),0,ROUND((AlternativeB!L$168),Sheet1!D$75)*-1),"Alt  'B'  not feasible ")</f>
        <v xml:space="preserve">Alt  'B'  not feasible </v>
      </c>
      <c r="F62" s="293" t="e">
        <f>IF(Sheet1!D$192=1,D62-E62," ")</f>
        <v>#VALUE!</v>
      </c>
      <c r="G62" s="294" t="str">
        <f>IF(AND(Sheet1!D$192=1,Sheet1!D$194=1),IF(OR(Sheet1!D$8=2,Sheet1!D$8=3),1,ROUND(VLOOKUP(StatusQuo!A$77,DiscFactorsLinInterp,HLOOKUP(Sheet1!D$148,DiscLinearInterp,1)),4)),IF(Sheet1!D$194=1,IF(OR(Sheet1!D$8=2,Sheet1!D$8=3),1,ROUND(VLOOKUP(AlternativeB!A$168,DiscFactorsLinInterp,HLOOKUP(Sheet1!D$148,DiscLinearInterp,1)),4))," "))</f>
        <v xml:space="preserve"> </v>
      </c>
      <c r="H62" s="293" t="str">
        <f>IF(AND(Sheet1!D$192=1,Sheet1!D$194=1),ROUND(+F62*G62,Sheet1!D$75),IF(Sheet1!D$194=1,ROUND(E62*G62,Sheet1!D$75)," "))</f>
        <v xml:space="preserve"> </v>
      </c>
      <c r="I62" s="294">
        <f>ROUND(VLOOKUP(Sheet1!E$82,CHOOSE(Sheet1!D$213,Inflate1,Inflate2,Inflate3,Inflate4,Inflate5,Inflate6,Inflate7,Inflate8),2),4)</f>
        <v>1</v>
      </c>
      <c r="J62" s="294">
        <f>IF(B62&lt;&gt;" ",ROUND(VLOOKUP(B62,CHOOSE(Sheet1!D$213,Inflate1,Inflate2,Inflate3,Inflate4,Inflate5,Inflate6,Inflate7,Inflate8),3),4),0)</f>
        <v>1.0443</v>
      </c>
      <c r="K62" s="295" t="str">
        <f>IF(AND(Sheet1!D$192=1,Sheet1!D$194=1),ROUND((F62/I62)*J62,Sheet1!D$75),IF(Sheet1!D$194=1,ROUND((E62/I62)*J62,Sheet1!D$75)," "))</f>
        <v xml:space="preserve"> </v>
      </c>
      <c r="L62" s="177"/>
      <c r="P62" s="296"/>
      <c r="Q62" s="296"/>
      <c r="R62" s="296"/>
      <c r="S62" s="296"/>
      <c r="T62" s="296"/>
      <c r="AB62" s="297" t="s">
        <v>314</v>
      </c>
      <c r="AC62" s="298"/>
      <c r="AD62" s="299"/>
      <c r="AE62" s="263"/>
      <c r="AF62" s="300"/>
      <c r="AG62" s="263"/>
      <c r="AH62" s="300"/>
      <c r="AI62" s="300"/>
      <c r="AJ62" s="263"/>
    </row>
    <row r="63" spans="1:36" ht="12" thickTop="1" x14ac:dyDescent="0.2">
      <c r="A63" s="301" t="s">
        <v>315</v>
      </c>
      <c r="B63" s="298"/>
      <c r="C63" s="299"/>
      <c r="D63" s="302">
        <f>IF(Sheet1!D$192=1,SUM(D61:D62),"SQ not feasible")</f>
        <v>0</v>
      </c>
      <c r="E63" s="277">
        <f>IF(Sheet1!$D$194,SUM(E61:E62),"Alt  'B' not feasible")</f>
        <v>0</v>
      </c>
      <c r="F63" s="302" t="e">
        <f>SUM(F61:F62)</f>
        <v>#VALUE!</v>
      </c>
      <c r="G63" s="278"/>
      <c r="H63" s="277">
        <f>SUM(H61:H62)</f>
        <v>0</v>
      </c>
      <c r="I63" s="303" t="str">
        <f>IF(Sheet1!D$192=1,"         Total Benefits===&gt;","  Total Operating Cost=&gt;")</f>
        <v xml:space="preserve">         Total Benefits===&gt;</v>
      </c>
      <c r="J63" s="304"/>
      <c r="K63" s="277">
        <f>SUM(K61:K62)</f>
        <v>0</v>
      </c>
      <c r="L63" s="177"/>
      <c r="P63" s="296"/>
      <c r="Q63" s="296"/>
      <c r="R63" s="296"/>
      <c r="S63" s="296"/>
      <c r="T63" s="260"/>
      <c r="AB63" s="305" t="s">
        <v>316</v>
      </c>
      <c r="AD63" s="306"/>
      <c r="AE63" s="265"/>
      <c r="AF63" s="300"/>
      <c r="AG63" s="265"/>
      <c r="AH63" s="300"/>
      <c r="AI63" s="300"/>
      <c r="AJ63" s="265"/>
    </row>
    <row r="64" spans="1:36" ht="12.6" thickBot="1" x14ac:dyDescent="0.25">
      <c r="A64" s="274" t="str">
        <f>IF(Sheet1!D$192=1,"Adjusted  Invest Cost ","Adjusted Invest Cost (+)")</f>
        <v xml:space="preserve">Adjusted  Invest Cost </v>
      </c>
      <c r="B64" s="307"/>
      <c r="C64" s="308"/>
      <c r="D64" s="309" t="str">
        <f>IF(Sheet1!D$192=1,"(+)"," ")</f>
        <v>(+)</v>
      </c>
      <c r="E64" s="293" t="str">
        <f>IF(Sheet1!D$194=1,AE81,"Alt  'B'  not feasible")</f>
        <v>Alt  'B'  not feasible</v>
      </c>
      <c r="F64" s="270"/>
      <c r="G64" s="309" t="str">
        <f>IF(Sheet1!D$192=1,"(-)","(+) ")</f>
        <v>(-)</v>
      </c>
      <c r="H64" s="293" t="str">
        <f>IF(Sheet1!D$194=1,AG81,"Alt  'B'  not feasible")</f>
        <v>Alt  'B'  not feasible</v>
      </c>
      <c r="I64" s="310"/>
      <c r="J64" s="309" t="str">
        <f>IF(Sheet1!D$192=1,"(-)","(+) ")</f>
        <v>(-)</v>
      </c>
      <c r="K64" s="293" t="str">
        <f>IF(Sheet1!D$194=1,AJ81,"Alt  'B' not feasible")</f>
        <v>Alt  'B' not feasible</v>
      </c>
      <c r="L64" s="177"/>
      <c r="P64" s="296"/>
      <c r="Q64" s="296"/>
      <c r="R64" s="296"/>
      <c r="S64" s="296"/>
      <c r="T64" s="296"/>
      <c r="AB64" s="311" t="s">
        <v>317</v>
      </c>
      <c r="AC64" s="312"/>
      <c r="AD64" s="313"/>
      <c r="AE64" s="265"/>
      <c r="AF64" s="314"/>
      <c r="AG64" s="265"/>
      <c r="AH64" s="314"/>
      <c r="AI64" s="314"/>
      <c r="AJ64" s="265"/>
    </row>
    <row r="65" spans="1:36" ht="14.4" thickTop="1" thickBot="1" x14ac:dyDescent="0.3">
      <c r="A65" s="274" t="str">
        <f>IF(Sheet1!D$192=1,"Project Total Cost   =&gt;","Project Total Cost  =&gt;")</f>
        <v>Project Total Cost   =&gt;</v>
      </c>
      <c r="B65" s="307"/>
      <c r="C65" s="308"/>
      <c r="D65" s="296"/>
      <c r="E65" s="315" t="str">
        <f>IF(Sheet1!D$194=1,+E63+E64,"Alt  'B'  not feasible")</f>
        <v>Alt  'B'  not feasible</v>
      </c>
      <c r="F65" s="316"/>
      <c r="G65" s="303" t="str">
        <f>IF(Sheet1!D$192=1,IF(OR(Sheet1!D$8=2,Sheet1!D$8=3)," ","      NPV =&gt;"),"  ")</f>
        <v xml:space="preserve">      NPV =&gt;</v>
      </c>
      <c r="H65" s="315" t="str">
        <f>IF(Sheet1!D194=2,H64,IF(Sheet1!D$192=1,H63-H64,H63+H64))</f>
        <v>Alt  'B'  not feasible</v>
      </c>
      <c r="I65" s="303" t="str">
        <f>IF(Sheet1!D$192=1,"              Net Benefits =&gt;","     Project Total Cost=&gt;")</f>
        <v xml:space="preserve">              Net Benefits =&gt;</v>
      </c>
      <c r="J65" s="304"/>
      <c r="K65" s="315" t="e">
        <f>IF(Sheet1!D$192=1,K63-K64,K63+K64)</f>
        <v>#VALUE!</v>
      </c>
      <c r="L65" s="177"/>
      <c r="P65" s="296"/>
      <c r="Q65" s="296"/>
      <c r="R65" s="296"/>
      <c r="S65" s="296"/>
      <c r="T65" s="296"/>
      <c r="AB65" s="261">
        <f>IF(OR(Sheet1!D$192=1,Sheet1!D$194=1),VLOOKUP(1,Sheet1!A148:B179,2),NA())</f>
        <v>1</v>
      </c>
      <c r="AC65" s="261">
        <f>IF(OR(Sheet1!D$192=1,Sheet1!D$194=1),VLOOKUP(Sheet1!D$86,Sheet1!A82:B135,2),NA())</f>
        <v>2024</v>
      </c>
      <c r="AD65" s="317"/>
      <c r="AE65" s="263" t="str">
        <f>IF(AND(Sheet1!D$194=1,AB65&lt;&gt;" "),ROUND(VLOOKUP(AB65,AlternativeB!A$76:M$82,12),Sheet1!D$75),IF(Sheet1!D$194=1," ","Alt  'B'  not feasible"))</f>
        <v>Alt  'B'  not feasible</v>
      </c>
      <c r="AF65" s="264">
        <f>IF(AB65&lt;=Sheet1!D$148,IF(OR(Sheet1!D$8=2,Sheet1!D$8=3),1,ROUND(VLOOKUP(AB65,DiscFactorsLinInterp,HLOOKUP(Sheet1!D$148,DiscLinearInterp,1)),4))," ")</f>
        <v>1</v>
      </c>
      <c r="AG65" s="263" t="str">
        <f>IF(AND(Sheet1!D$194=1,AB65&lt;&gt;" "),ROUND(+AE65*AF65,Sheet1!D$75)," ")</f>
        <v xml:space="preserve"> </v>
      </c>
      <c r="AH65" s="264">
        <f>IF(AB65&lt;&gt;" ",ROUND(VLOOKUP(Sheet1!E$82,CHOOSE(Sheet1!D$213,Inflate1,Inflate2,Inflate3,Inflate4,Inflate5,Inflate6,Inflate7,Inflate8),2),4)," ")</f>
        <v>1</v>
      </c>
      <c r="AI65" s="264">
        <f>IF(AB65&lt;&gt;" ",ROUND(VLOOKUP(AC65,CHOOSE(Sheet1!D$213,Inflate1,Inflate2,Inflate3,Inflate4,Inflate5,Inflate6,Inflate7,Inflate8),3),4)," ")</f>
        <v>1.0225</v>
      </c>
      <c r="AJ65" s="263" t="str">
        <f>IF(AND(Sheet1!D$193=1,AB65&lt;&gt;" "),ROUND((AE65/AH65)*AI65,Sheet1!D$75)," ")</f>
        <v xml:space="preserve"> </v>
      </c>
    </row>
    <row r="66" spans="1:36" ht="12" thickTop="1" x14ac:dyDescent="0.2">
      <c r="A66" s="270"/>
      <c r="B66" s="270"/>
      <c r="D66" s="296"/>
      <c r="E66" s="296"/>
      <c r="F66" s="270"/>
      <c r="G66" s="304"/>
      <c r="H66" s="303" t="str">
        <f>IF(Sheet1!D$192=1,IF(OR(Sheet1!D$8=2,Sheet1!D$8=3),"  ^  Net Benefits  ^","^ Net Present Value^"),"^Project Total Cost^")</f>
        <v>^ Net Present Value^</v>
      </c>
      <c r="I66" s="310"/>
      <c r="J66" s="304"/>
      <c r="K66" s="260"/>
      <c r="L66" s="177"/>
      <c r="P66" s="296"/>
      <c r="Q66" s="296"/>
      <c r="R66" s="296"/>
      <c r="S66" s="296"/>
      <c r="T66" s="296"/>
      <c r="AB66" s="271" t="str">
        <f>IF(OR(Sheet1!D$192=1,Sheet1!D$194=1),IF(OR((AB65&gt;=(Sheet1!D$148+$A$11)-1),AND(Sheet1!D$8=3,AB65&gt;=6))," ",AB65+1),NA())</f>
        <v xml:space="preserve"> </v>
      </c>
      <c r="AC66" s="271" t="str">
        <f>IF(OR(Sheet1!D$192=1,Sheet1!D$194=1),IF(OR((AC65&gt;=(Sheet1!D$148+$B$11)-1),AND(Sheet1!D$8=3,AB65&gt;=6))," ",AC65+1),NA())</f>
        <v xml:space="preserve"> </v>
      </c>
      <c r="AD66" s="262"/>
      <c r="AE66" s="263" t="str">
        <f>IF(AND(Sheet1!D$194=1,AB66&lt;&gt;" "),ROUND(VLOOKUP(AB66,AlternativeB!A$76:M$82,12),Sheet1!D$75),IF(Sheet1!D$194=1," ","Alt  'B'  not feasible"))</f>
        <v>Alt  'B'  not feasible</v>
      </c>
      <c r="AF66" s="264" t="str">
        <f>IF(AB66&lt;=Sheet1!D$148,IF(OR(Sheet1!D$8=2,Sheet1!D$8=3),1,ROUND(VLOOKUP(AB66,DiscFactorsLinInterp,HLOOKUP(Sheet1!D$148,DiscLinearInterp,1)),4))," ")</f>
        <v xml:space="preserve"> </v>
      </c>
      <c r="AG66" s="263" t="str">
        <f>IF(AND(Sheet1!D$194=1,AB66&lt;&gt;" "),ROUND(+AE66*AF66,Sheet1!D$75)," ")</f>
        <v xml:space="preserve"> </v>
      </c>
      <c r="AH66" s="264" t="str">
        <f>IF(AB66&lt;&gt;" ",ROUND(VLOOKUP(Sheet1!E$82,CHOOSE(Sheet1!D$213,Inflate1,Inflate2,Inflate3,Inflate4,Inflate5,Inflate6,Inflate7,Inflate8),2),4)," ")</f>
        <v xml:space="preserve"> </v>
      </c>
      <c r="AI66" s="264" t="str">
        <f>IF(AB66&lt;&gt;" ",ROUND(VLOOKUP(AC66,CHOOSE(Sheet1!D$213,Inflate1,Inflate2,Inflate3,Inflate4,Inflate5,Inflate6,Inflate7,Inflate8),3),4)," ")</f>
        <v xml:space="preserve"> </v>
      </c>
      <c r="AJ66" s="263" t="str">
        <f>IF(AND(Sheet1!D$193=1,AB66&lt;&gt;" "),ROUND((AE66/AH66)*AI66,Sheet1!D$75)," ")</f>
        <v xml:space="preserve"> </v>
      </c>
    </row>
    <row r="67" spans="1:36" ht="11.4" x14ac:dyDescent="0.2">
      <c r="A67" s="270"/>
      <c r="B67" s="270"/>
      <c r="D67" s="296"/>
      <c r="E67" s="296"/>
      <c r="F67" s="270"/>
      <c r="G67" s="304"/>
      <c r="H67" s="296"/>
      <c r="I67" s="310"/>
      <c r="J67" s="304"/>
      <c r="K67" s="260"/>
      <c r="L67" s="177"/>
      <c r="P67" s="296"/>
      <c r="Q67" s="296"/>
      <c r="R67" s="296"/>
      <c r="S67" s="296"/>
      <c r="T67" s="296"/>
      <c r="AB67" s="271" t="str">
        <f>IF(OR(Sheet1!D$192=1,Sheet1!D$194=1),IF(OR((AB66&gt;=(Sheet1!D$148+$A$11)-1),AND(Sheet1!D$8=3,AB66&gt;=6))," ",AB66+1),NA())</f>
        <v xml:space="preserve"> </v>
      </c>
      <c r="AC67" s="271" t="str">
        <f>IF(OR(Sheet1!D$192=1,Sheet1!D$194=1),IF(OR((AC66&gt;=(Sheet1!D$148+$B$11)-1),AND(Sheet1!D$8=3,AB66&gt;=6))," ",AC66+1),NA())</f>
        <v xml:space="preserve"> </v>
      </c>
      <c r="AD67" s="262"/>
      <c r="AE67" s="263" t="str">
        <f>IF(AND(Sheet1!D$194=1,AB67&lt;&gt;" "),ROUND(VLOOKUP(AB67,AlternativeB!A$76:M$82,12),Sheet1!D$75),IF(Sheet1!D$194=1," ","Alt  'B'  not feasible"))</f>
        <v>Alt  'B'  not feasible</v>
      </c>
      <c r="AF67" s="264" t="str">
        <f>IF(AB67&lt;=Sheet1!D$148,IF(OR(Sheet1!D$8=2,Sheet1!D$8=3),1,ROUND(VLOOKUP(AB67,DiscFactorsLinInterp,HLOOKUP(Sheet1!D$148,DiscLinearInterp,1)),4))," ")</f>
        <v xml:space="preserve"> </v>
      </c>
      <c r="AG67" s="263" t="str">
        <f>IF(AND(Sheet1!D$194=1,AB67&lt;&gt;" "),ROUND(+AE67*AF67,Sheet1!D$75)," ")</f>
        <v xml:space="preserve"> </v>
      </c>
      <c r="AH67" s="264" t="str">
        <f>IF(AB67&lt;&gt;" ",ROUND(VLOOKUP(Sheet1!E$82,CHOOSE(Sheet1!D$213,Inflate1,Inflate2,Inflate3,Inflate4,Inflate5,Inflate6,Inflate7,Inflate8),2),4)," ")</f>
        <v xml:space="preserve"> </v>
      </c>
      <c r="AI67" s="264" t="str">
        <f>IF(AB67&lt;&gt;" ",ROUND(VLOOKUP(AC67,CHOOSE(Sheet1!D$213,Inflate1,Inflate2,Inflate3,Inflate4,Inflate5,Inflate6,Inflate7,Inflate8),3),4)," ")</f>
        <v xml:space="preserve"> </v>
      </c>
      <c r="AJ67" s="263" t="str">
        <f>IF(AND(Sheet1!D$193=1,AB67&lt;&gt;" "),ROUND((AE67/AH67)*AI67,Sheet1!D$75)," ")</f>
        <v xml:space="preserve"> </v>
      </c>
    </row>
    <row r="68" spans="1:36" ht="13.2" x14ac:dyDescent="0.25">
      <c r="A68" s="316"/>
      <c r="B68" s="316"/>
      <c r="C68" s="316"/>
      <c r="D68" s="316"/>
      <c r="E68" s="316"/>
      <c r="F68" s="316"/>
      <c r="G68" s="316"/>
      <c r="H68" s="316"/>
      <c r="I68" s="316"/>
      <c r="J68" s="316"/>
      <c r="K68" s="316"/>
      <c r="L68" s="177"/>
      <c r="P68" s="296"/>
      <c r="Q68" s="296"/>
      <c r="R68" s="296"/>
      <c r="S68" s="296"/>
      <c r="T68" s="296"/>
      <c r="AB68" s="271" t="str">
        <f>IF(OR(Sheet1!D$192=1,Sheet1!D$194=1),IF(OR((AB67&gt;=(Sheet1!D$148+$A$11)-1),AND(Sheet1!D$8=3,AB67&gt;=6))," ",AB67+1),NA())</f>
        <v xml:space="preserve"> </v>
      </c>
      <c r="AC68" s="271" t="str">
        <f>IF(OR(Sheet1!D$192=1,Sheet1!D$194=1),IF(OR((AC67&gt;=(Sheet1!D$148+$B$11)-1),AND(Sheet1!D$8=3,AB67&gt;=6))," ",AC67+1),NA())</f>
        <v xml:space="preserve"> </v>
      </c>
      <c r="AD68" s="262"/>
      <c r="AE68" s="263" t="str">
        <f>IF(AND(Sheet1!D$194=1,AB68&lt;&gt;" "),ROUND(VLOOKUP(AB68,AlternativeB!A$76:M$82,12),Sheet1!D$75),IF(Sheet1!D$194=1," ","Alt  'B'  not feasible"))</f>
        <v>Alt  'B'  not feasible</v>
      </c>
      <c r="AF68" s="264" t="str">
        <f>IF(AB68&lt;=Sheet1!D$148,IF(OR(Sheet1!D$8=2,Sheet1!D$8=3),1,ROUND(VLOOKUP(AB68,DiscFactorsLinInterp,HLOOKUP(Sheet1!D$148,DiscLinearInterp,1)),4))," ")</f>
        <v xml:space="preserve"> </v>
      </c>
      <c r="AG68" s="263" t="str">
        <f>IF(AND(Sheet1!D$194=1,AB68&lt;&gt;" "),ROUND(+AE68*AF68,Sheet1!D$75)," ")</f>
        <v xml:space="preserve"> </v>
      </c>
      <c r="AH68" s="264" t="str">
        <f>IF(AB68&lt;&gt;" ",ROUND(VLOOKUP(Sheet1!E$82,CHOOSE(Sheet1!D$213,Inflate1,Inflate2,Inflate3,Inflate4,Inflate5,Inflate6,Inflate7,Inflate8),2),4)," ")</f>
        <v xml:space="preserve"> </v>
      </c>
      <c r="AI68" s="264" t="str">
        <f>IF(AB68&lt;&gt;" ",ROUND(VLOOKUP(AC68,CHOOSE(Sheet1!D$213,Inflate1,Inflate2,Inflate3,Inflate4,Inflate5,Inflate6,Inflate7,Inflate8),3),4)," ")</f>
        <v xml:space="preserve"> </v>
      </c>
      <c r="AJ68" s="263" t="str">
        <f>IF(AND(Sheet1!D$193=1,AB68&lt;&gt;" "),ROUND((AE68/AH68)*AI68,Sheet1!D$75)," ")</f>
        <v xml:space="preserve"> </v>
      </c>
    </row>
    <row r="69" spans="1:36" ht="13.8" thickBot="1" x14ac:dyDescent="0.3">
      <c r="A69" s="316"/>
      <c r="B69" s="316"/>
      <c r="C69" s="316"/>
      <c r="D69" s="316"/>
      <c r="E69" s="316"/>
      <c r="F69" s="316"/>
      <c r="G69" s="316"/>
      <c r="H69" s="316"/>
      <c r="I69" s="316"/>
      <c r="J69" s="316"/>
      <c r="K69" s="316"/>
      <c r="L69" s="177"/>
      <c r="P69" s="296"/>
      <c r="Q69" s="296"/>
      <c r="R69" s="296"/>
      <c r="S69" s="296"/>
      <c r="T69" s="296"/>
      <c r="AB69" s="271" t="str">
        <f>IF(OR(Sheet1!D$192=1,Sheet1!D$194=1),IF(OR((AB68&gt;=(Sheet1!D$148+$A$11)-1),AND(Sheet1!D$8=3,AB68&gt;=6))," ",AB68+1),NA())</f>
        <v xml:space="preserve"> </v>
      </c>
      <c r="AC69" s="271" t="str">
        <f>IF(OR(Sheet1!D$192=1,Sheet1!D$194=1),IF(OR((AC68&gt;=(Sheet1!D$148+$B$11)-1),AND(Sheet1!D$8=3,AB68&gt;=6))," ",AC68+1),NA())</f>
        <v xml:space="preserve"> </v>
      </c>
      <c r="AD69" s="262"/>
      <c r="AE69" s="263" t="str">
        <f>IF(AND(Sheet1!D$194=1,AB69&lt;&gt;" "),ROUND(VLOOKUP(AB69,AlternativeB!A$76:M$82,12),Sheet1!D$75),IF(Sheet1!D$194=1," ","Alt  'B'  not feasible"))</f>
        <v>Alt  'B'  not feasible</v>
      </c>
      <c r="AF69" s="264" t="str">
        <f>IF(AB69&lt;=Sheet1!D$148,IF(OR(Sheet1!D$8=2,Sheet1!D$8=3),1,ROUND(VLOOKUP(AB69,DiscFactorsLinInterp,HLOOKUP(Sheet1!D$148,DiscLinearInterp,1)),4))," ")</f>
        <v xml:space="preserve"> </v>
      </c>
      <c r="AG69" s="263" t="str">
        <f>IF(AND(Sheet1!D$194=1,AB69&lt;&gt;" "),ROUND(+AE69*AF69,Sheet1!D$75)," ")</f>
        <v xml:space="preserve"> </v>
      </c>
      <c r="AH69" s="264" t="str">
        <f>IF(AB69&lt;&gt;" ",ROUND(VLOOKUP(Sheet1!E$82,CHOOSE(Sheet1!D$213,Inflate1,Inflate2,Inflate3,Inflate4,Inflate5,Inflate6,Inflate7,Inflate8),2),4)," ")</f>
        <v xml:space="preserve"> </v>
      </c>
      <c r="AI69" s="264" t="str">
        <f>IF(AB69&lt;&gt;" ",ROUND(VLOOKUP(AC69,CHOOSE(Sheet1!D$213,Inflate1,Inflate2,Inflate3,Inflate4,Inflate5,Inflate6,Inflate7,Inflate8),3),4)," ")</f>
        <v xml:space="preserve"> </v>
      </c>
      <c r="AJ69" s="263" t="str">
        <f>IF(AND(Sheet1!D$193=1,AB69&lt;&gt;" "),ROUND((AE69/AH69)*AI69,Sheet1!D$75)," ")</f>
        <v xml:space="preserve"> </v>
      </c>
    </row>
    <row r="70" spans="1:36" ht="13.8" thickTop="1" x14ac:dyDescent="0.25">
      <c r="A70" s="318" t="str">
        <f>IF(Sheet1!D$192=1,"7.  Summary Information (Status Quo versus Alternative B)","7.  Summary Information (Alternative B)")</f>
        <v>7.  Summary Information (Status Quo versus Alternative B)</v>
      </c>
      <c r="B70" s="319"/>
      <c r="C70" s="320"/>
      <c r="D70" s="321"/>
      <c r="E70" s="321"/>
      <c r="F70" s="319"/>
      <c r="G70" s="322"/>
      <c r="H70" s="321"/>
      <c r="I70" s="323"/>
      <c r="J70" s="322"/>
      <c r="K70" s="324"/>
      <c r="L70" s="325"/>
      <c r="P70" s="296"/>
      <c r="Q70" s="296"/>
      <c r="R70" s="296"/>
      <c r="S70" s="296"/>
      <c r="T70" s="296"/>
      <c r="AB70" s="271" t="str">
        <f>IF(OR(Sheet1!D$192=1,Sheet1!D$194=1),IF(OR((AB69&gt;=(Sheet1!D$148+$A$11)-1),AND(Sheet1!D$8=3,AB69&gt;=6))," ",AB69+1),NA())</f>
        <v xml:space="preserve"> </v>
      </c>
      <c r="AC70" s="271" t="str">
        <f>IF(OR(Sheet1!D$192=1,Sheet1!D$194=1),IF(OR((AC69&gt;=(Sheet1!D$148+$B$11)-1),AND(Sheet1!D$8=3,AB69&gt;=6))," ",AC69+1),NA())</f>
        <v xml:space="preserve"> </v>
      </c>
      <c r="AD70" s="262"/>
      <c r="AE70" s="263" t="str">
        <f>IF(AND(Sheet1!D$194=1,AB70&lt;&gt;" "),ROUND(VLOOKUP(AB70,AlternativeB!A$76:M$82,12),Sheet1!D$75),IF(Sheet1!D$194=1," ","Alt  'B'  not feasible"))</f>
        <v>Alt  'B'  not feasible</v>
      </c>
      <c r="AF70" s="264" t="str">
        <f>IF(AB70&lt;=Sheet1!D$148,IF(OR(Sheet1!D$8=2,Sheet1!D$8=3),1,ROUND(VLOOKUP(AB70,DiscFactorsLinInterp,HLOOKUP(Sheet1!D$148,DiscLinearInterp,1)),4))," ")</f>
        <v xml:space="preserve"> </v>
      </c>
      <c r="AG70" s="263" t="str">
        <f>IF(AND(Sheet1!D$194=1,AB70&lt;&gt;" "),ROUND(+AE70*AF70,Sheet1!D$75)," ")</f>
        <v xml:space="preserve"> </v>
      </c>
      <c r="AH70" s="264" t="str">
        <f>IF(AB70&lt;&gt;" ",ROUND(VLOOKUP(Sheet1!E$82,CHOOSE(Sheet1!D$213,Inflate1,Inflate2,Inflate3,Inflate4,Inflate5,Inflate6,Inflate7,Inflate8),2),4)," ")</f>
        <v xml:space="preserve"> </v>
      </c>
      <c r="AI70" s="264" t="str">
        <f>IF(AB70&lt;&gt;" ",ROUND(VLOOKUP(AC70,CHOOSE(Sheet1!D$213,Inflate1,Inflate2,Inflate3,Inflate4,Inflate5,Inflate6,Inflate7,Inflate8),3),4)," ")</f>
        <v xml:space="preserve"> </v>
      </c>
      <c r="AJ70" s="263" t="str">
        <f>IF(AND(Sheet1!D$193=1,AB70&lt;&gt;" "),ROUND((AE70/AH70)*AI70,Sheet1!D$75)," ")</f>
        <v xml:space="preserve"> </v>
      </c>
    </row>
    <row r="71" spans="1:36" ht="13.2" x14ac:dyDescent="0.25">
      <c r="A71" s="326"/>
      <c r="B71" s="270"/>
      <c r="D71" s="296"/>
      <c r="E71" s="296"/>
      <c r="F71" s="270"/>
      <c r="G71" s="304"/>
      <c r="H71" s="296"/>
      <c r="I71" s="310"/>
      <c r="J71" s="304"/>
      <c r="K71" s="327"/>
      <c r="L71" s="325"/>
      <c r="P71" s="296"/>
      <c r="Q71" s="296"/>
      <c r="R71" s="296"/>
      <c r="S71" s="296"/>
      <c r="T71" s="296"/>
      <c r="AB71" s="271" t="str">
        <f>IF(OR(Sheet1!D$192=1,Sheet1!D$194=1),IF(OR((AB70&gt;=(Sheet1!D$148+$A$11)-1),AND(Sheet1!D$8=3,AB70&gt;=6))," ",AB70+1),NA())</f>
        <v xml:space="preserve"> </v>
      </c>
      <c r="AC71" s="271" t="str">
        <f>IF(OR(Sheet1!D$192=1,Sheet1!D$194=1),IF(OR((AC70&gt;=(Sheet1!D$148+$B$11)-1),AND(Sheet1!D$8=3,AB70&gt;=6))," ",AC70+1),NA())</f>
        <v xml:space="preserve"> </v>
      </c>
      <c r="AD71" s="328"/>
      <c r="AE71" s="263" t="str">
        <f>IF(AND(Sheet1!D$194=1,AB71&lt;&gt;" "),ROUND(VLOOKUP(AB71,AlternativeB!A$76:M$82,12),Sheet1!D$75),IF(Sheet1!D$194=1," ","Alt  'B'  not feasible"))</f>
        <v>Alt  'B'  not feasible</v>
      </c>
      <c r="AF71" s="264" t="str">
        <f>IF(AB71&lt;=Sheet1!D$148,IF(OR(Sheet1!D$8=2,Sheet1!D$8=3),1,ROUND(VLOOKUP(AB71,DiscFactorsLinInterp,HLOOKUP(Sheet1!D$148,DiscLinearInterp,1)),4))," ")</f>
        <v xml:space="preserve"> </v>
      </c>
      <c r="AG71" s="263" t="str">
        <f>IF(AND(Sheet1!D$194=1,AB71&lt;&gt;" "),ROUND(+AE71*AF71,Sheet1!D$75)," ")</f>
        <v xml:space="preserve"> </v>
      </c>
      <c r="AH71" s="264" t="str">
        <f>IF(AB71&lt;&gt;" ",ROUND(VLOOKUP(Sheet1!E$82,CHOOSE(Sheet1!D$213,Inflate1,Inflate2,Inflate3,Inflate4,Inflate5,Inflate6,Inflate7,Inflate8),2),4)," ")</f>
        <v xml:space="preserve"> </v>
      </c>
      <c r="AI71" s="264" t="str">
        <f>IF(AB71&lt;&gt;" ",ROUND(VLOOKUP(AC71,CHOOSE(Sheet1!D$213,Inflate1,Inflate2,Inflate3,Inflate4,Inflate5,Inflate6,Inflate7,Inflate8),3),4)," ")</f>
        <v xml:space="preserve"> </v>
      </c>
      <c r="AJ71" s="263" t="str">
        <f>IF(AND(Sheet1!D$193=1,AB71&lt;&gt;" "),ROUND((AE71/AH71)*AI71,Sheet1!D$75)," ")</f>
        <v xml:space="preserve"> </v>
      </c>
    </row>
    <row r="72" spans="1:36" ht="13.2" x14ac:dyDescent="0.25">
      <c r="A72" s="329"/>
      <c r="B72" s="316"/>
      <c r="C72" s="330" t="str">
        <f>IF(Sheet1!D$192=1,"o    TOTAL BENEFITS  "," ")</f>
        <v xml:space="preserve">o    TOTAL BENEFITS  </v>
      </c>
      <c r="D72" s="316"/>
      <c r="E72" s="296"/>
      <c r="F72" s="270"/>
      <c r="G72" s="304"/>
      <c r="H72" s="260">
        <f>IF(Sheet1!D$192=1,K63," ")</f>
        <v>0</v>
      </c>
      <c r="I72" s="310" t="str">
        <f>IF(Sheet1!D$192=1,"(Current Dollars)"," ")</f>
        <v>(Current Dollars)</v>
      </c>
      <c r="J72" s="316"/>
      <c r="K72" s="331" t="str">
        <f>IF(Sheet1!D$192=1,"(block 6j.)"," ")</f>
        <v>(block 6j.)</v>
      </c>
      <c r="L72" s="325"/>
      <c r="P72" s="296"/>
      <c r="Q72" s="296"/>
      <c r="R72" s="296"/>
      <c r="S72" s="296"/>
      <c r="T72" s="296"/>
      <c r="AB72" s="297" t="s">
        <v>314</v>
      </c>
      <c r="AC72" s="298"/>
      <c r="AD72" s="299"/>
      <c r="AE72" s="265"/>
      <c r="AF72" s="289"/>
      <c r="AG72" s="265"/>
      <c r="AH72" s="289"/>
      <c r="AI72" s="289"/>
      <c r="AJ72" s="265"/>
    </row>
    <row r="73" spans="1:36" ht="13.2" x14ac:dyDescent="0.25">
      <c r="A73" s="329"/>
      <c r="B73" s="316"/>
      <c r="C73" s="330" t="str">
        <f>IF(Sheet1!D$192=1,"o    NEW INVESTMENT COST","o    NEW INVESTMENT COST")</f>
        <v>o    NEW INVESTMENT COST</v>
      </c>
      <c r="D73" s="316"/>
      <c r="E73" s="296"/>
      <c r="F73" s="270"/>
      <c r="G73" s="304"/>
      <c r="H73" s="260">
        <f>IF(OR(Sheet1!D$192=1,Sheet1!D$194=1),AJ61," ")</f>
        <v>0</v>
      </c>
      <c r="I73" s="310" t="str">
        <f>IF(Sheet1!D$192=1,"(Current Dollars)","(Current Dollars) ")</f>
        <v>(Current Dollars)</v>
      </c>
      <c r="J73" s="316"/>
      <c r="K73" s="331" t="str">
        <f>IF(Sheet1!D$192=1,"(block A8.)",IF(Sheet1!D$194=1,"(block A8.)"," "))</f>
        <v>(block A8.)</v>
      </c>
      <c r="L73" s="325"/>
      <c r="P73" s="296"/>
      <c r="Q73" s="296"/>
      <c r="R73" s="296"/>
      <c r="S73" s="296"/>
      <c r="T73" s="296"/>
      <c r="AB73" s="311" t="s">
        <v>318</v>
      </c>
      <c r="AC73" s="312"/>
      <c r="AD73" s="313"/>
      <c r="AE73" s="265"/>
      <c r="AF73" s="314"/>
      <c r="AG73" s="265"/>
      <c r="AH73" s="314"/>
      <c r="AI73" s="314"/>
      <c r="AJ73" s="265"/>
    </row>
    <row r="74" spans="1:36" ht="13.2" x14ac:dyDescent="0.25">
      <c r="A74" s="329"/>
      <c r="B74" s="316"/>
      <c r="C74" s="330" t="str">
        <f>IF(Sheet1!D$192=1,IF(OR(Sheet1!D$8=2,Sheet1!D$8=3),"o    NET BENEFITS","o    NET PRESENT VALUE "),IF(OR(Sheet1!D$8=2,Sheet1!D$8=3),"o    NET VALUE OF PROJ TOTAL COST","o    PRESENT VALUE OF PROJ TOTAL COST"))</f>
        <v xml:space="preserve">o    NET PRESENT VALUE </v>
      </c>
      <c r="D74" s="316"/>
      <c r="E74" s="296"/>
      <c r="F74" s="270"/>
      <c r="G74" s="304"/>
      <c r="H74" s="260" t="str">
        <f>IF(OR(Sheet1!D$192=1,Sheet1!D$194=1),H65," ")</f>
        <v>Alt  'B'  not feasible</v>
      </c>
      <c r="I74" s="310" t="str">
        <f>IF(Sheet1!D$192=1,IF(OR(Sheet1!D$8=2,Sheet1!D$8=3),"(Constant Dollars)","(Discounted Dollars)"),IF(OR(Sheet1!D$8=2,Sheet1!D$8=3),"(Constant Dollars)","(Discounted Dollars)"))</f>
        <v>(Discounted Dollars)</v>
      </c>
      <c r="J74" s="316"/>
      <c r="K74" s="331" t="str">
        <f>IF(Sheet1!D$192=1,"(block 6g.)",IF(Sheet1!D$194=1,"(block 6e.)"," "))</f>
        <v>(block 6g.)</v>
      </c>
      <c r="L74" s="177"/>
      <c r="P74" s="296"/>
      <c r="Q74" s="296"/>
      <c r="R74" s="296"/>
      <c r="S74" s="296"/>
      <c r="T74" s="296"/>
      <c r="AB74" s="261">
        <f>IF(OR(Sheet1!D$192=1,Sheet1!D$194=1),VLOOKUP(1,Sheet1!A148:B179,2),NA())</f>
        <v>1</v>
      </c>
      <c r="AC74" s="261">
        <f>IF(OR(Sheet1!D$192=1,Sheet1!D$194=1),VLOOKUP(Sheet1!D$86,Sheet1!A82:B135,2),NA())</f>
        <v>2024</v>
      </c>
      <c r="AD74" s="317"/>
      <c r="AE74" s="263" t="str">
        <f>IF(AND(Sheet1!D$194=1,AB74&lt;&gt;" "),ROUND(VLOOKUP(AB74,AlternativeB!A$92:M$98,12),Sheet1!D$75),IF(Sheet1!D$194=1," ","Alt  'B'  not feasible"))</f>
        <v>Alt  'B'  not feasible</v>
      </c>
      <c r="AF74" s="264">
        <f>IF(AB74&lt;=Sheet1!D$148,IF(OR(Sheet1!D$8=2,Sheet1!D$8=3),1,ROUND(VLOOKUP(AB74,DiscFactorsLinInterp,HLOOKUP(Sheet1!D$148,DiscLinearInterp,1)),4))," ")</f>
        <v>1</v>
      </c>
      <c r="AG74" s="263" t="str">
        <f>IF(AND(Sheet1!D$194=1,AB74&lt;&gt;" "),ROUND(+AE74*AF74,Sheet1!D$75)," ")</f>
        <v xml:space="preserve"> </v>
      </c>
      <c r="AH74" s="264">
        <f>IF(AB74&lt;&gt;" ",ROUND(VLOOKUP(Sheet1!E$82,CHOOSE(Sheet1!D$213,Inflate1,Inflate2,Inflate3,Inflate4,Inflate5,Inflate6,Inflate7,Inflate8),2),4)," ")</f>
        <v>1</v>
      </c>
      <c r="AI74" s="264">
        <f>IF(AB74&lt;&gt;" ",ROUND(VLOOKUP(AC74,CHOOSE(Sheet1!D$213,Inflate1,Inflate2,Inflate3,Inflate4,Inflate5,Inflate6,Inflate7,Inflate8),3),4)," ")</f>
        <v>1.0225</v>
      </c>
      <c r="AJ74" s="263" t="str">
        <f>IF(AND(Sheet1!D$193=1,AB74&lt;&gt;" "),ROUND((AE74/AH74)*AI74,Sheet1!D$75)," ")</f>
        <v xml:space="preserve"> </v>
      </c>
    </row>
    <row r="75" spans="1:36" ht="13.2" x14ac:dyDescent="0.25">
      <c r="A75" s="329"/>
      <c r="B75" s="316"/>
      <c r="C75" s="330" t="str">
        <f>IF(Sheet1!D$192=1,IF(OR(Sheet1!D$8=2,Sheet1!D$8=3),"o    BENEFIT TO INVESTMENT RATIO (BIR) (Constant Dollars)","o    BENEFIT TO INVESTMENT RATIO (BIR) (Discounted Dollars)"),IF(OR(Sheet1!D$8=2,Sheet1!D$8=3),"      This cost comparison is limited to a maximum 6 year evaluation period(unless project life &lt; 6 years)"," "))</f>
        <v>o    BENEFIT TO INVESTMENT RATIO (BIR) (Discounted Dollars)</v>
      </c>
      <c r="D75" s="316"/>
      <c r="E75" s="296"/>
      <c r="F75" s="270"/>
      <c r="G75" s="304"/>
      <c r="H75" s="332"/>
      <c r="I75" s="310"/>
      <c r="J75" s="316"/>
      <c r="K75" s="333"/>
      <c r="L75" s="177"/>
      <c r="P75" s="296"/>
      <c r="Q75" s="296"/>
      <c r="R75" s="296"/>
      <c r="S75" s="296"/>
      <c r="T75" s="296"/>
      <c r="AB75" s="271" t="str">
        <f>IF(OR(Sheet1!D$192=1,Sheet1!D$194=1),IF(OR((AB74&gt;=(Sheet1!D$148+$A$11)-1),AND(Sheet1!D$8=3,AB74&gt;=6))," ",AB74+1),NA())</f>
        <v xml:space="preserve"> </v>
      </c>
      <c r="AC75" s="271" t="str">
        <f>IF(OR(Sheet1!D$192=1,Sheet1!D$194=1),IF(OR((AC74&gt;=(Sheet1!D$148+$B$11)-1),AND(Sheet1!D$8=3,AB74&gt;=6))," ",AC74+1),NA())</f>
        <v xml:space="preserve"> </v>
      </c>
      <c r="AD75" s="262"/>
      <c r="AE75" s="263" t="str">
        <f>IF(AND(Sheet1!D$194=1,AB75&lt;&gt;" "),ROUND(VLOOKUP(AB75,AlternativeB!A$92:M$98,12),Sheet1!D$75),IF(Sheet1!D$194=1," ","Alt  'B'  not feasible"))</f>
        <v>Alt  'B'  not feasible</v>
      </c>
      <c r="AF75" s="264" t="str">
        <f>IF(AB75&lt;=Sheet1!D$148,IF(OR(Sheet1!D$8=2,Sheet1!D$8=3),1,ROUND(VLOOKUP(AB75,DiscFactorsLinInterp,HLOOKUP(Sheet1!D$148,DiscLinearInterp,1)),4))," ")</f>
        <v xml:space="preserve"> </v>
      </c>
      <c r="AG75" s="263" t="str">
        <f>IF(AND(Sheet1!D$194=1,AB75&lt;&gt;" "),ROUND(+AE75*AF75,Sheet1!D$75)," ")</f>
        <v xml:space="preserve"> </v>
      </c>
      <c r="AH75" s="264" t="str">
        <f>IF(AB75&lt;&gt;" ",ROUND(VLOOKUP(Sheet1!E$82,CHOOSE(Sheet1!D$213,Inflate1,Inflate2,Inflate3,Inflate4,Inflate5,Inflate6,Inflate7,Inflate8),2),4)," ")</f>
        <v xml:space="preserve"> </v>
      </c>
      <c r="AI75" s="264" t="str">
        <f>IF(AB75&lt;&gt;" ",ROUND(VLOOKUP(AC75,CHOOSE(Sheet1!D$213,Inflate1,Inflate2,Inflate3,Inflate4,Inflate5,Inflate6,Inflate7,Inflate8),3),4)," ")</f>
        <v xml:space="preserve"> </v>
      </c>
      <c r="AJ75" s="263" t="str">
        <f>IF(AND(Sheet1!D$193=1,AB75&lt;&gt;" "),ROUND((AE75/AH75)*AI75,Sheet1!D$75)," ")</f>
        <v xml:space="preserve"> </v>
      </c>
    </row>
    <row r="76" spans="1:36" ht="13.2" x14ac:dyDescent="0.25">
      <c r="A76" s="329"/>
      <c r="B76" s="316"/>
      <c r="C76" s="334" t="str">
        <f>IF(Sheet1!D$192=1,IF(Sheet1!D$8=3,"      BIR limited to 6 year evaluation period (unless project life is &lt; 6 years)","      BIR based on entire project life ")," ")</f>
        <v xml:space="preserve">      BIR based on entire project life </v>
      </c>
      <c r="D76" s="316"/>
      <c r="E76" s="296"/>
      <c r="F76" s="270"/>
      <c r="G76" s="304"/>
      <c r="H76" s="296"/>
      <c r="I76" s="310"/>
      <c r="J76" s="304"/>
      <c r="K76" s="327"/>
      <c r="L76" s="177"/>
      <c r="P76" s="296"/>
      <c r="Q76" s="296"/>
      <c r="R76" s="296"/>
      <c r="S76" s="296"/>
      <c r="T76" s="296"/>
      <c r="AB76" s="271" t="str">
        <f>IF(OR(Sheet1!D$192=1,Sheet1!D$194=1),IF(OR((AB75&gt;=(Sheet1!D$148+$A$11)-1),AND(Sheet1!D$8=3,AB75&gt;=6))," ",AB75+1),NA())</f>
        <v xml:space="preserve"> </v>
      </c>
      <c r="AC76" s="271" t="str">
        <f>IF(OR(Sheet1!D$192=1,Sheet1!D$194=1),IF(OR((AC75&gt;=(Sheet1!D$148+$B$11)-1),AND(Sheet1!D$8=3,AB75&gt;=6))," ",AC75+1),NA())</f>
        <v xml:space="preserve"> </v>
      </c>
      <c r="AD76" s="262"/>
      <c r="AE76" s="263" t="str">
        <f>IF(AND(Sheet1!D$194=1,AB76&lt;&gt;" "),ROUND(VLOOKUP(AB76,AlternativeB!A$92:M$98,12),Sheet1!D$75),IF(Sheet1!D$194=1," ","Alt  'B'  not feasible"))</f>
        <v>Alt  'B'  not feasible</v>
      </c>
      <c r="AF76" s="264" t="str">
        <f>IF(AB76&lt;=Sheet1!D$148,IF(OR(Sheet1!D$8=2,Sheet1!D$8=3),1,ROUND(VLOOKUP(AB76,DiscFactorsLinInterp,HLOOKUP(Sheet1!D$148,DiscLinearInterp,1)),4))," ")</f>
        <v xml:space="preserve"> </v>
      </c>
      <c r="AG76" s="263" t="str">
        <f>IF(AND(Sheet1!D$194=1,AB76&lt;&gt;" "),ROUND(+AE76*AF76,Sheet1!D$75)," ")</f>
        <v xml:space="preserve"> </v>
      </c>
      <c r="AH76" s="264" t="str">
        <f>IF(AB76&lt;&gt;" ",ROUND(VLOOKUP(Sheet1!E$82,CHOOSE(Sheet1!D$213,Inflate1,Inflate2,Inflate3,Inflate4,Inflate5,Inflate6,Inflate7,Inflate8),2),4)," ")</f>
        <v xml:space="preserve"> </v>
      </c>
      <c r="AI76" s="264" t="str">
        <f>IF(AB76&lt;&gt;" ",ROUND(VLOOKUP(AC76,CHOOSE(Sheet1!D$213,Inflate1,Inflate2,Inflate3,Inflate4,Inflate5,Inflate6,Inflate7,Inflate8),3),4)," ")</f>
        <v xml:space="preserve"> </v>
      </c>
      <c r="AJ76" s="263" t="str">
        <f>IF(AND(Sheet1!D$193=1,AB76&lt;&gt;" "),ROUND((AE76/AH76)*AI76,Sheet1!D$75)," ")</f>
        <v xml:space="preserve"> </v>
      </c>
    </row>
    <row r="77" spans="1:36" ht="13.2" x14ac:dyDescent="0.25">
      <c r="A77" s="329"/>
      <c r="B77" s="316"/>
      <c r="C77" s="316"/>
      <c r="D77" s="316"/>
      <c r="E77" s="270" t="str">
        <f>IF(Sheet1!D$192=1,"      Benefits ","BIR not applicable since")</f>
        <v xml:space="preserve">      Benefits </v>
      </c>
      <c r="F77" s="316"/>
      <c r="G77" s="316"/>
      <c r="H77" s="260">
        <f>IF(Sheet1!D$192=1,H63," ")</f>
        <v>0</v>
      </c>
      <c r="I77" s="310" t="str">
        <f>IF(Sheet1!D$192=1,IF(OR(Sheet1!D$8=2,Sheet1!D$8=3),"Constant Dollars","(Discounted Dollars)")," ")</f>
        <v>(Discounted Dollars)</v>
      </c>
      <c r="J77" s="304"/>
      <c r="K77" s="335" t="str">
        <f>IF(Sheet1!D$192=1,IF(OR(Sheet1!D$8=2,Sheet1!D$8=3),"(block 6g.)","(block 6g.)")," ")</f>
        <v>(block 6g.)</v>
      </c>
      <c r="L77" s="177"/>
      <c r="P77" s="296"/>
      <c r="Q77" s="296"/>
      <c r="R77" s="296"/>
      <c r="S77" s="296"/>
      <c r="T77" s="296"/>
      <c r="AB77" s="271" t="str">
        <f>IF(OR(Sheet1!D$192=1,Sheet1!D$194=1),IF(OR((AB76&gt;=(Sheet1!D$148+$A$11)-1),AND(Sheet1!D$8=3,AB76&gt;=6))," ",AB76+1),NA())</f>
        <v xml:space="preserve"> </v>
      </c>
      <c r="AC77" s="271" t="str">
        <f>IF(OR(Sheet1!D$192=1,Sheet1!D$194=1),IF(OR((AC76&gt;=(Sheet1!D$148+$B$11)-1),AND(Sheet1!D$8=3,AB76&gt;=6))," ",AC76+1),NA())</f>
        <v xml:space="preserve"> </v>
      </c>
      <c r="AD77" s="262"/>
      <c r="AE77" s="263" t="str">
        <f>IF(AND(Sheet1!D$194=1,AB77&lt;&gt;" "),ROUND(VLOOKUP(AB77,AlternativeB!A$92:M$98,12),Sheet1!D$75),IF(Sheet1!D$194=1," ","Alt  'B'  not feasible"))</f>
        <v>Alt  'B'  not feasible</v>
      </c>
      <c r="AF77" s="264" t="str">
        <f>IF(AB77&lt;=Sheet1!D$148,IF(OR(Sheet1!D$8=2,Sheet1!D$8=3),1,ROUND(VLOOKUP(AB77,DiscFactorsLinInterp,HLOOKUP(Sheet1!D$148,DiscLinearInterp,1)),4))," ")</f>
        <v xml:space="preserve"> </v>
      </c>
      <c r="AG77" s="263" t="str">
        <f>IF(AND(Sheet1!D$194=1,AB77&lt;&gt;" "),ROUND(+AE77*AF77,Sheet1!D$75)," ")</f>
        <v xml:space="preserve"> </v>
      </c>
      <c r="AH77" s="264" t="str">
        <f>IF(AB77&lt;&gt;" ",ROUND(VLOOKUP(Sheet1!E$82,CHOOSE(Sheet1!D$213,Inflate1,Inflate2,Inflate3,Inflate4,Inflate5,Inflate6,Inflate7,Inflate8),2),4)," ")</f>
        <v xml:space="preserve"> </v>
      </c>
      <c r="AI77" s="264" t="str">
        <f>IF(AB77&lt;&gt;" ",ROUND(VLOOKUP(AC77,CHOOSE(Sheet1!D$213,Inflate1,Inflate2,Inflate3,Inflate4,Inflate5,Inflate6,Inflate7,Inflate8),3),4)," ")</f>
        <v xml:space="preserve"> </v>
      </c>
      <c r="AJ77" s="263" t="str">
        <f>IF(AND(Sheet1!D$193=1,AB77&lt;&gt;" "),ROUND((AE77/AH77)*AI77,Sheet1!D$75)," ")</f>
        <v xml:space="preserve"> </v>
      </c>
    </row>
    <row r="78" spans="1:36" ht="13.2" x14ac:dyDescent="0.25">
      <c r="A78" s="329"/>
      <c r="B78" s="316"/>
      <c r="C78" s="316"/>
      <c r="D78" s="316"/>
      <c r="E78" s="171" t="str">
        <f>IF(Sheet1!D$192=1," /     Adjusted Investment Cost","     Status Quo Not Feasible ")</f>
        <v xml:space="preserve"> /     Adjusted Investment Cost</v>
      </c>
      <c r="F78" s="316"/>
      <c r="G78" s="316"/>
      <c r="H78" s="260">
        <f>IF(Sheet1!D$192=1,AG81," ")</f>
        <v>0</v>
      </c>
      <c r="I78" s="310" t="str">
        <f>IF(Sheet1!D$192=1,IF(OR(Sheet1!D$8=2,Sheet1!D$8=3),"Constant Dollars","(Discounted Dollars)")," ")</f>
        <v>(Discounted Dollars)</v>
      </c>
      <c r="J78" s="304"/>
      <c r="K78" s="335" t="str">
        <f>IF(Sheet1!D$192=1,IF(OR(Sheet1!D$8=2,Sheet1!D$8=3),"(block A5.)","(block A5.)")," ")</f>
        <v>(block A5.)</v>
      </c>
      <c r="L78" s="177"/>
      <c r="P78" s="296"/>
      <c r="Q78" s="296"/>
      <c r="R78" s="296"/>
      <c r="S78" s="296"/>
      <c r="T78" s="296"/>
      <c r="AB78" s="271" t="str">
        <f>IF(OR(Sheet1!D$192=1,Sheet1!D$194=1),IF(OR((AB77&gt;=(Sheet1!D$148+$A$11)-1),AND(Sheet1!D$8=3,AB77&gt;=6))," ",AB77+1),NA())</f>
        <v xml:space="preserve"> </v>
      </c>
      <c r="AC78" s="271" t="str">
        <f>IF(OR(Sheet1!D$192=1,Sheet1!D$194=1),IF(OR((AC77&gt;=(Sheet1!D$148+$B$11)-1),AND(Sheet1!D$8=3,AB77&gt;=6))," ",AC77+1),NA())</f>
        <v xml:space="preserve"> </v>
      </c>
      <c r="AD78" s="262"/>
      <c r="AE78" s="263" t="str">
        <f>IF(AND(Sheet1!D$194=1,AB78&lt;&gt;" "),ROUND(VLOOKUP(AB78,AlternativeB!A$92:M$98,12),Sheet1!D$75),IF(Sheet1!D$194=1," ","Alt  'B'  not feasible"))</f>
        <v>Alt  'B'  not feasible</v>
      </c>
      <c r="AF78" s="264" t="str">
        <f>IF(AB78&lt;=Sheet1!D$148,IF(OR(Sheet1!D$8=2,Sheet1!D$8=3),1,ROUND(VLOOKUP(AB78,DiscFactorsLinInterp,HLOOKUP(Sheet1!D$148,DiscLinearInterp,1)),4))," ")</f>
        <v xml:space="preserve"> </v>
      </c>
      <c r="AG78" s="263" t="str">
        <f>IF(AND(Sheet1!D$194=1,AB78&lt;&gt;" "),ROUND(+AE78*AF78,Sheet1!D$75)," ")</f>
        <v xml:space="preserve"> </v>
      </c>
      <c r="AH78" s="264" t="str">
        <f>IF(AB78&lt;&gt;" ",ROUND(VLOOKUP(Sheet1!E$82,CHOOSE(Sheet1!D$213,Inflate1,Inflate2,Inflate3,Inflate4,Inflate5,Inflate6,Inflate7,Inflate8),2),4)," ")</f>
        <v xml:space="preserve"> </v>
      </c>
      <c r="AI78" s="264" t="str">
        <f>IF(AB78&lt;&gt;" ",ROUND(VLOOKUP(AC78,CHOOSE(Sheet1!D$213,Inflate1,Inflate2,Inflate3,Inflate4,Inflate5,Inflate6,Inflate7,Inflate8),3),4)," ")</f>
        <v xml:space="preserve"> </v>
      </c>
      <c r="AJ78" s="263" t="str">
        <f>IF(AND(Sheet1!D$193=1,AB78&lt;&gt;" "),ROUND((AE78/AH78)*AI78,Sheet1!D$75)," ")</f>
        <v xml:space="preserve"> </v>
      </c>
    </row>
    <row r="79" spans="1:36" ht="13.2" x14ac:dyDescent="0.25">
      <c r="A79" s="329"/>
      <c r="B79" s="316"/>
      <c r="D79" s="316"/>
      <c r="E79" s="296"/>
      <c r="F79" s="316"/>
      <c r="G79" s="316"/>
      <c r="H79" s="336" t="str">
        <f>IF(Sheet1!D$192=1,IF(H78=0,"n/a",+H77/H78)," ")</f>
        <v>n/a</v>
      </c>
      <c r="I79" s="337" t="str">
        <f>IF(Sheet1!D$192=1,"(BIR)"," ")</f>
        <v>(BIR)</v>
      </c>
      <c r="J79" s="304"/>
      <c r="K79" s="327"/>
      <c r="L79" s="177"/>
      <c r="P79" s="296"/>
      <c r="Q79" s="296"/>
      <c r="R79" s="296"/>
      <c r="S79" s="296"/>
      <c r="T79" s="296"/>
      <c r="AB79" s="271" t="str">
        <f>IF(OR(Sheet1!D$192=1,Sheet1!D$194=1),IF(OR((AB78&gt;=(Sheet1!D$148+$A$11)-1),AND(Sheet1!D$8=3,AB78&gt;=6))," ",AB78+1),NA())</f>
        <v xml:space="preserve"> </v>
      </c>
      <c r="AC79" s="271" t="str">
        <f>IF(OR(Sheet1!D$192=1,Sheet1!D$194=1),IF(OR((AC78&gt;=(Sheet1!D$148+$B$11)-1),AND(Sheet1!D$8=3,AB78&gt;=6))," ",AC78+1),NA())</f>
        <v xml:space="preserve"> </v>
      </c>
      <c r="AD79" s="262"/>
      <c r="AE79" s="263" t="str">
        <f>IF(AND(Sheet1!D$194=1,AB79&lt;&gt;" "),ROUND(VLOOKUP(AB79,AlternativeB!A$92:M$98,12),Sheet1!D$75),IF(Sheet1!D$194=1," ","Alt  'B'  not feasible"))</f>
        <v>Alt  'B'  not feasible</v>
      </c>
      <c r="AF79" s="264" t="str">
        <f>IF(AB79&lt;=Sheet1!D$148,IF(OR(Sheet1!D$8=2,Sheet1!D$8=3),1,ROUND(VLOOKUP(AB79,DiscFactorsLinInterp,HLOOKUP(Sheet1!D$148,DiscLinearInterp,1)),4))," ")</f>
        <v xml:space="preserve"> </v>
      </c>
      <c r="AG79" s="263" t="str">
        <f>IF(AND(Sheet1!D$194=1,AB79&lt;&gt;" "),ROUND(+AE79*AF79,Sheet1!D$75)," ")</f>
        <v xml:space="preserve"> </v>
      </c>
      <c r="AH79" s="264" t="str">
        <f>IF(AB79&lt;&gt;" ",ROUND(VLOOKUP(Sheet1!E$82,CHOOSE(Sheet1!D$213,Inflate1,Inflate2,Inflate3,Inflate4,Inflate5,Inflate6,Inflate7,Inflate8),2),4)," ")</f>
        <v xml:space="preserve"> </v>
      </c>
      <c r="AI79" s="264" t="str">
        <f>IF(AB79&lt;&gt;" ",ROUND(VLOOKUP(AC79,CHOOSE(Sheet1!D$213,Inflate1,Inflate2,Inflate3,Inflate4,Inflate5,Inflate6,Inflate7,Inflate8),3),4)," ")</f>
        <v xml:space="preserve"> </v>
      </c>
      <c r="AJ79" s="263" t="str">
        <f>IF(AND(Sheet1!D$193=1,AB79&lt;&gt;" "),ROUND((AE79/AH79)*AI79,Sheet1!D$75)," ")</f>
        <v xml:space="preserve"> </v>
      </c>
    </row>
    <row r="80" spans="1:36" ht="13.8" thickBot="1" x14ac:dyDescent="0.3">
      <c r="A80" s="329"/>
      <c r="B80" s="316"/>
      <c r="D80" s="316"/>
      <c r="E80" s="296"/>
      <c r="F80" s="270"/>
      <c r="G80" s="304"/>
      <c r="H80" s="296"/>
      <c r="I80" s="310"/>
      <c r="J80" s="304"/>
      <c r="K80" s="327"/>
      <c r="L80" s="177"/>
      <c r="P80" s="296"/>
      <c r="Q80" s="296"/>
      <c r="R80" s="296"/>
      <c r="S80" s="296"/>
      <c r="T80" s="296"/>
      <c r="AB80" s="271" t="str">
        <f>IF(OR(Sheet1!D$192=1,Sheet1!D$194=1),IF(OR((AB79&gt;=(Sheet1!D$148+$A$11)-1),AND(Sheet1!D$8=3,AB79&gt;=6))," ",AB79+1),NA())</f>
        <v xml:space="preserve"> </v>
      </c>
      <c r="AC80" s="271" t="str">
        <f>IF(OR(Sheet1!D$192=1,Sheet1!D$194=1),IF(OR((AC79&gt;=(Sheet1!D$148+$B$11)-1),AND(Sheet1!D$8=3,AB79&gt;=6))," ",AC79+1),NA())</f>
        <v xml:space="preserve"> </v>
      </c>
      <c r="AD80" s="328"/>
      <c r="AE80" s="263" t="str">
        <f>IF(AND(Sheet1!D$194=1,AB80&lt;&gt;" "),ROUND(VLOOKUP(AB80,AlternativeB!A$92:M$98,12),Sheet1!D$75),IF(Sheet1!D$194=1," ","Alt  'B'  not feasible"))</f>
        <v>Alt  'B'  not feasible</v>
      </c>
      <c r="AF80" s="264" t="str">
        <f>IF(AB80&lt;=Sheet1!D$148,IF(OR(Sheet1!D$8=2,Sheet1!D$8=3),1,ROUND(VLOOKUP(AB80,DiscFactorsLinInterp,HLOOKUP(Sheet1!D$148,DiscLinearInterp,1)),4))," ")</f>
        <v xml:space="preserve"> </v>
      </c>
      <c r="AG80" s="263" t="str">
        <f>IF(AND(Sheet1!D$194=1,AB80&lt;&gt;" "),ROUND(+AE80*AF80,Sheet1!D$75)," ")</f>
        <v xml:space="preserve"> </v>
      </c>
      <c r="AH80" s="264" t="str">
        <f>IF(AB80&lt;&gt;" ",ROUND(VLOOKUP(Sheet1!E$82,CHOOSE(Sheet1!D$213,Inflate1,Inflate2,Inflate3,Inflate4,Inflate5,Inflate6,Inflate7,Inflate8),2),4)," ")</f>
        <v xml:space="preserve"> </v>
      </c>
      <c r="AI80" s="264" t="str">
        <f>IF(AB80&lt;&gt;" ",ROUND(VLOOKUP(AC80,CHOOSE(Sheet1!D$213,Inflate1,Inflate2,Inflate3,Inflate4,Inflate5,Inflate6,Inflate7,Inflate8),3),4)," ")</f>
        <v xml:space="preserve"> </v>
      </c>
      <c r="AJ80" s="263" t="str">
        <f>IF(AND(Sheet1!D$193=1,AB80&lt;&gt;" "),ROUND((AE80/AH80)*AI80,Sheet1!D$75)," ")</f>
        <v xml:space="preserve"> </v>
      </c>
    </row>
    <row r="81" spans="1:36" ht="13.8" thickTop="1" x14ac:dyDescent="0.25">
      <c r="A81" s="329"/>
      <c r="B81" s="316"/>
      <c r="C81" s="330" t="str">
        <f>IF(Sheet1!D$192=1,IF(OR(Sheet1!D$8=2,Sheet1!D$8=3),"o  SAVINGS TO INVESTMENT RATIO (SIR) (Constant Dollars)","o    SAVINGS TO INVESTMENT RATIO  (SIR)  (Discounted Dollars)")," ")</f>
        <v>o    SAVINGS TO INVESTMENT RATIO  (SIR)  (Discounted Dollars)</v>
      </c>
      <c r="D81" s="270"/>
      <c r="E81" s="296"/>
      <c r="F81" s="270"/>
      <c r="G81" s="338" t="str">
        <f>IF(OR(AND(Sheet1!N264=1,Sheet1!N266=2),AND(Sheet1!N264=2,Sheet1!N266=1)),"(*) !!ERROR - You have not Identified an Operating &amp; Support Cost Element"," ")</f>
        <v xml:space="preserve"> </v>
      </c>
      <c r="H81" s="296"/>
      <c r="I81" s="310"/>
      <c r="J81" s="304"/>
      <c r="K81" s="339"/>
      <c r="L81" s="177"/>
      <c r="P81" s="296"/>
      <c r="Q81" s="296"/>
      <c r="R81" s="296"/>
      <c r="S81" s="296"/>
      <c r="T81" s="296"/>
      <c r="AB81" s="340" t="s">
        <v>319</v>
      </c>
      <c r="AC81" s="341"/>
      <c r="AD81" s="341"/>
      <c r="AE81" s="342" t="e">
        <f>+AE61+SUM(AE65:AE71)-SUM(AE74:AE80)</f>
        <v>#VALUE!</v>
      </c>
      <c r="AF81" s="272"/>
      <c r="AG81" s="342">
        <f>+AG61+SUM(AG65:AG71)-SUM(AG74:AG80)</f>
        <v>0</v>
      </c>
      <c r="AH81" s="272"/>
      <c r="AI81" s="272"/>
      <c r="AJ81" s="343">
        <f>+AJ61+SUM(AJ65:AJ71)-SUM(AJ74:AJ80)</f>
        <v>0</v>
      </c>
    </row>
    <row r="82" spans="1:36" ht="13.2" x14ac:dyDescent="0.25">
      <c r="A82" s="329"/>
      <c r="B82" s="316"/>
      <c r="C82" s="334" t="str">
        <f>IF(Sheet1!D$192=1,IF(OR(Sheet1!D$8=2,Sheet1!D$22=3),"      FOR OSCR Initiatives: SIR may include savings over 10 years from when savings first begins or through economic life if &lt; 10 years",IF(Sheet1!D$8=3,"     SIR limited to  6 year evaluation period (unless project life is &lt; 6 years)","      SIR based on entire project life "))," ")</f>
        <v xml:space="preserve">      SIR based on entire project life </v>
      </c>
      <c r="D82" s="316"/>
      <c r="E82" s="296"/>
      <c r="F82" s="270"/>
      <c r="G82" s="338" t="str">
        <f>IF(OR(AND(Sheet1!N264=1,Sheet1!N266=2),AND(Sheet1!N264=2,Sheet1!N266=1)),"                         under both the 'Status Quo' and 'Alternative B'"," ")</f>
        <v xml:space="preserve"> </v>
      </c>
      <c r="H82" s="296"/>
      <c r="I82" s="310"/>
      <c r="J82" s="304"/>
      <c r="K82" s="327"/>
      <c r="L82" s="177"/>
      <c r="P82" s="296"/>
      <c r="Q82" s="296"/>
      <c r="R82" s="296"/>
      <c r="S82" s="296"/>
      <c r="T82" s="296"/>
      <c r="AB82" s="344"/>
      <c r="AC82" s="345"/>
      <c r="AD82" s="345"/>
      <c r="AE82" s="345"/>
      <c r="AF82" s="345"/>
      <c r="AG82" s="345"/>
      <c r="AH82" s="345"/>
      <c r="AI82" s="345"/>
      <c r="AJ82" s="346"/>
    </row>
    <row r="83" spans="1:36" ht="13.2" x14ac:dyDescent="0.25">
      <c r="A83" s="329"/>
      <c r="B83" s="316"/>
      <c r="C83" s="334" t="str">
        <f>IF(Sheet1!D$192=1,IF(OR(Sheet1!D$8=2,Sheet1!D$22=3),"      FOR OSCR Initiatives: SIR may not include 'New Invesment Costs' occurring beyond the maximum 10 year savings period",IF(Sheet1!D$8=3,"     SIR can't include 'New Investment Costs' occurring after evaluation period","   "))," ")</f>
        <v xml:space="preserve">   </v>
      </c>
      <c r="D83" s="316"/>
      <c r="E83" s="316"/>
      <c r="F83" s="316"/>
      <c r="G83" s="338" t="str">
        <f>IF(OR(AND(Sheet1!N264=1,Sheet1!N266=2),AND(Sheet1!N264=2,Sheet1!N266=1)),"                         that should be used to calculate savings"," ")</f>
        <v xml:space="preserve"> </v>
      </c>
      <c r="H83" s="316"/>
      <c r="I83" s="316"/>
      <c r="J83" s="304"/>
      <c r="K83" s="327"/>
      <c r="L83" s="177"/>
      <c r="P83" s="296"/>
      <c r="Q83" s="296"/>
      <c r="R83" s="296"/>
      <c r="S83" s="296"/>
      <c r="T83" s="296"/>
    </row>
    <row r="84" spans="1:36" ht="13.2" x14ac:dyDescent="0.25">
      <c r="A84" s="329"/>
      <c r="B84" s="316"/>
      <c r="C84" s="316"/>
      <c r="D84" s="316"/>
      <c r="E84" s="270" t="str">
        <f>IF(Sheet1!D$192=1,IF(OR(Sheet1!D$8=2,Sheet1!D$8=3,Sheet1!D$22=3),"      Restricted Savings","      Savings "),"SIR not applicable since")</f>
        <v xml:space="preserve">      Savings </v>
      </c>
      <c r="F84" s="316"/>
      <c r="G84" s="316"/>
      <c r="H84" s="260">
        <f>IF(Sheet1!D$192=1,IF(G81&lt;&gt;" ","???",S61)," ")</f>
        <v>0</v>
      </c>
      <c r="I84" s="310" t="str">
        <f>IF(Sheet1!D$192=1,IF(OR(Sheet1!D$8=2,Sheet1!D$8=3),"Constant Dollars","(Discounted Dollars)")," ")</f>
        <v>(Discounted Dollars)</v>
      </c>
      <c r="J84" s="304"/>
      <c r="K84" s="335" t="str">
        <f>IF(Sheet1!D$192=1,IF(OR(Sheet1!D$8=2,Sheet1!D$8=3),"(block 6q.)","(block 6q.)")," ")</f>
        <v>(block 6q.)</v>
      </c>
      <c r="L84" s="177"/>
      <c r="P84" s="296"/>
      <c r="Q84" s="296"/>
      <c r="R84" s="296"/>
      <c r="S84" s="296"/>
      <c r="T84" s="296"/>
      <c r="AB84" s="349"/>
    </row>
    <row r="85" spans="1:36" ht="13.2" x14ac:dyDescent="0.25">
      <c r="A85" s="329"/>
      <c r="B85" s="316"/>
      <c r="D85" s="316"/>
      <c r="E85" s="171" t="str">
        <f>IF(Sheet1!D$192=1,IF(OR(Sheet1!D$8=2,Sheet1!D$8=3,Sheet1!D$22=3),"/     Restricted New Investment Cost"," /    New Investment Cost"),"    Status Quo Not Feasible ")</f>
        <v xml:space="preserve"> /    New Investment Cost</v>
      </c>
      <c r="F85" s="316"/>
      <c r="G85" s="316"/>
      <c r="H85" s="260">
        <f>IF(Sheet1!D$192=1,IF(OR(Sheet1!D$8=2,Sheet1!D$8=3,Sheet1!D$22=3),AJ61,AG61)," ")</f>
        <v>0</v>
      </c>
      <c r="I85" s="310" t="str">
        <f>IF(Sheet1!D$192=1,IF(OR(Sheet1!D$8=2,Sheet1!D$8=3),"Constant Dollars","(Discounted Dollars)")," ")</f>
        <v>(Discounted Dollars)</v>
      </c>
      <c r="J85" s="304"/>
      <c r="K85" s="335" t="str">
        <f>IF(Sheet1!D$192=1,IF(OR(Sheet1!D$8=2,Sheet1!D$8=3),"(block A9.)","(block A5.)")," ")</f>
        <v>(block A5.)</v>
      </c>
      <c r="L85" s="325"/>
      <c r="P85" s="296"/>
      <c r="Q85" s="296"/>
      <c r="R85" s="296"/>
      <c r="S85" s="296"/>
      <c r="T85" s="296"/>
      <c r="AE85" s="369"/>
      <c r="AF85" s="310"/>
      <c r="AG85" s="365"/>
      <c r="AH85" s="365"/>
    </row>
    <row r="86" spans="1:36" ht="13.2" x14ac:dyDescent="0.25">
      <c r="A86" s="329"/>
      <c r="B86" s="316"/>
      <c r="C86" s="372"/>
      <c r="D86" s="270"/>
      <c r="E86" s="296"/>
      <c r="F86" s="270"/>
      <c r="G86" s="304"/>
      <c r="H86" s="336" t="str">
        <f>IF(Sheet1!D$192=1,IF(G81&lt;&gt;" ","???",IF(H85=0,"n/a",+H84/H85)),"  ")</f>
        <v>n/a</v>
      </c>
      <c r="I86" s="337" t="str">
        <f>IF(Sheet1!D$192=1,"(SIR)"," ")</f>
        <v>(SIR)</v>
      </c>
      <c r="J86" s="304"/>
      <c r="K86" s="327"/>
      <c r="L86" s="177"/>
      <c r="P86" s="296"/>
      <c r="Q86" s="296"/>
      <c r="R86" s="296"/>
      <c r="S86" s="296"/>
      <c r="T86" s="296"/>
      <c r="AE86" s="369"/>
      <c r="AF86" s="310"/>
      <c r="AG86" s="365"/>
      <c r="AH86" s="365"/>
      <c r="AI86" s="365"/>
      <c r="AJ86" s="365"/>
    </row>
    <row r="87" spans="1:36" ht="13.2" x14ac:dyDescent="0.25">
      <c r="A87" s="329"/>
      <c r="B87" s="316"/>
      <c r="C87" s="316"/>
      <c r="D87" s="270"/>
      <c r="E87" s="296"/>
      <c r="F87" s="270"/>
      <c r="G87" s="304"/>
      <c r="H87" s="316"/>
      <c r="I87" s="316"/>
      <c r="J87" s="304"/>
      <c r="K87" s="333"/>
      <c r="L87" s="177"/>
      <c r="P87" s="296"/>
      <c r="Q87" s="296"/>
      <c r="R87" s="296"/>
      <c r="S87" s="296"/>
      <c r="T87" s="296"/>
      <c r="AB87" s="270"/>
      <c r="AE87" s="369"/>
      <c r="AF87" s="310"/>
      <c r="AG87" s="365"/>
      <c r="AH87" s="365"/>
      <c r="AI87" s="365"/>
      <c r="AJ87" s="365"/>
    </row>
    <row r="88" spans="1:36" ht="13.2" x14ac:dyDescent="0.25">
      <c r="A88" s="347"/>
      <c r="B88" s="270"/>
      <c r="C88" s="330" t="str">
        <f>IF(Sheet1!D$192=1,"o    PAYBACK (of    '' New Investment Cost '' of $ "&amp;AJ$61&amp;"  )"," ")</f>
        <v>o    PAYBACK (of    '' New Investment Cost '' of $ 0  )</v>
      </c>
      <c r="D88" s="296"/>
      <c r="E88" s="296"/>
      <c r="F88" s="270"/>
      <c r="G88" s="304"/>
      <c r="H88" s="348" t="str">
        <f>IF(Sheet1!D$192=1,IF(K61&lt;=0,"n/a (since monetary benefits &lt;=0)",IF(K61&lt;AJ61,"no payback occurs",(Y11-1)+Y14)),"  ")</f>
        <v>n/a (since monetary benefits &lt;=0)</v>
      </c>
      <c r="I88" s="171" t="str">
        <f>IF(Sheet1!D$192=1,IF(K61&lt;=0," ",IF(AJ61&gt;K61," ","years"))," ")</f>
        <v xml:space="preserve"> </v>
      </c>
      <c r="J88" s="304"/>
      <c r="K88" s="327"/>
      <c r="L88" s="177"/>
      <c r="P88" s="296"/>
      <c r="Q88" s="296"/>
      <c r="R88" s="296"/>
      <c r="S88" s="296"/>
      <c r="T88" s="296"/>
      <c r="AE88" s="369"/>
      <c r="AF88" s="370"/>
      <c r="AG88" s="371"/>
      <c r="AH88" s="365"/>
      <c r="AI88" s="365"/>
      <c r="AJ88" s="365"/>
    </row>
    <row r="89" spans="1:36" ht="13.2" x14ac:dyDescent="0.25">
      <c r="A89" s="347"/>
      <c r="B89" s="270"/>
      <c r="C89" s="334" t="str">
        <f>IF(Sheet1!D$192=1,IF(OR(Sheet1!D$8=2,Sheet1!D$22=3),"      Payback based on 'MONETARY BENEFITS', using current dollars.  FOR OSCR Initiatives: 'New Invesment Cost' used here doesn't include investments after monetary benefits period.  ",IF(Sheet1!D$8=3,"      Payback based on 'MONETARY BENEFITS', using current dollars. 'Restricted Investment Cost' used here is limited to maximum 6 year evaluation period","      Payback based on 'MONETARY BENEFITS', using current dollars  "))," ")</f>
        <v xml:space="preserve">      Payback based on 'MONETARY BENEFITS', using current dollars  </v>
      </c>
      <c r="D89" s="296"/>
      <c r="E89" s="316"/>
      <c r="F89" s="270"/>
      <c r="G89" s="304"/>
      <c r="H89" s="296"/>
      <c r="I89" s="310"/>
      <c r="J89" s="304"/>
      <c r="K89" s="327"/>
      <c r="L89" s="177"/>
      <c r="P89" s="296"/>
      <c r="Q89" s="296"/>
      <c r="R89" s="296"/>
      <c r="S89" s="296"/>
      <c r="T89" s="296"/>
      <c r="AE89" s="369"/>
      <c r="AF89" s="370"/>
      <c r="AG89" s="365"/>
      <c r="AH89" s="365"/>
      <c r="AI89" s="365"/>
      <c r="AJ89" s="365"/>
    </row>
    <row r="90" spans="1:36" ht="13.2" x14ac:dyDescent="0.25">
      <c r="A90" s="347"/>
      <c r="B90" s="270"/>
      <c r="C90" s="270"/>
      <c r="D90" s="296"/>
      <c r="E90" s="270" t="str">
        <f>IF(Sheet1!D$192=1," ","Payback Not Applicable since Status Quo not Feasible")</f>
        <v xml:space="preserve"> </v>
      </c>
      <c r="F90" s="270"/>
      <c r="G90" s="304"/>
      <c r="H90" s="296"/>
      <c r="I90" s="310"/>
      <c r="J90" s="304"/>
      <c r="K90" s="327"/>
      <c r="L90" s="177"/>
      <c r="P90" s="296"/>
      <c r="Q90" s="296"/>
      <c r="R90" s="296"/>
      <c r="S90" s="296"/>
      <c r="T90" s="296"/>
      <c r="AE90" s="369"/>
      <c r="AF90" s="370"/>
      <c r="AH90" s="365"/>
      <c r="AI90" s="365"/>
      <c r="AJ90" s="365"/>
    </row>
    <row r="91" spans="1:36" ht="13.2" x14ac:dyDescent="0.25">
      <c r="A91" s="347"/>
      <c r="B91" s="270"/>
      <c r="C91" s="330" t="str">
        <f>IF(AND(Sheet1!D$192=1,Sheet1!D$194=1),"o    RETURN ON INVESTMENT", "")</f>
        <v/>
      </c>
      <c r="D91" s="296"/>
      <c r="E91" s="270"/>
      <c r="F91" s="270"/>
      <c r="G91" s="304"/>
      <c r="H91" s="585" t="str">
        <f>IF(AND(Sheet1!D$192=1,Sheet1!D$194=1),ROI!F60, "")</f>
        <v/>
      </c>
      <c r="I91" s="337" t="str">
        <f>IF(AND(Sheet1!D$192=1, Sheet1!D$194=1),"(ROI)"," ")</f>
        <v xml:space="preserve"> </v>
      </c>
      <c r="J91" s="304"/>
      <c r="K91" s="327"/>
      <c r="L91" s="177"/>
      <c r="P91" s="296"/>
      <c r="Q91" s="296"/>
      <c r="R91" s="296"/>
      <c r="S91" s="296"/>
      <c r="T91" s="296"/>
      <c r="AE91" s="369"/>
      <c r="AF91" s="370"/>
      <c r="AH91" s="365"/>
      <c r="AI91" s="365"/>
      <c r="AJ91" s="365"/>
    </row>
    <row r="92" spans="1:36" ht="13.2" x14ac:dyDescent="0.25">
      <c r="A92" s="329"/>
      <c r="B92" s="316"/>
      <c r="C92" s="316"/>
      <c r="D92" s="349"/>
      <c r="E92" s="349"/>
      <c r="F92" s="349"/>
      <c r="H92" s="296"/>
      <c r="I92" s="310"/>
      <c r="J92" s="304"/>
      <c r="K92" s="327"/>
      <c r="L92" s="177"/>
      <c r="P92" s="296"/>
      <c r="Q92" s="296"/>
      <c r="R92" s="296"/>
      <c r="S92" s="296"/>
      <c r="T92" s="296"/>
      <c r="AE92" s="369"/>
      <c r="AF92" s="310"/>
      <c r="AG92" s="365"/>
      <c r="AH92" s="365"/>
      <c r="AI92" s="365"/>
      <c r="AJ92" s="365"/>
    </row>
    <row r="93" spans="1:36" ht="13.2" x14ac:dyDescent="0.25">
      <c r="A93" s="347"/>
      <c r="B93" s="349"/>
      <c r="C93" s="349" t="s">
        <v>321</v>
      </c>
      <c r="D93" s="270"/>
      <c r="E93" s="316"/>
      <c r="F93" s="270"/>
      <c r="G93" s="304"/>
      <c r="H93" s="296"/>
      <c r="I93" s="310"/>
      <c r="J93" s="304"/>
      <c r="K93" s="327"/>
      <c r="L93" s="177"/>
      <c r="P93" s="296"/>
      <c r="Q93" s="296"/>
      <c r="R93" s="296"/>
      <c r="S93" s="296"/>
      <c r="T93" s="296"/>
      <c r="AE93" s="369"/>
      <c r="AF93" s="310"/>
      <c r="AG93" s="365"/>
      <c r="AH93" s="365"/>
      <c r="AI93" s="365"/>
      <c r="AJ93" s="368"/>
    </row>
    <row r="94" spans="1:36" ht="13.8" thickBot="1" x14ac:dyDescent="0.3">
      <c r="A94" s="350"/>
      <c r="B94" s="351"/>
      <c r="C94" s="352"/>
      <c r="D94" s="353"/>
      <c r="E94" s="351" t="str">
        <f>IF(Sheet1!$D194,VLOOKUP(Sheet1!D$248,Sheet1!A$255:B$259,2)," ")</f>
        <v>Replacement:    Unsafe, beyond economical repair, or inoperative/unusable assets</v>
      </c>
      <c r="F94" s="351"/>
      <c r="G94" s="354"/>
      <c r="H94" s="353"/>
      <c r="I94" s="355"/>
      <c r="J94" s="354"/>
      <c r="K94" s="356"/>
      <c r="L94" s="177"/>
      <c r="P94" s="296"/>
      <c r="Q94" s="296"/>
      <c r="R94" s="296"/>
      <c r="S94" s="296"/>
      <c r="T94" s="296"/>
      <c r="AB94" s="112"/>
      <c r="AE94" s="310"/>
      <c r="AF94" s="58"/>
      <c r="AG94" s="58"/>
      <c r="AH94" s="58"/>
      <c r="AI94" s="58"/>
      <c r="AJ94" s="58"/>
    </row>
    <row r="95" spans="1:36" ht="14.4" thickTop="1" thickBot="1" x14ac:dyDescent="0.3">
      <c r="A95" s="357"/>
      <c r="B95" s="367"/>
      <c r="C95" s="366"/>
      <c r="D95" s="360"/>
      <c r="E95" s="360"/>
      <c r="F95" s="361"/>
      <c r="G95" s="362"/>
      <c r="H95" s="360"/>
      <c r="I95" s="363"/>
      <c r="J95" s="362"/>
      <c r="K95" s="364"/>
      <c r="L95" s="177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AB95" s="112"/>
      <c r="AC95" s="112"/>
      <c r="AD95" s="112"/>
      <c r="AE95" s="112"/>
      <c r="AF95" s="58"/>
      <c r="AG95" s="4"/>
      <c r="AH95" s="4"/>
      <c r="AI95" s="365"/>
      <c r="AJ95" s="58"/>
    </row>
    <row r="96" spans="1:36" ht="13.8" thickTop="1" x14ac:dyDescent="0.25">
      <c r="A96" s="316"/>
      <c r="B96" s="316"/>
      <c r="C96" s="316"/>
      <c r="D96" s="316"/>
      <c r="E96" s="316"/>
      <c r="F96" s="316"/>
      <c r="G96" s="316"/>
      <c r="H96" s="316"/>
      <c r="I96" s="316"/>
      <c r="J96" s="316"/>
      <c r="K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</row>
    <row r="97" ht="11.4" hidden="1" x14ac:dyDescent="0.2"/>
    <row r="98" ht="11.4" hidden="1" x14ac:dyDescent="0.2"/>
  </sheetData>
  <sheetProtection algorithmName="SHA-512" hashValue="DuyXj2oEpElB/dO+fD2CDyf4bqSa6lfG/3VITHLz487jk956sFK+MiXsYnLrlVIAWpctFDdxadvM6ykXQG32JA==" saltValue="NmaW2a3NRAwLbxNj7Z779g==" spinCount="100000" sheet="1" objects="1" scenarios="1"/>
  <printOptions horizontalCentered="1"/>
  <pageMargins left="0.25" right="0.25" top="0.25" bottom="0.5" header="0.25" footer="0.25"/>
  <pageSetup scale="63" orientation="portrait" horizontalDpi="300" r:id="rId1"/>
  <headerFooter alignWithMargins="0">
    <oddFooter>&amp;R&amp;A, Page 4 of 4,  (Printed:  &amp;D,   &amp;T ) Using ver 1.04r6</oddFooter>
  </headerFooter>
  <colBreaks count="2" manualBreakCount="2">
    <brk id="11" max="1048575" man="1"/>
    <brk id="3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pageSetUpPr fitToPage="1"/>
  </sheetPr>
  <dimension ref="A1:IT115"/>
  <sheetViews>
    <sheetView showGridLines="0" workbookViewId="0"/>
  </sheetViews>
  <sheetFormatPr defaultColWidth="8.6640625" defaultRowHeight="0" customHeight="1" zeroHeight="1" x14ac:dyDescent="0.2"/>
  <cols>
    <col min="1" max="1" width="6.88671875" style="171" customWidth="1"/>
    <col min="2" max="2" width="5.6640625" style="171" customWidth="1"/>
    <col min="3" max="3" width="7" style="171" customWidth="1"/>
    <col min="4" max="6" width="15.44140625" style="171" customWidth="1"/>
    <col min="7" max="7" width="9.44140625" style="171" customWidth="1"/>
    <col min="8" max="8" width="15.44140625" style="171" customWidth="1"/>
    <col min="9" max="9" width="9.5546875" style="171" customWidth="1"/>
    <col min="10" max="10" width="9.44140625" style="171" customWidth="1"/>
    <col min="11" max="11" width="15.44140625" style="171" customWidth="1"/>
    <col min="12" max="12" width="8.33203125" style="171" bestFit="1" customWidth="1"/>
    <col min="13" max="13" width="9.109375" style="171" customWidth="1"/>
    <col min="14" max="14" width="6.109375" style="171" customWidth="1"/>
    <col min="15" max="15" width="7.6640625" style="171" customWidth="1"/>
    <col min="16" max="21" width="15.44140625" style="171" customWidth="1"/>
    <col min="22" max="22" width="8.6640625" style="171" customWidth="1"/>
    <col min="23" max="23" width="5.109375" style="171" hidden="1" customWidth="1"/>
    <col min="24" max="24" width="8" style="171" hidden="1" customWidth="1"/>
    <col min="25" max="25" width="10.5546875" style="171" hidden="1" customWidth="1"/>
    <col min="26" max="26" width="7.6640625" style="171" hidden="1" customWidth="1"/>
    <col min="27" max="27" width="4.5546875" style="171" customWidth="1"/>
    <col min="28" max="28" width="6.88671875" style="171" customWidth="1"/>
    <col min="29" max="29" width="5.6640625" style="171" customWidth="1"/>
    <col min="30" max="30" width="7" style="171" customWidth="1"/>
    <col min="31" max="31" width="15.44140625" style="171" customWidth="1"/>
    <col min="32" max="32" width="9.44140625" style="171" customWidth="1"/>
    <col min="33" max="33" width="15.44140625" style="171" customWidth="1"/>
    <col min="34" max="34" width="9.5546875" style="171" customWidth="1"/>
    <col min="35" max="35" width="9.44140625" style="171" customWidth="1"/>
    <col min="36" max="36" width="15.44140625" style="171" customWidth="1"/>
    <col min="37" max="37" width="9.109375" style="171" customWidth="1"/>
    <col min="38" max="16384" width="8.6640625" style="171"/>
  </cols>
  <sheetData>
    <row r="1" spans="1:36" ht="26.25" customHeight="1" thickBot="1" x14ac:dyDescent="0.25">
      <c r="A1" s="169"/>
      <c r="B1" s="170"/>
      <c r="C1" s="170"/>
      <c r="D1" s="169"/>
      <c r="E1" s="169" t="s">
        <v>279</v>
      </c>
      <c r="F1" s="169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</row>
    <row r="2" spans="1:36" ht="13.2" x14ac:dyDescent="0.25">
      <c r="A2" s="172" t="str">
        <f>IF(Sheet1!D$8=1,IF(NOT(Sheet1!D$192=1), "6.  Costs and Benefits Display (    ECONOMIC ANALYSIS  -  NO STATUS QUO FORMAT    ):","6.  Costs and Benefits Display (     ECONOMIC ANALYSIS FORMAT    ):"),IF(Sheet1!D8=2,IF(NOT(Sheet1!D$192=1),"6.  Costs and Benefits Display (COST COMPARISON( NO SQ) FORMAT (complies w/policy  Oct 1996 f/ OSCR Initiatives)    ):","6.  Costs and Benefits Display (COST COMPARISON FORMAT (complies with policy amended Oct 1996 for OSCR initiatives)   ):"),IF(NOT(Sheet1!D$192=1),"6. Cost and Benefits Display (COST COMPARISON (NO SQ) FORMAT (complies with policy dated Dec 1996)    ):","6.  Cost and Benefits Display (COST COMPARISON FORMAT (complies with policy dated Dec 1996)    ):")))</f>
        <v>6.  Costs and Benefits Display (     ECONOMIC ANALYSIS FORMAT    ):</v>
      </c>
      <c r="B2" s="173"/>
      <c r="C2" s="173"/>
      <c r="D2" s="173"/>
      <c r="E2" s="174"/>
      <c r="F2" s="174"/>
      <c r="G2" s="173"/>
      <c r="H2" s="173"/>
      <c r="I2" s="175"/>
      <c r="J2" s="173"/>
      <c r="K2" s="176"/>
      <c r="L2" s="177"/>
      <c r="M2" s="178" t="s">
        <v>280</v>
      </c>
      <c r="N2" s="179"/>
      <c r="O2" s="173"/>
      <c r="P2" s="180"/>
      <c r="Q2" s="180"/>
      <c r="R2" s="180"/>
      <c r="S2" s="180"/>
      <c r="T2" s="180"/>
      <c r="U2" s="181"/>
      <c r="V2" s="182"/>
      <c r="W2" s="183"/>
      <c r="AB2" s="178" t="s">
        <v>327</v>
      </c>
      <c r="AC2" s="184"/>
      <c r="AD2" s="185"/>
      <c r="AE2" s="186"/>
      <c r="AF2" s="187"/>
      <c r="AG2" s="186"/>
      <c r="AH2" s="188"/>
      <c r="AI2" s="187"/>
      <c r="AJ2" s="189"/>
    </row>
    <row r="3" spans="1:36" ht="13.8" thickBot="1" x14ac:dyDescent="0.3">
      <c r="A3" s="190"/>
      <c r="B3" s="191" t="str">
        <f>IF(AND(Sheet1!D$8=2,Sheet1!D$22&lt;&gt;3),"(*) WARNING:  This ''COST COMPARISON  FORMAT'' only applies for ''OSCR INITIATIVES'' - USE OTHER FORMAT!!!!",IF(AND(Sheet1!D$8=3,Sheet1!D$22=3),"(*) WARNING: This ''COST COMPARISON FORMAT'' does apply for ''OSCR INITIATIVES'' - USE OTHER FORMAT!! "," "))</f>
        <v xml:space="preserve"> </v>
      </c>
      <c r="C3" s="192"/>
      <c r="D3" s="192"/>
      <c r="E3" s="193"/>
      <c r="F3" s="194"/>
      <c r="G3" s="192"/>
      <c r="H3" s="192"/>
      <c r="I3" s="192"/>
      <c r="J3" s="195"/>
      <c r="K3" s="196"/>
      <c r="L3" s="177"/>
      <c r="M3" s="197"/>
      <c r="N3" s="198"/>
      <c r="O3" s="192"/>
      <c r="P3" s="199"/>
      <c r="Q3" s="199"/>
      <c r="R3" s="199"/>
      <c r="S3" s="199"/>
      <c r="T3" s="199"/>
      <c r="U3" s="200"/>
      <c r="V3" s="182"/>
      <c r="W3" s="183"/>
      <c r="AB3" s="201" t="s">
        <v>282</v>
      </c>
      <c r="AC3" s="202"/>
      <c r="AD3" s="203"/>
      <c r="AE3" s="204"/>
      <c r="AF3" s="205"/>
      <c r="AG3" s="204"/>
      <c r="AH3" s="206"/>
      <c r="AI3" s="205"/>
      <c r="AJ3" s="207"/>
    </row>
    <row r="4" spans="1:36" ht="11.4" x14ac:dyDescent="0.2">
      <c r="A4" s="208" t="s">
        <v>283</v>
      </c>
      <c r="B4" s="208" t="s">
        <v>284</v>
      </c>
      <c r="C4" s="209"/>
      <c r="D4" s="210" t="str">
        <f>IF(Sheet1!D$192=1,"6c.","n/a.")</f>
        <v>6c.</v>
      </c>
      <c r="E4" s="210" t="str">
        <f>IF(Sheet1!D$192=1,"6d.","6c.")</f>
        <v>6d.</v>
      </c>
      <c r="F4" s="210" t="str">
        <f>IF(Sheet1!D$192=1,"6e.","n/a.")</f>
        <v>6e.</v>
      </c>
      <c r="G4" s="210" t="str">
        <f>IF(Sheet1!D$192=1,"6f.","6d.")</f>
        <v>6f.</v>
      </c>
      <c r="H4" s="210" t="str">
        <f>IF(Sheet1!D$192=1,"6g.","6e.")</f>
        <v>6g.</v>
      </c>
      <c r="I4" s="210" t="str">
        <f>IF(Sheet1!D$192=1,"6h.","6f.")</f>
        <v>6h.</v>
      </c>
      <c r="J4" s="210" t="str">
        <f>IF(Sheet1!D$192=1,"6i.","6g.")</f>
        <v>6i.</v>
      </c>
      <c r="K4" s="210" t="str">
        <f>IF(Sheet1!D$192=1,"6j.","6h.")</f>
        <v>6j.</v>
      </c>
      <c r="L4" s="177"/>
      <c r="M4" s="210" t="str">
        <f>IF(Sheet1!D$192=1,"6k.","6j.")</f>
        <v>6k.</v>
      </c>
      <c r="N4" s="210" t="str">
        <f>IF(Sheet1!D$192=1,"6l.","6k.")</f>
        <v>6l.</v>
      </c>
      <c r="O4" s="210" t="str">
        <f>IF(Sheet1!D$192=1,"6m.","6l.")</f>
        <v>6m.</v>
      </c>
      <c r="P4" s="210" t="str">
        <f>IF(Sheet1!D$192=1,"6n.","6m.")</f>
        <v>6n.</v>
      </c>
      <c r="Q4" s="210" t="str">
        <f>IF(Sheet1!D$192=1,"6o.","6n.")</f>
        <v>6o.</v>
      </c>
      <c r="R4" s="210" t="str">
        <f>IF(Sheet1!D$192=1,"6p.","6o.")</f>
        <v>6p.</v>
      </c>
      <c r="S4" s="210" t="str">
        <f>IF(Sheet1!D$192=1,"6q.","6p.")</f>
        <v>6q.</v>
      </c>
      <c r="T4" s="210" t="str">
        <f>IF(Sheet1!D$192=1,"6r.","6q.")</f>
        <v>6r.</v>
      </c>
      <c r="U4" s="210" t="str">
        <f>IF(Sheet1!D$192=1,"6s.","6r.")</f>
        <v>6s.</v>
      </c>
      <c r="V4" s="211"/>
      <c r="W4" s="212"/>
      <c r="AB4" s="208" t="s">
        <v>285</v>
      </c>
      <c r="AC4" s="208" t="s">
        <v>286</v>
      </c>
      <c r="AD4" s="209"/>
      <c r="AE4" s="210" t="str">
        <f>IF(Sheet1!D$193,"A3.","n/a.")</f>
        <v>A3.</v>
      </c>
      <c r="AF4" s="210" t="str">
        <f>IF(Sheet1!D$193,"A4.","n/a.")</f>
        <v>A4.</v>
      </c>
      <c r="AG4" s="210" t="str">
        <f>IF(Sheet1!D$193,"A5.","n/a.")</f>
        <v>A5.</v>
      </c>
      <c r="AH4" s="210" t="str">
        <f>IF(Sheet1!D$193,"A6.","n/a.")</f>
        <v>A6.</v>
      </c>
      <c r="AI4" s="210" t="str">
        <f>IF(Sheet1!D$193,"A7.","n/a.")</f>
        <v>A7.</v>
      </c>
      <c r="AJ4" s="210" t="str">
        <f>IF(Sheet1!D$193,"A8.","n/a.")</f>
        <v>A8.</v>
      </c>
    </row>
    <row r="5" spans="1:36" ht="12" x14ac:dyDescent="0.25">
      <c r="A5" s="213"/>
      <c r="B5" s="213"/>
      <c r="C5" s="214"/>
      <c r="D5" s="213"/>
      <c r="E5" s="215"/>
      <c r="F5" s="216" t="str">
        <f>IF(Sheet1!D$192=1,"Monetary Benefits","Costs")</f>
        <v>Monetary Benefits</v>
      </c>
      <c r="G5" s="217" t="str">
        <f>IF(OR(Sheet1!D$8=2,Sheet1!D$8=3)," ","Discount")</f>
        <v>Discount</v>
      </c>
      <c r="H5" s="215"/>
      <c r="I5" s="218" t="s">
        <v>287</v>
      </c>
      <c r="J5" s="217" t="s">
        <v>288</v>
      </c>
      <c r="K5" s="215"/>
      <c r="L5" s="219"/>
      <c r="M5" s="213"/>
      <c r="N5" s="213"/>
      <c r="O5" s="213"/>
      <c r="P5" s="220" t="str">
        <f>IF(OR(Sheet1!D$8=2,Sheet1!D$8=3,Sheet1!D$22=3),"''  Restricted ''"," ")</f>
        <v xml:space="preserve"> </v>
      </c>
      <c r="Q5" s="220" t="str">
        <f>IF(OR(Sheet1!D$8=2,Sheet1!D$8=3,Sheet1!D$22=3),"''  Restricted ''"," ")</f>
        <v xml:space="preserve"> </v>
      </c>
      <c r="R5" s="220" t="str">
        <f>IF(OR(Sheet1!D$8=2,Sheet1!D$8=3,Sheet1!D$22=3),"''  Restricted ''"," ")</f>
        <v xml:space="preserve"> </v>
      </c>
      <c r="S5" s="220" t="str">
        <f>IF(OR(Sheet1!D$8=2,Sheet1!D$8=3,Sheet1!D$22=3),"''  Restricted ''"," ")</f>
        <v xml:space="preserve"> </v>
      </c>
      <c r="T5" s="220" t="str">
        <f>IF(OR(Sheet1!D$8=2,Sheet1!D$8=3,Sheet1!D$22=3),"''  Restricted ''"," ")</f>
        <v xml:space="preserve"> </v>
      </c>
      <c r="U5" s="220" t="str">
        <f>IF(OR(Sheet1!D$8=2,Sheet1!D$8=3,Sheet1!D$22=3),"''  Restricted ''"," ")</f>
        <v xml:space="preserve"> </v>
      </c>
      <c r="V5" s="211"/>
      <c r="W5" s="212"/>
      <c r="AA5" s="220" t="str">
        <f>IF(OR(Sheet1!J$8=2,Sheet1!J$8=3,Sheet1!J$22=3),"''  Restricted ''"," ")</f>
        <v xml:space="preserve"> </v>
      </c>
      <c r="AB5" s="213"/>
      <c r="AC5" s="213"/>
      <c r="AD5" s="214"/>
      <c r="AE5" s="213"/>
      <c r="AF5" s="217" t="str">
        <f>IF(OR(Sheet1!D$8=2,Sheet1!D$8=3)," ","Discount")</f>
        <v>Discount</v>
      </c>
      <c r="AG5" s="215"/>
      <c r="AH5" s="218" t="s">
        <v>287</v>
      </c>
      <c r="AI5" s="217" t="s">
        <v>288</v>
      </c>
      <c r="AJ5" s="221" t="s">
        <v>289</v>
      </c>
    </row>
    <row r="6" spans="1:36" ht="12" x14ac:dyDescent="0.25">
      <c r="A6" s="215"/>
      <c r="B6" s="215"/>
      <c r="C6" s="222"/>
      <c r="D6" s="221" t="s">
        <v>290</v>
      </c>
      <c r="E6" s="221" t="s">
        <v>328</v>
      </c>
      <c r="F6" s="215"/>
      <c r="G6" s="223" t="str">
        <f>IF(OR(Sheet1!$D$8=2,Sheet1!D$8=3)," ","Factors")</f>
        <v>Factors</v>
      </c>
      <c r="H6" s="215"/>
      <c r="I6" s="224" t="s">
        <v>292</v>
      </c>
      <c r="J6" s="223" t="s">
        <v>293</v>
      </c>
      <c r="K6" s="215"/>
      <c r="L6" s="219"/>
      <c r="M6" s="215"/>
      <c r="N6" s="215"/>
      <c r="O6" s="216"/>
      <c r="P6" s="225" t="s">
        <v>290</v>
      </c>
      <c r="Q6" s="225" t="s">
        <v>328</v>
      </c>
      <c r="R6" s="226" t="s">
        <v>294</v>
      </c>
      <c r="S6" s="227"/>
      <c r="T6" s="227"/>
      <c r="U6" s="224" t="s">
        <v>294</v>
      </c>
      <c r="V6" s="211"/>
      <c r="W6" s="212"/>
      <c r="AA6" s="224" t="s">
        <v>295</v>
      </c>
      <c r="AB6" s="215"/>
      <c r="AC6" s="215"/>
      <c r="AD6" s="222"/>
      <c r="AE6" s="221" t="s">
        <v>328</v>
      </c>
      <c r="AF6" s="223" t="str">
        <f>IF(OR(Sheet1!D$8=2,Sheet1!D$8=3)," ","Factors")</f>
        <v>Factors</v>
      </c>
      <c r="AG6" s="215"/>
      <c r="AH6" s="224" t="s">
        <v>292</v>
      </c>
      <c r="AI6" s="223" t="s">
        <v>293</v>
      </c>
      <c r="AJ6" s="220" t="str">
        <f>IF(OR(Sheet1!D$8=2,Sheet1!D$8=3,Sheet1!D$22=3),"'' Restricted"," ")</f>
        <v xml:space="preserve"> </v>
      </c>
    </row>
    <row r="7" spans="1:36" ht="12" x14ac:dyDescent="0.25">
      <c r="A7" s="215"/>
      <c r="B7" s="215"/>
      <c r="C7" s="228"/>
      <c r="D7" s="215"/>
      <c r="E7" s="215"/>
      <c r="F7" s="216" t="str">
        <f>IF(Sheet1!D$192=1,"Operating Cost"," ")</f>
        <v>Operating Cost</v>
      </c>
      <c r="G7" s="224" t="str">
        <f>IF(OR(Sheet1!D$8=2,Sheet1!D$8=3)," ","dated")</f>
        <v>dated</v>
      </c>
      <c r="H7" s="216" t="str">
        <f>IF(Sheet1!D$192=1,"Monetary Benefits","Costs")</f>
        <v>Monetary Benefits</v>
      </c>
      <c r="I7" s="224" t="s">
        <v>296</v>
      </c>
      <c r="J7" s="224" t="s">
        <v>297</v>
      </c>
      <c r="K7" s="216" t="str">
        <f>IF(Sheet1!D$192=1,"Monetary Benefits","Costs")</f>
        <v>Monetary Benefits</v>
      </c>
      <c r="L7" s="219"/>
      <c r="M7" s="215"/>
      <c r="N7" s="215"/>
      <c r="O7" s="229"/>
      <c r="P7" s="230" t="s">
        <v>298</v>
      </c>
      <c r="Q7" s="230" t="s">
        <v>298</v>
      </c>
      <c r="R7" s="216" t="str">
        <f>IF(Sheet1!D$192=1,"Operating Cost"," ")</f>
        <v>Operating Cost</v>
      </c>
      <c r="S7" s="226" t="s">
        <v>294</v>
      </c>
      <c r="T7" s="226" t="s">
        <v>294</v>
      </c>
      <c r="U7" s="224" t="s">
        <v>299</v>
      </c>
      <c r="V7" s="211"/>
      <c r="W7" s="212"/>
      <c r="AA7" s="224" t="s">
        <v>299</v>
      </c>
      <c r="AB7" s="215"/>
      <c r="AC7" s="215"/>
      <c r="AD7" s="228"/>
      <c r="AE7" s="215"/>
      <c r="AF7" s="224" t="str">
        <f>IF(OR(Sheet1!D$8=2,Sheet1!D$8=3)," ","dated")</f>
        <v>dated</v>
      </c>
      <c r="AG7" s="221" t="s">
        <v>289</v>
      </c>
      <c r="AH7" s="224" t="s">
        <v>296</v>
      </c>
      <c r="AI7" s="224" t="s">
        <v>297</v>
      </c>
      <c r="AJ7" s="231" t="str">
        <f>IF(OR(Sheet1!D$8=2,Sheet1!D$22=3)," For OSCR PayBack''"," ")</f>
        <v xml:space="preserve"> </v>
      </c>
    </row>
    <row r="8" spans="1:36" ht="24.75" customHeight="1" x14ac:dyDescent="0.25">
      <c r="A8" s="221"/>
      <c r="B8" s="221" t="s">
        <v>300</v>
      </c>
      <c r="C8" s="232"/>
      <c r="D8" s="229" t="s">
        <v>298</v>
      </c>
      <c r="E8" s="229" t="s">
        <v>298</v>
      </c>
      <c r="F8" s="233" t="str">
        <f>IF(Sheet1!D$192=1,"Differential (Constant $'s)", "  Costs      (Constant $'s)")</f>
        <v>Differential (Constant $'s)</v>
      </c>
      <c r="G8" s="234">
        <f>IF(OR(Sheet1!D$8=2,Sheet1!D$8=3)," ",Discount!B$6)</f>
        <v>45288</v>
      </c>
      <c r="H8" s="233" t="str">
        <f>IF(OR(Sheet1!D$8=2,Sheet1!D$8=3),"(Constant $'s)","(Discounted $'s)      ( Present Value )")</f>
        <v>(Discounted $'s)      ( Present Value )</v>
      </c>
      <c r="I8" s="235">
        <f>VLOOKUP(Sheet1!D$234,Sheet1!A$232:H$239,8)</f>
        <v>2024</v>
      </c>
      <c r="J8" s="234">
        <f>VLOOKUP(Sheet1!D$234,Sheet1!A$232:H$239,6)</f>
        <v>45348</v>
      </c>
      <c r="K8" s="221" t="s">
        <v>301</v>
      </c>
      <c r="L8" s="236"/>
      <c r="M8" s="221"/>
      <c r="N8" s="221" t="s">
        <v>300</v>
      </c>
      <c r="O8" s="237"/>
      <c r="P8" s="238" t="s">
        <v>302</v>
      </c>
      <c r="Q8" s="238" t="s">
        <v>302</v>
      </c>
      <c r="R8" s="233" t="str">
        <f>IF(Sheet1!D$192=1,"Differential (Constant $'s)", "  Costs      (Constant $'s)")</f>
        <v>Differential (Constant $'s)</v>
      </c>
      <c r="S8" s="233" t="str">
        <f>IF(OR(Sheet1!D$8=2,Sheet1!D$8=3),"(Constant $'s)","(Discounted $'s)      ( Present Value )")</f>
        <v>(Discounted $'s)      ( Present Value )</v>
      </c>
      <c r="T8" s="239" t="s">
        <v>301</v>
      </c>
      <c r="U8" s="225" t="s">
        <v>301</v>
      </c>
      <c r="V8" s="240"/>
      <c r="W8" s="241" t="s">
        <v>303</v>
      </c>
      <c r="X8" s="242" t="s">
        <v>303</v>
      </c>
      <c r="Y8" s="242" t="s">
        <v>303</v>
      </c>
      <c r="Z8" s="242" t="s">
        <v>303</v>
      </c>
      <c r="AA8" s="225" t="s">
        <v>301</v>
      </c>
      <c r="AB8" s="221"/>
      <c r="AC8" s="221" t="s">
        <v>300</v>
      </c>
      <c r="AD8" s="232"/>
      <c r="AE8" s="221" t="s">
        <v>289</v>
      </c>
      <c r="AF8" s="234">
        <f>IF(OR(Sheet1!D$8=2,Sheet1!D$8=3)," ",Discount!B$6)</f>
        <v>45288</v>
      </c>
      <c r="AG8" s="233" t="str">
        <f>IF(OR(Sheet1!D$8=2,Sheet1!D$8=3),"(Constant $'s)","(Discounted $'s)      ( Present Value )")</f>
        <v>(Discounted $'s)      ( Present Value )</v>
      </c>
      <c r="AH8" s="235">
        <f>VLOOKUP(Sheet1!D$214,Sheet1!A$212:H$219,8)</f>
        <v>2024</v>
      </c>
      <c r="AI8" s="234">
        <f>VLOOKUP(Sheet1!D$214,Sheet1!A$212:H$219,6)</f>
        <v>45348</v>
      </c>
      <c r="AJ8" s="221" t="s">
        <v>301</v>
      </c>
    </row>
    <row r="9" spans="1:36" ht="12" x14ac:dyDescent="0.25">
      <c r="A9" s="221"/>
      <c r="B9" s="221"/>
      <c r="C9" s="243"/>
      <c r="D9" s="229" t="s">
        <v>304</v>
      </c>
      <c r="E9" s="229" t="s">
        <v>304</v>
      </c>
      <c r="F9" s="244" t="str">
        <f>VLOOKUP(Sheet1!D$67,Sheet1!A$66:B$68,2)</f>
        <v xml:space="preserve"> ($)</v>
      </c>
      <c r="G9" s="221"/>
      <c r="H9" s="244" t="str">
        <f>VLOOKUP(Sheet1!D$67,Sheet1!A$66:B$68,2)</f>
        <v xml:space="preserve"> ($)</v>
      </c>
      <c r="I9" s="224" t="s">
        <v>305</v>
      </c>
      <c r="J9" s="245" t="str">
        <f>VLOOKUP(Sheet1!D$234,Sheet1!A$232:H$232,7)</f>
        <v>DASA-CE</v>
      </c>
      <c r="K9" s="244" t="str">
        <f>VLOOKUP(Sheet1!D$67,Sheet1!A$66:B$68,2)</f>
        <v xml:space="preserve"> ($)</v>
      </c>
      <c r="L9" s="219"/>
      <c r="M9" s="221"/>
      <c r="N9" s="221"/>
      <c r="O9" s="215"/>
      <c r="P9" s="230" t="s">
        <v>304</v>
      </c>
      <c r="Q9" s="230" t="s">
        <v>304</v>
      </c>
      <c r="R9" s="246" t="str">
        <f>VLOOKUP(Sheet1!D$67,Sheet1!A$66:B$68,2)</f>
        <v xml:space="preserve"> ($)</v>
      </c>
      <c r="S9" s="246" t="str">
        <f>VLOOKUP(Sheet1!D$67,Sheet1!A$66:B$68,2)</f>
        <v xml:space="preserve"> ($)</v>
      </c>
      <c r="T9" s="246" t="str">
        <f>VLOOKUP(Sheet1!D$67,Sheet1!A$66:B$68,2)</f>
        <v xml:space="preserve"> ($)</v>
      </c>
      <c r="U9" s="247" t="str">
        <f>VLOOKUP(Sheet1!D$67,Sheet1!A$66:B$68,2)</f>
        <v xml:space="preserve"> ($)</v>
      </c>
      <c r="V9" s="211"/>
      <c r="W9" s="212"/>
      <c r="AA9" s="247" t="str">
        <f>VLOOKUP(Sheet1!D$67,Sheet1!A$66:B$68,2)</f>
        <v xml:space="preserve"> ($)</v>
      </c>
      <c r="AB9" s="221"/>
      <c r="AC9" s="221"/>
      <c r="AD9" s="243"/>
      <c r="AE9" s="221" t="s">
        <v>304</v>
      </c>
      <c r="AF9" s="221"/>
      <c r="AG9" s="244" t="str">
        <f>VLOOKUP(Sheet1!D$67,Sheet1!A$66:B$68,2)</f>
        <v xml:space="preserve"> ($)</v>
      </c>
      <c r="AH9" s="224" t="s">
        <v>305</v>
      </c>
      <c r="AI9" s="245" t="str">
        <f>VLOOKUP(Sheet1!D$214,Sheet1!A$212:H$212,7)</f>
        <v>DASA-CE</v>
      </c>
      <c r="AJ9" s="244" t="str">
        <f>VLOOKUP(Sheet1!D$67,Sheet1!A$66:B$68,2)</f>
        <v xml:space="preserve"> ($)</v>
      </c>
    </row>
    <row r="10" spans="1:36" ht="36" x14ac:dyDescent="0.25">
      <c r="A10" s="248" t="s">
        <v>306</v>
      </c>
      <c r="B10" s="248" t="s">
        <v>307</v>
      </c>
      <c r="C10" s="232"/>
      <c r="D10" s="249" t="str">
        <f>" "&amp;" ' "&amp;VLOOKUP(Sheet1!D$82,Sheet1!A$82:B$135,2)&amp;" '     Constant Dollars "&amp;VLOOKUP(Sheet1!D$67,Sheet1!A$66:B$68,2)</f>
        <v xml:space="preserve">  ' 2024 '     Constant Dollars  ($)</v>
      </c>
      <c r="E10" s="250" t="str">
        <f>"  "&amp;" ' "&amp;VLOOKUP(Sheet1!D$82,Sheet1!A$82:B$135,2)&amp;" '        Constant Dollars "&amp;VLOOKUP(Sheet1!D$67,Sheet1!A$66:B$68,2)</f>
        <v xml:space="preserve">   ' 2024 '        Constant Dollars  ($)</v>
      </c>
      <c r="F10" s="251" t="str">
        <f>IF(Sheet1!D$192=1,"(6c. - 6d.)","(6c.)")</f>
        <v>(6c. - 6d.)</v>
      </c>
      <c r="G10" s="252">
        <f>IF(OR(Sheet1!D$8=2,Sheet1!D$8=3)," ",HLOOKUP(Sheet1!D$148,DiscLinearInterp,2))</f>
        <v>2.1999999999999999E-2</v>
      </c>
      <c r="H10" s="251" t="str">
        <f>IF(Sheet1!D$192=1,"(6e. x  6f.)","(6c.  x  6d.)")</f>
        <v>(6e. x  6f.)</v>
      </c>
      <c r="I10" s="251"/>
      <c r="J10" s="253" t="str">
        <f>CHOOSE(Sheet1!D$234,"OMA weighted","APA weighted","MIPA weighted","WTCV weighted","AMMO weighted","OPA weighted","RDTE weighted","MCA weighted")</f>
        <v>OMA weighted</v>
      </c>
      <c r="K10" s="251" t="str">
        <f>IF(Sheet1!D$192=1,"((6e.  /  6h.) x 6i.)","((6c. / 6f. ) x 6g.)")</f>
        <v>((6e.  /  6h.) x 6i.)</v>
      </c>
      <c r="L10" s="254" t="str">
        <f>IF(Sheet1!D$192=1,IF(AND(AA10&gt;AJ$61,AA9&lt;=AJ$61),"&lt;-Payback"," ")," ")</f>
        <v xml:space="preserve"> </v>
      </c>
      <c r="M10" s="248" t="s">
        <v>306</v>
      </c>
      <c r="N10" s="255" t="s">
        <v>307</v>
      </c>
      <c r="O10" s="256" t="s">
        <v>308</v>
      </c>
      <c r="P10" s="249" t="str">
        <f>" "&amp;" ' "&amp;VLOOKUP(Sheet1!D$82,Sheet1!A$82:B$135,2)&amp;" '     Constant Dollars "&amp;VLOOKUP(Sheet1!D$67,Sheet1!A$66:B$68,2)</f>
        <v xml:space="preserve">  ' 2024 '     Constant Dollars  ($)</v>
      </c>
      <c r="Q10" s="249" t="str">
        <f>"  "&amp;" ' "&amp;VLOOKUP(Sheet1!D$82,Sheet1!A$82:B$135,2)&amp;" '        Constant Dollars "&amp;VLOOKUP(Sheet1!D$67,Sheet1!A$66:B$68,2)</f>
        <v xml:space="preserve">   ' 2024 '        Constant Dollars  ($)</v>
      </c>
      <c r="R10" s="257" t="str">
        <f>IF(Sheet1!D$192=1,"(6n. - 6o.)","n/a")</f>
        <v>(6n. - 6o.)</v>
      </c>
      <c r="S10" s="257" t="str">
        <f>IF(Sheet1!D$192=1,"(6p. x 6f.)","n/a")</f>
        <v>(6p. x 6f.)</v>
      </c>
      <c r="T10" s="257" t="str">
        <f>IF(Sheet1!D$192=1,"((6p. /  6h.) x 6i.)","n/a")</f>
        <v>((6p. /  6h.) x 6i.)</v>
      </c>
      <c r="U10" s="258">
        <v>0</v>
      </c>
      <c r="V10" s="254" t="str">
        <f t="shared" ref="V10:V60" si="0">IF(AND(U10&gt;AJ$61,U9&lt;=AJ$61),".."," ")</f>
        <v xml:space="preserve"> </v>
      </c>
      <c r="W10" s="259">
        <f>IF(AND(AA10&gt;AJ$61,AA9&lt;=AJ$61),99,0)</f>
        <v>0</v>
      </c>
      <c r="X10" s="171">
        <v>0</v>
      </c>
      <c r="Z10" s="260"/>
      <c r="AA10" s="171">
        <v>0</v>
      </c>
      <c r="AB10" s="248" t="s">
        <v>306</v>
      </c>
      <c r="AC10" s="248" t="s">
        <v>307</v>
      </c>
      <c r="AD10" s="232"/>
      <c r="AE10" s="249" t="str">
        <f>"  "&amp;" ' "&amp;VLOOKUP(Sheet1!D$82,Sheet1!A$82:B$135,2)&amp;" '        Constant Dollars "&amp;VLOOKUP(Sheet1!D$67,Sheet1!A$66:B$68,2)</f>
        <v xml:space="preserve">   ' 2024 '        Constant Dollars  ($)</v>
      </c>
      <c r="AF10" s="252">
        <f>IF(OR(Sheet1!D$8=2,Sheet1!D$8=3)," ",HLOOKUP(Sheet1!D$148,DiscLinearInterp,2))</f>
        <v>2.1999999999999999E-2</v>
      </c>
      <c r="AG10" s="251" t="str">
        <f>IF(Sheet1!D$193,"(A3. x  A4.)","n/a")</f>
        <v>(A3. x  A4.)</v>
      </c>
      <c r="AH10" s="251"/>
      <c r="AI10" s="253" t="str">
        <f>CHOOSE(Sheet1!D$214,"RDTE weighted","APA weighted","MIPA weighted","WTCV weighted","AMMO weighted","OPA weighted","OMA weighted","MCA weighted")</f>
        <v>RDTE weighted</v>
      </c>
      <c r="AJ10" s="251" t="str">
        <f>IF(Sheet1!D$193,"((A3.  /  A6.) x  A7.)","n/a")</f>
        <v>((A3.  /  A6.) x  A7.)</v>
      </c>
    </row>
    <row r="11" spans="1:36" ht="12" customHeight="1" x14ac:dyDescent="0.2">
      <c r="A11" s="261">
        <f>IF(OR(Sheet1!D$192=1,Sheet1!D$195=1),VLOOKUP(1,Sheet1!A148:B197,2),NA())</f>
        <v>1</v>
      </c>
      <c r="B11" s="261">
        <f>IF(OR(Sheet1!D$192=1,Sheet1!D$195=1),VLOOKUP(Sheet1!D$86,Sheet1!A80:B147,2),NA())</f>
        <v>2024</v>
      </c>
      <c r="C11" s="262"/>
      <c r="D11" s="263">
        <f>IF(AND(Sheet1!D$192=1,A11&lt;&gt;" "),ROUND(VLOOKUP(A11,StatusQuo!A$19:M$68,12),Sheet1!D$75),IF(Sheet1!D$192=1," ","SQ not feasible "))</f>
        <v>0</v>
      </c>
      <c r="E11" s="263" t="str">
        <f>IF(AND(Sheet1!D$195=1,A11&lt;&gt;" "),ROUND(VLOOKUP(A11,AlternativeC!A$110:M$159,12),Sheet1!D$75),IF(Sheet1!D$195=1," ","Alt  'C'  not feasible"))</f>
        <v>Alt  'C'  not feasible</v>
      </c>
      <c r="F11" s="263" t="str">
        <f>IF(AND(A11&lt;&gt;" ",Sheet1!D$192=1,Sheet1!D$195=1),D11-E11,IF(AND(Sheet1!D$195=1,A11&lt;&gt;" ")," "," "))</f>
        <v xml:space="preserve"> </v>
      </c>
      <c r="G11" s="264">
        <f>IF(A11&lt;=Sheet1!D$148, (1/((1+G10)^(A11-0.5)))," ")</f>
        <v>0.98917823531116333</v>
      </c>
      <c r="H11" s="263" t="str">
        <f>IF(AND(A11&lt;&gt;" ",Sheet1!D$192=1,Sheet1!D$195=1),ROUND(F11*G11,Sheet1!D$75),IF(AND(A11&lt;&gt;" ",Sheet1!D$195=1),ROUND(E11*G11,Sheet1!D$75)," "))</f>
        <v xml:space="preserve"> </v>
      </c>
      <c r="I11" s="264">
        <f>IF(A11&lt;&gt;" ",ROUND(VLOOKUP(Sheet1!E$82,CHOOSE(Sheet1!D$234,Inflate7,Inflate2,Inflate3,Inflate4,Inflate5,Inflate6,Inflate1,Inflate8),2),4)," ")</f>
        <v>1</v>
      </c>
      <c r="J11" s="264">
        <f>IF(A11&lt;&gt;" ",ROUND(VLOOKUP(B11,CHOOSE(Sheet1!D$234,Inflate7,Inflate2,Inflate3,Inflate4,Inflate5,Inflate6,Inflate1,Inflate8),3),4)," ")</f>
        <v>1.0186999999999999</v>
      </c>
      <c r="K11" s="265" t="str">
        <f>IF(AND(A11&lt;&gt;" ",Sheet1!D$192=1,Sheet1!D$195=1),ROUND((F11/I11)*J11,Sheet1!D$75),IF(AND(A11&lt;&gt;" ",Sheet1!D$195=1),ROUND((E11/I11)*J11,Sheet1!D$75)," "))</f>
        <v xml:space="preserve"> </v>
      </c>
      <c r="L11" s="254" t="str">
        <f>IF(Sheet1!D$192=1,IF(AND(AA11&gt;AJ$61,AA10&lt;=AJ$61),"&lt;-Payback"," ")," ")</f>
        <v xml:space="preserve"> </v>
      </c>
      <c r="M11" s="261">
        <f>IF(OR(Sheet1!D$192=1,Sheet1!D$195=1),VLOOKUP(1,Sheet1!A148:B197,2),NA())</f>
        <v>1</v>
      </c>
      <c r="N11" s="261">
        <f>IF(OR(Sheet1!D$192=1,Sheet1!D$195=1),VLOOKUP(Sheet1!D$86,Sheet1!A80:B147,2),NA())</f>
        <v>2024</v>
      </c>
      <c r="O11" s="266" t="e">
        <f>IF(OR(Sheet1!D$192=1,Sheet1!D$195=1),IF(NOT(Sheet1!D$192=1),0,IF(ROUND(VLOOKUP(A11,StatusQuo!A$19:M$68,13),Sheet1!D$75)-ROUND(VLOOKUP(A11,AlternativeC!A$110:M$159,13),Sheet1!D$75)&gt;0,1,0))," ")</f>
        <v>#VALUE!</v>
      </c>
      <c r="P11" s="263" t="str">
        <f>IF(AND(A11&lt;&gt;" ",Sheet1!D$192=1,Sheet1!D$195=1),IF(AND(OR(Sheet1!D$8=2,Sheet1!D$22=3),O11&gt;10),0,ROUND(VLOOKUP(A11,StatusQuo!A$19:M$68,13),Sheet1!D$75)),IF(NOT(Sheet1!D$192=1),"not feasible",IF(A11=" "," ", "Savings is  n/a=&gt;")))</f>
        <v>Savings is  n/a=&gt;</v>
      </c>
      <c r="Q11" s="263" t="str">
        <f>IF(AND(A11&lt;&gt;" ",Sheet1!D$192=1,Sheet1!D$195=1),IF(AND(OR(Sheet1!D$8=2,Sheet1!D$22=3),O11&gt;10),0,ROUND(VLOOKUP(A11,AlternativeC!A$110:M$159,13),Sheet1!D$75)),IF(NOT(Sheet1!D$195=1),"not feasible",IF(A11=" "," ","&lt;== Savings is n/a")))</f>
        <v>not feasible</v>
      </c>
      <c r="R11" s="263" t="str">
        <f>IF(AND(A11&lt;&gt;" ",Sheet1!D$192=1,Sheet1!D$195=1),IF(G$81&lt;&gt;" ","??????? ",P11-Q11)," ")</f>
        <v xml:space="preserve"> </v>
      </c>
      <c r="S11" s="263" t="str">
        <f>IF(AND(A11&lt;&gt;" ",Sheet1!D$192=1,Sheet1!D$195=1),ROUND(R11*G11,Sheet1!D$75)," ")</f>
        <v xml:space="preserve"> </v>
      </c>
      <c r="T11" s="263" t="str">
        <f>IF(AND(A11&lt;&gt;" ",Sheet1!D$192=1,Sheet1!D$195=1),ROUND((R11/I11)*J11,Sheet1!D$75)," ")</f>
        <v xml:space="preserve"> </v>
      </c>
      <c r="U11" s="267">
        <f>SUM(T$11:T11)</f>
        <v>0</v>
      </c>
      <c r="V11" s="254" t="str">
        <f t="shared" si="0"/>
        <v xml:space="preserve"> </v>
      </c>
      <c r="W11" s="268">
        <f t="shared" ref="W11:W42" si="1">IF(AND(AA11&gt;AJ$61,AA10&lt;=AJ$61),99,W10+1)</f>
        <v>1</v>
      </c>
      <c r="X11" s="171">
        <f t="shared" ref="X11:X42" si="2">+A11</f>
        <v>1</v>
      </c>
      <c r="Y11" s="269" t="str">
        <f>IF(K61&gt;=AJ61,VLOOKUP(99,W10:X42,2)," ")</f>
        <v xml:space="preserve"> </v>
      </c>
      <c r="Z11" s="270" t="s">
        <v>309</v>
      </c>
      <c r="AA11" s="265">
        <f>SUM(K$11:K11)</f>
        <v>0</v>
      </c>
      <c r="AB11" s="261">
        <f>IF(OR(Sheet1!D$192=1,Sheet1!D$195=1),VLOOKUP(1,Sheet1!A148:B197,2),NA())</f>
        <v>1</v>
      </c>
      <c r="AC11" s="261">
        <f>IF(OR(Sheet1!D$192=1,Sheet1!D$195=1),VLOOKUP(Sheet1!D$86,Sheet1!A80:B147,2),NA())</f>
        <v>2024</v>
      </c>
      <c r="AD11" s="262"/>
      <c r="AE11" s="263" t="str">
        <f>IF(AND(Sheet1!D$195=1,AB11&lt;&gt;" "),ROUND(VLOOKUP(AB11,AlternativeC!A$17:M$66,12),Sheet1!D$75),IF(Sheet1!D$195=1," ","Alt  'C'  not feasible"))</f>
        <v>Alt  'C'  not feasible</v>
      </c>
      <c r="AF11" s="264">
        <f>IF(AB11&lt;=Sheet1!D$148, (1/((1+AF$10)^(AB11-0.5)))," ")</f>
        <v>0.98917823531116333</v>
      </c>
      <c r="AG11" s="263" t="str">
        <f>IF(AND(Sheet1!D$195=1,AB11&lt;&gt;" "),ROUND(+AE11*AF11,Sheet1!D$75)," ")</f>
        <v xml:space="preserve"> </v>
      </c>
      <c r="AH11" s="264">
        <f>IF(AB11&lt;&gt;" ",ROUND(VLOOKUP(Sheet1!E$82,CHOOSE(Sheet1!D$214,Inflate1,Inflate2,Inflate3,Inflate4,Inflate5,Inflate6,Inflate7,Inflate8),2),4)," ")</f>
        <v>1</v>
      </c>
      <c r="AI11" s="264">
        <f>IF(AB11&lt;&gt;" ",ROUND(VLOOKUP(AC11,CHOOSE(Sheet1!D$214,Inflate1,Inflate2,Inflate3,Inflate4,Inflate5,Inflate6,Inflate7,Inflate8),3),4)," ")</f>
        <v>1.0225</v>
      </c>
      <c r="AJ11" s="263" t="b">
        <f>IF(AND(Sheet1!D$195=1,AB11&lt;&gt;" "),IF(AND(O11&lt;=10,OR(Sheet1!D$8=2,Sheet1!D$8=3,Sheet1!D$22=3)),ROUND((AE11/AH11)*AI11,Sheet1!D$75),IF(AND(Sheet1!D$8&lt;&gt;2,Sheet1!D$8&lt;&gt;3,Sheet1!D$22&lt;&gt;3),ROUND((AE11/AH11)*AI11,Sheet1!D$75)," ")))</f>
        <v>0</v>
      </c>
    </row>
    <row r="12" spans="1:36" ht="12" customHeight="1" x14ac:dyDescent="0.2">
      <c r="A12" s="271" t="str">
        <f>IF(OR(Sheet1!D$192=1,Sheet1!D$195=1),IF(OR((A11&gt;=(Sheet1!D$148+$A$11)-1),AND(Sheet1!D$8=3,A11&gt;=6))," ",A11+1),NA())</f>
        <v xml:space="preserve"> </v>
      </c>
      <c r="B12" s="271" t="str">
        <f>IF(OR(Sheet1!D$192=1,Sheet1!D$195=1),IF(OR((B11&gt;=(Sheet1!D$148+$B$11)-1),AND(Sheet1!D$8=3,A11&gt;=6))," ",B11+1),NA())</f>
        <v xml:space="preserve"> </v>
      </c>
      <c r="C12" s="262"/>
      <c r="D12" s="263" t="str">
        <f>IF(AND(Sheet1!D$192=1,A12&lt;&gt;" "),ROUND(VLOOKUP(A12,StatusQuo!A$19:M$68,12),Sheet1!D$75),IF(Sheet1!D$192=1," ","SQ not feasible "))</f>
        <v xml:space="preserve"> </v>
      </c>
      <c r="E12" s="263" t="str">
        <f>IF(AND(Sheet1!D$195=1,A12&lt;&gt;" "),ROUND(VLOOKUP(A12,AlternativeC!A$110:M$159,12),Sheet1!D$75),IF(Sheet1!D$195=1," ","Alt  'C'  not feasible"))</f>
        <v>Alt  'C'  not feasible</v>
      </c>
      <c r="F12" s="263" t="str">
        <f>IF(AND(A12&lt;&gt;" ",Sheet1!D$192=1,Sheet1!D$195=1),D12-E12,IF(AND(Sheet1!D$195=1,A12&lt;&gt;" ")," "," "))</f>
        <v xml:space="preserve"> </v>
      </c>
      <c r="G12" s="264" t="str">
        <f>IF(A12&lt;=Sheet1!D$148, (1/((1+G10)^(A12-0.5)))," ")</f>
        <v xml:space="preserve"> </v>
      </c>
      <c r="H12" s="263" t="str">
        <f>IF(AND(A12&lt;&gt;" ",Sheet1!D$192=1,Sheet1!D$195=1),ROUND(F12*G12,Sheet1!D$75),IF(AND(A12&lt;&gt;" ",Sheet1!D$195=1),ROUND(E12*G12,Sheet1!D$75)," "))</f>
        <v xml:space="preserve"> </v>
      </c>
      <c r="I12" s="264" t="str">
        <f>IF(A12&lt;&gt;" ",ROUND(VLOOKUP(Sheet1!E$82,CHOOSE(Sheet1!D$234,Inflate7,Inflate2,Inflate3,Inflate4,Inflate5,Inflate6,Inflate1,Inflate8),2),4)," ")</f>
        <v xml:space="preserve"> </v>
      </c>
      <c r="J12" s="264" t="str">
        <f>IF(A12&lt;&gt;" ",ROUND(VLOOKUP(B12,CHOOSE(Sheet1!D$234,Inflate7,Inflate2,Inflate3,Inflate4,Inflate5,Inflate6,Inflate1,Inflate8),3),4)," ")</f>
        <v xml:space="preserve"> </v>
      </c>
      <c r="K12" s="265" t="str">
        <f>IF(AND(A12&lt;&gt;" ",Sheet1!D$192=1,Sheet1!D$195=1),ROUND((F12/I12)*J12,Sheet1!D$75),IF(AND(A12&lt;&gt;" ",Sheet1!D$195=1),ROUND((E12/I12)*J12,Sheet1!D$75)," "))</f>
        <v xml:space="preserve"> </v>
      </c>
      <c r="L12" s="254" t="str">
        <f>IF(Sheet1!D$192=1,IF(AND(AA12&gt;AJ$61,AA11&lt;=AJ$61),"&lt;-Payback"," ")," ")</f>
        <v xml:space="preserve"> </v>
      </c>
      <c r="M12" s="271" t="str">
        <f>IF(OR(Sheet1!D$192=1,Sheet1!D$195=1),IF(OR((A11&gt;=(Sheet1!D$148+$A$11)-1),AND(Sheet1!D$8=3,A11&gt;=6))," ",A11+1),NA())</f>
        <v xml:space="preserve"> </v>
      </c>
      <c r="N12" s="271" t="str">
        <f>IF(OR(Sheet1!D$192=1,Sheet1!D$195=1),IF(OR((B11&gt;=(Sheet1!D$148+$B$11)-1),AND(Sheet1!D$8=3,A11&gt;=6))," ",B11+1),NA())</f>
        <v xml:space="preserve"> </v>
      </c>
      <c r="O12" s="266" t="e">
        <f>IF(AND(Sheet1!D$8=3,M12=" ")," ",IF(OR(Sheet1!D$192=1,Sheet1!D$195=1),IF(O11&gt;0,IF(AND(OR(Sheet1!D$8=2,Sheet1!D$22=3),O11&gt;=10)," ",O11+1),IF(NOT(Sheet1!D$192=1),0,IF(ROUND(VLOOKUP(A12,StatusQuo!A$19:M$68,13),Sheet1!D$75)-ROUND(VLOOKUP(A12,AlternativeC!A$110:M$159,13),Sheet1!D$75)&gt;0,1,0)))," "))</f>
        <v>#VALUE!</v>
      </c>
      <c r="P12" s="263" t="str">
        <f>IF(AND(A12&lt;&gt;" ",Sheet1!D$192=1,Sheet1!D$195=1),IF(AND(OR(Sheet1!D$8=2,Sheet1!D$22=3),O12&gt;10),0,ROUND(VLOOKUP(A12,StatusQuo!A$19:M$68,13),Sheet1!D$75)),IF(NOT(Sheet1!D$192=1),"not feasible",IF(A12=" "," ", "Savings is  n/a=&gt;")))</f>
        <v xml:space="preserve"> </v>
      </c>
      <c r="Q12" s="263" t="str">
        <f>IF(AND(A12&lt;&gt;" ",Sheet1!D$192=1,Sheet1!D$195=1),IF(AND(OR(Sheet1!D$8=2,Sheet1!D$22=3),O12&gt;10),0,ROUND(VLOOKUP(A12,AlternativeC!A$110:M$159,13),Sheet1!D$75)),IF(NOT(Sheet1!D$195=1),"not feasible",IF(A12=" "," ","&lt;== Savings is n/a")))</f>
        <v>not feasible</v>
      </c>
      <c r="R12" s="263" t="str">
        <f>IF(AND(A12&lt;&gt;" ",Sheet1!D$192=1,Sheet1!D$195=1),IF(G$81&lt;&gt;" ","??????? ",P12-Q12)," ")</f>
        <v xml:space="preserve"> </v>
      </c>
      <c r="S12" s="263" t="str">
        <f>IF(AND(A12&lt;&gt;" ",Sheet1!D$192=1,Sheet1!D$195=1),ROUND(R12*G12,Sheet1!D$75)," ")</f>
        <v xml:space="preserve"> </v>
      </c>
      <c r="T12" s="263" t="str">
        <f>IF(AND(A12&lt;&gt;" ",Sheet1!D$192=1,Sheet1!D$195=1),ROUND((R12/I12)*J12,Sheet1!D$75)," ")</f>
        <v xml:space="preserve"> </v>
      </c>
      <c r="U12" s="265">
        <f>SUM(T$11:T12)</f>
        <v>0</v>
      </c>
      <c r="V12" s="254" t="str">
        <f t="shared" si="0"/>
        <v xml:space="preserve"> </v>
      </c>
      <c r="W12" s="268">
        <f t="shared" si="1"/>
        <v>2</v>
      </c>
      <c r="X12" s="171" t="str">
        <f t="shared" si="2"/>
        <v xml:space="preserve"> </v>
      </c>
      <c r="Y12" s="269" t="e">
        <f>IF(K61&gt;=AJ61,IF(Y11-1=0,0,VLOOKUP(Y11-1,A11:AA42,27))," ")</f>
        <v>#VALUE!</v>
      </c>
      <c r="Z12" s="270" t="s">
        <v>310</v>
      </c>
      <c r="AA12" s="265">
        <f>SUM(K$11:K12)</f>
        <v>0</v>
      </c>
      <c r="AB12" s="271" t="str">
        <f>IF(OR(Sheet1!D$192=1,Sheet1!D$195=1),IF(OR((AB11&gt;=(Sheet1!D$148+$A$11)-1),AND(Sheet1!D$8=3,AB11&gt;=6))," ",AB11+1),NA())</f>
        <v xml:space="preserve"> </v>
      </c>
      <c r="AC12" s="271" t="str">
        <f>IF(OR(Sheet1!D$192=1,Sheet1!D$195=1),IF(OR((AC11&gt;=(Sheet1!D$148+$B$11)-1),AND(Sheet1!D$8=3,AB11&gt;=6))," ",AC11+1),NA())</f>
        <v xml:space="preserve"> </v>
      </c>
      <c r="AD12" s="262"/>
      <c r="AE12" s="263" t="str">
        <f>IF(AND(Sheet1!D$195=1,AB12&lt;&gt;" "),ROUND(VLOOKUP(AB12,AlternativeC!A$17:M$66,12),Sheet1!D$75),IF(Sheet1!D$195=1," ","Alt  'C'  not feasible"))</f>
        <v>Alt  'C'  not feasible</v>
      </c>
      <c r="AF12" s="264" t="str">
        <f>IF(AB12&lt;=Sheet1!D$148, (1/((1+AF$10)^(AB12-0.5)))," ")</f>
        <v xml:space="preserve"> </v>
      </c>
      <c r="AG12" s="263" t="str">
        <f>IF(AND(Sheet1!D$195=1,AB12&lt;&gt;" "),ROUND(+AE12*AF12,Sheet1!D$75)," ")</f>
        <v xml:space="preserve"> </v>
      </c>
      <c r="AH12" s="264" t="str">
        <f>IF(AB12&lt;&gt;" ",ROUND(VLOOKUP(Sheet1!E$82,CHOOSE(Sheet1!D$214,Inflate1,Inflate2,Inflate3,Inflate4,Inflate5,Inflate6,Inflate7,Inflate8),2),4)," ")</f>
        <v xml:space="preserve"> </v>
      </c>
      <c r="AI12" s="264" t="str">
        <f>IF(AB12&lt;&gt;" ",ROUND(VLOOKUP(AC12,CHOOSE(Sheet1!D$214,Inflate1,Inflate2,Inflate3,Inflate4,Inflate5,Inflate6,Inflate7,Inflate8),3),4)," ")</f>
        <v xml:space="preserve"> </v>
      </c>
      <c r="AJ12" s="263" t="b">
        <f>IF(AND(Sheet1!D$195=1,AB12&lt;&gt;" "),IF(AND(O12&lt;=10,OR(Sheet1!D$8=2,Sheet1!D$8=3,Sheet1!D$22=3)),ROUND((AE12/AH12)*AI12,Sheet1!D$75),IF(AND(Sheet1!D$8&lt;&gt;2,Sheet1!D$8&lt;&gt;3,Sheet1!D$22&lt;&gt;3),ROUND((AE12/AH12)*AI12,Sheet1!D$75)," ")))</f>
        <v>0</v>
      </c>
    </row>
    <row r="13" spans="1:36" ht="12" customHeight="1" x14ac:dyDescent="0.2">
      <c r="A13" s="271" t="str">
        <f>IF(OR(Sheet1!D$192=1,Sheet1!D$195=1),IF(OR((A12&gt;=(Sheet1!D$148+$A$11)-1),AND(Sheet1!D$8=3,A12&gt;=6))," ",A12+1),NA())</f>
        <v xml:space="preserve"> </v>
      </c>
      <c r="B13" s="271" t="str">
        <f>IF(OR(Sheet1!D$192=1,Sheet1!D$195=1),IF(OR((B12&gt;=(Sheet1!D$148+$B$11)-1),AND(Sheet1!D$8=3,A12&gt;=6))," ",B12+1),NA())</f>
        <v xml:space="preserve"> </v>
      </c>
      <c r="C13" s="262"/>
      <c r="D13" s="263" t="str">
        <f>IF(AND(Sheet1!D$192=1,A13&lt;&gt;" "),ROUND(VLOOKUP(A13,StatusQuo!A$19:M$68,12),Sheet1!D$75),IF(Sheet1!D$192=1," ","SQ not feasible "))</f>
        <v xml:space="preserve"> </v>
      </c>
      <c r="E13" s="263" t="str">
        <f>IF(AND(Sheet1!D$195=1,A13&lt;&gt;" "),ROUND(VLOOKUP(A13,AlternativeC!A$110:M$159,12),Sheet1!D$75),IF(Sheet1!D$195=1," ","Alt  'C'  not feasible"))</f>
        <v>Alt  'C'  not feasible</v>
      </c>
      <c r="F13" s="263" t="str">
        <f>IF(AND(A13&lt;&gt;" ",Sheet1!D$192=1,Sheet1!D$195=1),D13-E13,IF(AND(Sheet1!D$195=1,A13&lt;&gt;" ")," "," "))</f>
        <v xml:space="preserve"> </v>
      </c>
      <c r="G13" s="264" t="str">
        <f>IF(A13&lt;=Sheet1!D$148, (1/((1+G10)^(A13-0.5)))," ")</f>
        <v xml:space="preserve"> </v>
      </c>
      <c r="H13" s="263" t="str">
        <f>IF(AND(A13&lt;&gt;" ",Sheet1!D$192=1,Sheet1!D$195=1),ROUND(F13*G13,Sheet1!D$75),IF(AND(A13&lt;&gt;" ",Sheet1!D$195=1),ROUND(E13*G13,Sheet1!D$75)," "))</f>
        <v xml:space="preserve"> </v>
      </c>
      <c r="I13" s="264" t="str">
        <f>IF(A13&lt;&gt;" ",ROUND(VLOOKUP(Sheet1!E$82,CHOOSE(Sheet1!D$234,Inflate7,Inflate2,Inflate3,Inflate4,Inflate5,Inflate6,Inflate1,Inflate8),2),4)," ")</f>
        <v xml:space="preserve"> </v>
      </c>
      <c r="J13" s="264" t="str">
        <f>IF(A13&lt;&gt;" ",ROUND(VLOOKUP(B13,CHOOSE(Sheet1!D$234,Inflate7,Inflate2,Inflate3,Inflate4,Inflate5,Inflate6,Inflate1,Inflate8),3),4)," ")</f>
        <v xml:space="preserve"> </v>
      </c>
      <c r="K13" s="265" t="str">
        <f>IF(AND(A13&lt;&gt;" ",Sheet1!D$192=1,Sheet1!D$195=1),ROUND((F13/I13)*J13,Sheet1!D$75),IF(AND(A13&lt;&gt;" ",Sheet1!D$195=1),ROUND((E13/I13)*J13,Sheet1!D$75)," "))</f>
        <v xml:space="preserve"> </v>
      </c>
      <c r="L13" s="254" t="str">
        <f>IF(Sheet1!D$192=1,IF(AND(AA13&gt;AJ$61,AA12&lt;=AJ$61),"&lt;-Payback"," ")," ")</f>
        <v xml:space="preserve"> </v>
      </c>
      <c r="M13" s="271" t="str">
        <f>IF(OR(Sheet1!D$192=1,Sheet1!D$195=1),IF(OR((A12&gt;=(Sheet1!D$148+$A$11)-1),AND(Sheet1!D$8=3,A12&gt;=6))," ",A12+1),NA())</f>
        <v xml:space="preserve"> </v>
      </c>
      <c r="N13" s="271" t="str">
        <f>IF(OR(Sheet1!D$192=1,Sheet1!D$195=1),IF(OR((B12&gt;=(Sheet1!D$148+$B$11)-1),AND(Sheet1!D$8=3,A12&gt;=6))," ",B12+1),NA())</f>
        <v xml:space="preserve"> </v>
      </c>
      <c r="O13" s="266" t="e">
        <f>IF(AND(Sheet1!D$8=3,M13=" ")," ",IF(OR(Sheet1!D$192=1,Sheet1!D$195=1),IF(O12&gt;0,IF(AND(OR(Sheet1!D$8=2,Sheet1!D$22=3),O12&gt;=10)," ",O12+1),IF(NOT(Sheet1!D$192=1),0,IF(ROUND(VLOOKUP(A13,StatusQuo!A$19:M$68,13),Sheet1!D$75)-ROUND(VLOOKUP(A13,AlternativeC!A$110:M$159,13),Sheet1!D$75)&gt;0,1,0)))," "))</f>
        <v>#VALUE!</v>
      </c>
      <c r="P13" s="263" t="str">
        <f>IF(AND(A13&lt;&gt;" ",Sheet1!D$192=1,Sheet1!D$195=1),IF(AND(OR(Sheet1!D$8=2,Sheet1!D$22=3),O13&gt;10),0,ROUND(VLOOKUP(A13,StatusQuo!A$19:M$68,13),Sheet1!D$75)),IF(NOT(Sheet1!D$192=1),"not feasible",IF(A13=" "," ", "Savings is  n/a=&gt;")))</f>
        <v xml:space="preserve"> </v>
      </c>
      <c r="Q13" s="263" t="str">
        <f>IF(AND(A13&lt;&gt;" ",Sheet1!D$192=1,Sheet1!D$195=1),IF(AND(OR(Sheet1!D$8=2,Sheet1!D$22=3),O13&gt;10),0,ROUND(VLOOKUP(A13,AlternativeC!A$110:M$159,13),Sheet1!D$75)),IF(NOT(Sheet1!D$195=1),"not feasible",IF(A13=" "," ","&lt;== Savings is n/a")))</f>
        <v>not feasible</v>
      </c>
      <c r="R13" s="263" t="str">
        <f>IF(AND(A13&lt;&gt;" ",Sheet1!D$192=1,Sheet1!D$195=1),IF(G$81&lt;&gt;" ","??????? ",P13-Q13)," ")</f>
        <v xml:space="preserve"> </v>
      </c>
      <c r="S13" s="263" t="str">
        <f>IF(AND(A13&lt;&gt;" ",Sheet1!D$192=1,Sheet1!D$195=1),ROUND(R13*G13,Sheet1!D$75)," ")</f>
        <v xml:space="preserve"> </v>
      </c>
      <c r="T13" s="263" t="str">
        <f>IF(AND(A13&lt;&gt;" ",Sheet1!D$192=1,Sheet1!D$195=1),ROUND((R13/I13)*J13,Sheet1!D$75)," ")</f>
        <v xml:space="preserve"> </v>
      </c>
      <c r="U13" s="265">
        <f>SUM(T$11:T13)</f>
        <v>0</v>
      </c>
      <c r="V13" s="254" t="str">
        <f t="shared" si="0"/>
        <v xml:space="preserve"> </v>
      </c>
      <c r="W13" s="268">
        <f t="shared" si="1"/>
        <v>3</v>
      </c>
      <c r="X13" s="171" t="str">
        <f t="shared" si="2"/>
        <v xml:space="preserve"> </v>
      </c>
      <c r="Y13" s="269">
        <f>IF(K61&gt;=AJ61,VLOOKUP(Y11,A11:AA42,27)," ")</f>
        <v>0</v>
      </c>
      <c r="Z13" s="270" t="s">
        <v>323</v>
      </c>
      <c r="AA13" s="265">
        <f>SUM(K$11:K13)</f>
        <v>0</v>
      </c>
      <c r="AB13" s="271" t="str">
        <f>IF(OR(Sheet1!D$192=1,Sheet1!D$195=1),IF(OR((AB12&gt;=(Sheet1!D$148+$A$11)-1),AND(Sheet1!D$8=3,AB12&gt;=6))," ",AB12+1),NA())</f>
        <v xml:space="preserve"> </v>
      </c>
      <c r="AC13" s="271" t="str">
        <f>IF(OR(Sheet1!D$192=1,Sheet1!D$195=1),IF(OR((AC12&gt;=(Sheet1!D$148+$B$11)-1),AND(Sheet1!D$8=3,AB12&gt;=6))," ",AC12+1),NA())</f>
        <v xml:space="preserve"> </v>
      </c>
      <c r="AD13" s="262"/>
      <c r="AE13" s="263" t="str">
        <f>IF(AND(Sheet1!D$195=1,AB13&lt;&gt;" "),ROUND(VLOOKUP(AB13,AlternativeC!A$17:M$66,12),Sheet1!D$75),IF(Sheet1!D$195=1," ","Alt  'C'  not feasible"))</f>
        <v>Alt  'C'  not feasible</v>
      </c>
      <c r="AF13" s="264" t="str">
        <f>IF(AB13&lt;=Sheet1!D$148, (1/((1+AF$10)^(AB13-0.5)))," ")</f>
        <v xml:space="preserve"> </v>
      </c>
      <c r="AG13" s="263" t="str">
        <f>IF(AND(Sheet1!D$195=1,AB13&lt;&gt;" "),ROUND(+AE13*AF13,Sheet1!D$75)," ")</f>
        <v xml:space="preserve"> </v>
      </c>
      <c r="AH13" s="264" t="str">
        <f>IF(AB13&lt;&gt;" ",ROUND(VLOOKUP(Sheet1!E$82,CHOOSE(Sheet1!D$214,Inflate1,Inflate2,Inflate3,Inflate4,Inflate5,Inflate6,Inflate7,Inflate8),2),4)," ")</f>
        <v xml:space="preserve"> </v>
      </c>
      <c r="AI13" s="264" t="str">
        <f>IF(AB13&lt;&gt;" ",ROUND(VLOOKUP(AC13,CHOOSE(Sheet1!D$214,Inflate1,Inflate2,Inflate3,Inflate4,Inflate5,Inflate6,Inflate7,Inflate8),3),4)," ")</f>
        <v xml:space="preserve"> </v>
      </c>
      <c r="AJ13" s="263" t="b">
        <f>IF(AND(Sheet1!D$195=1,AB13&lt;&gt;" "),IF(AND(O13&lt;=10,OR(Sheet1!D$8=2,Sheet1!D$8=3,Sheet1!D$22=3)),ROUND((AE13/AH13)*AI13,Sheet1!D$75),IF(AND(Sheet1!D$8&lt;&gt;2,Sheet1!D$8&lt;&gt;3,Sheet1!D$22&lt;&gt;3),ROUND((AE13/AH13)*AI13,Sheet1!D$75)," ")))</f>
        <v>0</v>
      </c>
    </row>
    <row r="14" spans="1:36" ht="12" customHeight="1" x14ac:dyDescent="0.2">
      <c r="A14" s="271" t="str">
        <f>IF(OR(Sheet1!D$192=1,Sheet1!D$195=1),IF(OR((A13&gt;=(Sheet1!D$148+$A$11)-1),AND(Sheet1!D$8=3,A13&gt;=6))," ",A13+1),NA())</f>
        <v xml:space="preserve"> </v>
      </c>
      <c r="B14" s="271" t="str">
        <f>IF(OR(Sheet1!D$192=1,Sheet1!D$195=1),IF(OR((B13&gt;=(Sheet1!D$148+$B$11)-1),AND(Sheet1!D$8=3,A13&gt;=6))," ",B13+1),NA())</f>
        <v xml:space="preserve"> </v>
      </c>
      <c r="C14" s="262"/>
      <c r="D14" s="263" t="str">
        <f>IF(AND(Sheet1!D$192=1,A14&lt;&gt;" "),ROUND(VLOOKUP(A14,StatusQuo!A$19:M$68,12),Sheet1!D$75),IF(Sheet1!D$192=1," ","SQ not feasible "))</f>
        <v xml:space="preserve"> </v>
      </c>
      <c r="E14" s="263" t="str">
        <f>IF(AND(Sheet1!D$195=1,A14&lt;&gt;" "),ROUND(VLOOKUP(A14,AlternativeC!A$110:M$159,12),Sheet1!D$75),IF(Sheet1!D$195=1," ","Alt  'C'  not feasible"))</f>
        <v>Alt  'C'  not feasible</v>
      </c>
      <c r="F14" s="263" t="str">
        <f>IF(AND(A14&lt;&gt;" ",Sheet1!D$192=1,Sheet1!D$195=1),D14-E14,IF(AND(Sheet1!D$195=1,A14&lt;&gt;" ")," "," "))</f>
        <v xml:space="preserve"> </v>
      </c>
      <c r="G14" s="264" t="str">
        <f>IF(A14&lt;=Sheet1!D$148, (1/((1+G10)^(A14-0.5)))," ")</f>
        <v xml:space="preserve"> </v>
      </c>
      <c r="H14" s="263" t="str">
        <f>IF(AND(A14&lt;&gt;" ",Sheet1!D$192=1,Sheet1!D$195=1),ROUND(F14*G14,Sheet1!D$75),IF(AND(A14&lt;&gt;" ",Sheet1!D$195=1),ROUND(E14*G14,Sheet1!D$75)," "))</f>
        <v xml:space="preserve"> </v>
      </c>
      <c r="I14" s="264" t="str">
        <f>IF(A14&lt;&gt;" ",ROUND(VLOOKUP(Sheet1!E$82,CHOOSE(Sheet1!D$234,Inflate7,Inflate2,Inflate3,Inflate4,Inflate5,Inflate6,Inflate1,Inflate8),2),4)," ")</f>
        <v xml:space="preserve"> </v>
      </c>
      <c r="J14" s="264" t="str">
        <f>IF(A14&lt;&gt;" ",ROUND(VLOOKUP(B14,CHOOSE(Sheet1!D$234,Inflate7,Inflate2,Inflate3,Inflate4,Inflate5,Inflate6,Inflate1,Inflate8),3),4)," ")</f>
        <v xml:space="preserve"> </v>
      </c>
      <c r="K14" s="265" t="str">
        <f>IF(AND(A14&lt;&gt;" ",Sheet1!D$192=1,Sheet1!D$195=1),ROUND((F14/I14)*J14,Sheet1!D$75),IF(AND(A14&lt;&gt;" ",Sheet1!D$195=1),ROUND((E14/I14)*J14,Sheet1!D$75)," "))</f>
        <v xml:space="preserve"> </v>
      </c>
      <c r="L14" s="254" t="str">
        <f>IF(Sheet1!D$192=1,IF(AND(AA14&gt;AJ$61,AA13&lt;=AJ$61),"&lt;-Payback"," ")," ")</f>
        <v xml:space="preserve"> </v>
      </c>
      <c r="M14" s="271" t="str">
        <f>IF(OR(Sheet1!D$192=1,Sheet1!D$195=1),IF(OR((A13&gt;=(Sheet1!D$148+$A$11)-1),AND(Sheet1!D$8=3,A13&gt;=6))," ",A13+1),NA())</f>
        <v xml:space="preserve"> </v>
      </c>
      <c r="N14" s="271" t="str">
        <f>IF(OR(Sheet1!D$192=1,Sheet1!D$195=1),IF(OR((B13&gt;=(Sheet1!D$148+$B$11)-1),AND(Sheet1!D$8=3,A13&gt;=6))," ",B13+1),NA())</f>
        <v xml:space="preserve"> </v>
      </c>
      <c r="O14" s="266" t="e">
        <f>IF(AND(Sheet1!D$8=3,M14=" ")," ",IF(OR(Sheet1!D$192=1,Sheet1!D$195=1),IF(O13&gt;0,IF(AND(OR(Sheet1!D$8=2,Sheet1!D$22=3),O13&gt;=10)," ",O13+1),IF(NOT(Sheet1!D$192=1),0,IF(ROUND(VLOOKUP(A14,StatusQuo!A$19:M$68,13),Sheet1!D$75)-ROUND(VLOOKUP(A14,AlternativeC!A$110:M$159,13),Sheet1!D$75)&gt;0,1,0)))," "))</f>
        <v>#VALUE!</v>
      </c>
      <c r="P14" s="263" t="str">
        <f>IF(AND(A14&lt;&gt;" ",Sheet1!D$192=1,Sheet1!D$195=1),IF(AND(OR(Sheet1!D$8=2,Sheet1!D$22=3),O14&gt;10),0,ROUND(VLOOKUP(A14,StatusQuo!A$19:M$68,13),Sheet1!D$75)),IF(NOT(Sheet1!D$192=1),"not feasible",IF(A14=" "," ", "Savings is  n/a=&gt;")))</f>
        <v xml:space="preserve"> </v>
      </c>
      <c r="Q14" s="263" t="str">
        <f>IF(AND(A14&lt;&gt;" ",Sheet1!D$192=1,Sheet1!D$195=1),IF(AND(OR(Sheet1!D$8=2,Sheet1!D$22=3),O14&gt;10),0,ROUND(VLOOKUP(A14,AlternativeC!A$110:M$159,13),Sheet1!D$75)),IF(NOT(Sheet1!D$195=1),"not feasible",IF(A14=" "," ","&lt;== Savings is n/a")))</f>
        <v>not feasible</v>
      </c>
      <c r="R14" s="263" t="str">
        <f>IF(AND(A14&lt;&gt;" ",Sheet1!D$192=1,Sheet1!D$195=1),IF(G$81&lt;&gt;" ","??????? ",P14-Q14)," ")</f>
        <v xml:space="preserve"> </v>
      </c>
      <c r="S14" s="263" t="str">
        <f>IF(AND(A14&lt;&gt;" ",Sheet1!D$192=1,Sheet1!D$195=1),ROUND(R14*G14,Sheet1!D$75)," ")</f>
        <v xml:space="preserve"> </v>
      </c>
      <c r="T14" s="263" t="str">
        <f>IF(AND(A14&lt;&gt;" ",Sheet1!D$192=1,Sheet1!D$195=1),ROUND((R14/I14)*J14,Sheet1!D$75)," ")</f>
        <v xml:space="preserve"> </v>
      </c>
      <c r="U14" s="265">
        <f>SUM(T$11:T14)</f>
        <v>0</v>
      </c>
      <c r="V14" s="254" t="str">
        <f t="shared" si="0"/>
        <v xml:space="preserve"> </v>
      </c>
      <c r="W14" s="268">
        <f t="shared" si="1"/>
        <v>4</v>
      </c>
      <c r="X14" s="171" t="str">
        <f t="shared" si="2"/>
        <v xml:space="preserve"> </v>
      </c>
      <c r="Y14" s="373" t="e">
        <f>IF(AJ61&gt;K61," ",ROUND((AJ61-Y12)/(Y13-Y12),3))</f>
        <v>#VALUE!</v>
      </c>
      <c r="Z14" s="270" t="s">
        <v>329</v>
      </c>
      <c r="AA14" s="265">
        <f>SUM(K$11:K14)</f>
        <v>0</v>
      </c>
      <c r="AB14" s="271" t="str">
        <f>IF(OR(Sheet1!D$192=1,Sheet1!D$195=1),IF(OR((AB13&gt;=(Sheet1!D$148+$A$11)-1),AND(Sheet1!D$8=3,AB13&gt;=6))," ",AB13+1),NA())</f>
        <v xml:space="preserve"> </v>
      </c>
      <c r="AC14" s="271" t="str">
        <f>IF(OR(Sheet1!D$192=1,Sheet1!D$195=1),IF(OR((AC13&gt;=(Sheet1!D$148+$B$11)-1),AND(Sheet1!D$8=3,AB13&gt;=6))," ",AC13+1),NA())</f>
        <v xml:space="preserve"> </v>
      </c>
      <c r="AD14" s="262"/>
      <c r="AE14" s="263" t="str">
        <f>IF(AND(Sheet1!D$195=1,AB14&lt;&gt;" "),ROUND(VLOOKUP(AB14,AlternativeC!A$17:M$66,12),Sheet1!D$75),IF(Sheet1!D$195=1," ","Alt  'C'  not feasible"))</f>
        <v>Alt  'C'  not feasible</v>
      </c>
      <c r="AF14" s="264" t="str">
        <f>IF(AB14&lt;=Sheet1!D$148, (1/((1+AF$10)^(AB14-0.5)))," ")</f>
        <v xml:space="preserve"> </v>
      </c>
      <c r="AG14" s="263" t="str">
        <f>IF(AND(Sheet1!D$195=1,AB14&lt;&gt;" "),ROUND(+AE14*AF14,Sheet1!D$75)," ")</f>
        <v xml:space="preserve"> </v>
      </c>
      <c r="AH14" s="264" t="str">
        <f>IF(AB14&lt;&gt;" ",ROUND(VLOOKUP(Sheet1!E$82,CHOOSE(Sheet1!D$214,Inflate1,Inflate2,Inflate3,Inflate4,Inflate5,Inflate6,Inflate7,Inflate8),2),4)," ")</f>
        <v xml:space="preserve"> </v>
      </c>
      <c r="AI14" s="264" t="str">
        <f>IF(AB14&lt;&gt;" ",ROUND(VLOOKUP(AC14,CHOOSE(Sheet1!D$214,Inflate1,Inflate2,Inflate3,Inflate4,Inflate5,Inflate6,Inflate7,Inflate8),3),4)," ")</f>
        <v xml:space="preserve"> </v>
      </c>
      <c r="AJ14" s="263" t="b">
        <f>IF(AND(Sheet1!D$195=1,AB14&lt;&gt;" "),IF(AND(O14&lt;=10,OR(Sheet1!D$8=2,Sheet1!D$8=3,Sheet1!D$22=3)),ROUND((AE14/AH14)*AI14,Sheet1!D$75),IF(AND(Sheet1!D$8&lt;&gt;2,Sheet1!D$8&lt;&gt;3,Sheet1!D$22&lt;&gt;3),ROUND((AE14/AH14)*AI14,Sheet1!D$75)," ")))</f>
        <v>0</v>
      </c>
    </row>
    <row r="15" spans="1:36" ht="12" customHeight="1" x14ac:dyDescent="0.25">
      <c r="A15" s="271" t="str">
        <f>IF(OR(Sheet1!D$192=1,Sheet1!D$195=1),IF(OR((A14&gt;=(Sheet1!D$148+$A$11)-1),AND(Sheet1!D$8=3,A14&gt;=6))," ",A14+1),NA())</f>
        <v xml:space="preserve"> </v>
      </c>
      <c r="B15" s="271" t="str">
        <f>IF(OR(Sheet1!D$192=1,Sheet1!D$195=1),IF(OR((B14&gt;=(Sheet1!D$148+$B$11)-1),AND(Sheet1!D$8=3,A14&gt;=6))," ",B14+1),NA())</f>
        <v xml:space="preserve"> </v>
      </c>
      <c r="C15" s="262"/>
      <c r="D15" s="263" t="str">
        <f>IF(AND(Sheet1!D$192=1,A15&lt;&gt;" "),ROUND(VLOOKUP(A15,StatusQuo!A$19:M$68,12),Sheet1!D$75),IF(Sheet1!D$192=1," ","SQ not feasible "))</f>
        <v xml:space="preserve"> </v>
      </c>
      <c r="E15" s="263" t="str">
        <f>IF(AND(Sheet1!D$195=1,A15&lt;&gt;" "),ROUND(VLOOKUP(A15,AlternativeC!A$110:M$159,12),Sheet1!D$75),IF(Sheet1!D$195=1," ","Alt  'C'  not feasible"))</f>
        <v>Alt  'C'  not feasible</v>
      </c>
      <c r="F15" s="263" t="str">
        <f>IF(AND(A15&lt;&gt;" ",Sheet1!D$192=1,Sheet1!D$195=1),D15-E15,IF(AND(Sheet1!D$195=1,A15&lt;&gt;" ")," "," "))</f>
        <v xml:space="preserve"> </v>
      </c>
      <c r="G15" s="264" t="str">
        <f>IF(A15&lt;=Sheet1!D$148, (1/((1+G10)^(A15-0.5)))," ")</f>
        <v xml:space="preserve"> </v>
      </c>
      <c r="H15" s="263" t="str">
        <f>IF(AND(A15&lt;&gt;" ",Sheet1!D$192=1,Sheet1!D$195=1),ROUND(F15*G15,Sheet1!D$75),IF(AND(A15&lt;&gt;" ",Sheet1!D$195=1),ROUND(E15*G15,Sheet1!D$75)," "))</f>
        <v xml:space="preserve"> </v>
      </c>
      <c r="I15" s="264" t="str">
        <f>IF(A15&lt;&gt;" ",ROUND(VLOOKUP(Sheet1!E$82,CHOOSE(Sheet1!D$234,Inflate7,Inflate2,Inflate3,Inflate4,Inflate5,Inflate6,Inflate1,Inflate8),2),4)," ")</f>
        <v xml:space="preserve"> </v>
      </c>
      <c r="J15" s="264" t="str">
        <f>IF(A15&lt;&gt;" ",ROUND(VLOOKUP(B15,CHOOSE(Sheet1!D$234,Inflate7,Inflate2,Inflate3,Inflate4,Inflate5,Inflate6,Inflate1,Inflate8),3),4)," ")</f>
        <v xml:space="preserve"> </v>
      </c>
      <c r="K15" s="265" t="str">
        <f>IF(AND(A15&lt;&gt;" ",Sheet1!D$192=1,Sheet1!D$195=1),ROUND((F15/I15)*J15,Sheet1!D$75),IF(AND(A15&lt;&gt;" ",Sheet1!D$195=1),ROUND((E15/I15)*J15,Sheet1!D$75)," "))</f>
        <v xml:space="preserve"> </v>
      </c>
      <c r="L15" s="254" t="str">
        <f>IF(Sheet1!D$192=1,IF(AND(AA15&gt;AJ$61,AA14&lt;=AJ$61),"&lt;-Payback"," ")," ")</f>
        <v xml:space="preserve"> </v>
      </c>
      <c r="M15" s="271" t="str">
        <f>IF(OR(Sheet1!D$192=1,Sheet1!D$195=1),IF(OR((A14&gt;=(Sheet1!D$148+$A$11)-1),AND(Sheet1!D$8=3,A14&gt;=6))," ",A14+1),NA())</f>
        <v xml:space="preserve"> </v>
      </c>
      <c r="N15" s="271" t="str">
        <f>IF(OR(Sheet1!D$192=1,Sheet1!D$195=1),IF(OR((B14&gt;=(Sheet1!D$148+$B$11)-1),AND(Sheet1!D$8=3,A14&gt;=6))," ",B14+1),NA())</f>
        <v xml:space="preserve"> </v>
      </c>
      <c r="O15" s="266" t="e">
        <f>IF(AND(Sheet1!D$8=3,M15=" ")," ",IF(OR(Sheet1!D$192=1,Sheet1!D$195=1),IF(O14&gt;0,IF(AND(OR(Sheet1!D$8=2,Sheet1!D$22=3),O14&gt;=10)," ",O14+1),IF(NOT(Sheet1!D$192=1),0,IF(ROUND(VLOOKUP(A15,StatusQuo!A$19:M$68,13),Sheet1!D$75)-ROUND(VLOOKUP(A15,AlternativeC!A$110:M$159,13),Sheet1!D$75)&gt;0,1,0)))," "))</f>
        <v>#VALUE!</v>
      </c>
      <c r="P15" s="263" t="str">
        <f>IF(AND(A15&lt;&gt;" ",Sheet1!D$192=1,Sheet1!D$195=1),IF(AND(OR(Sheet1!D$8=2,Sheet1!D$22=3),O15&gt;10),0,ROUND(VLOOKUP(A15,StatusQuo!A$19:M$68,13),Sheet1!D$75)),IF(NOT(Sheet1!D$192=1),"not feasible",IF(A15=" "," ", "Savings is  n/a=&gt;")))</f>
        <v xml:space="preserve"> </v>
      </c>
      <c r="Q15" s="263" t="str">
        <f>IF(AND(A15&lt;&gt;" ",Sheet1!D$192=1,Sheet1!D$195=1),IF(AND(OR(Sheet1!D$8=2,Sheet1!D$22=3),O15&gt;10),0,ROUND(VLOOKUP(A15,AlternativeC!A$110:M$159,13),Sheet1!D$75)),IF(NOT(Sheet1!D$195=1),"not feasible",IF(A15=" "," ","&lt;== Savings is n/a")))</f>
        <v>not feasible</v>
      </c>
      <c r="R15" s="263" t="str">
        <f>IF(AND(A15&lt;&gt;" ",Sheet1!D$192=1,Sheet1!D$195=1),IF(G$81&lt;&gt;" ","??????? ",P15-Q15)," ")</f>
        <v xml:space="preserve"> </v>
      </c>
      <c r="S15" s="263" t="str">
        <f>IF(AND(A15&lt;&gt;" ",Sheet1!D$192=1,Sheet1!D$195=1),ROUND(R15*G15,Sheet1!D$75)," ")</f>
        <v xml:space="preserve"> </v>
      </c>
      <c r="T15" s="263" t="str">
        <f>IF(AND(A15&lt;&gt;" ",Sheet1!D$192=1,Sheet1!D$195=1),ROUND((R15/I15)*J15,Sheet1!D$75)," ")</f>
        <v xml:space="preserve"> </v>
      </c>
      <c r="U15" s="265">
        <f>SUM(T$11:T15)</f>
        <v>0</v>
      </c>
      <c r="V15" s="254" t="str">
        <f t="shared" si="0"/>
        <v xml:space="preserve"> </v>
      </c>
      <c r="W15" s="268">
        <f t="shared" si="1"/>
        <v>5</v>
      </c>
      <c r="X15" s="171" t="str">
        <f t="shared" si="2"/>
        <v xml:space="preserve"> </v>
      </c>
      <c r="Y15" s="316"/>
      <c r="AA15" s="265">
        <f>SUM(K$11:K15)</f>
        <v>0</v>
      </c>
      <c r="AB15" s="271" t="str">
        <f>IF(OR(Sheet1!D$192=1,Sheet1!D$195=1),IF(OR((AB14&gt;=(Sheet1!D$148+$A$11)-1),AND(Sheet1!D$8=3,AB14&gt;=6))," ",AB14+1),NA())</f>
        <v xml:space="preserve"> </v>
      </c>
      <c r="AC15" s="271" t="str">
        <f>IF(OR(Sheet1!D$192=1,Sheet1!D$195=1),IF(OR((AC14&gt;=(Sheet1!D$148+$B$11)-1),AND(Sheet1!D$8=3,AB14&gt;=6))," ",AC14+1),NA())</f>
        <v xml:space="preserve"> </v>
      </c>
      <c r="AD15" s="262"/>
      <c r="AE15" s="263" t="str">
        <f>IF(AND(Sheet1!D$195=1,AB15&lt;&gt;" "),ROUND(VLOOKUP(AB15,AlternativeC!A$17:M$66,12),Sheet1!D$75),IF(Sheet1!D$195=1," ","Alt  'C'  not feasible"))</f>
        <v>Alt  'C'  not feasible</v>
      </c>
      <c r="AF15" s="264" t="str">
        <f>IF(AB15&lt;=Sheet1!D$148, (1/((1+AF$10)^(AB15-0.5)))," ")</f>
        <v xml:space="preserve"> </v>
      </c>
      <c r="AG15" s="263" t="str">
        <f>IF(AND(Sheet1!D$195=1,AB15&lt;&gt;" "),ROUND(+AE15*AF15,Sheet1!D$75)," ")</f>
        <v xml:space="preserve"> </v>
      </c>
      <c r="AH15" s="264" t="str">
        <f>IF(AB15&lt;&gt;" ",ROUND(VLOOKUP(Sheet1!E$82,CHOOSE(Sheet1!D$214,Inflate1,Inflate2,Inflate3,Inflate4,Inflate5,Inflate6,Inflate7,Inflate8),2),4)," ")</f>
        <v xml:space="preserve"> </v>
      </c>
      <c r="AI15" s="264" t="str">
        <f>IF(AB15&lt;&gt;" ",ROUND(VLOOKUP(AC15,CHOOSE(Sheet1!D$214,Inflate1,Inflate2,Inflate3,Inflate4,Inflate5,Inflate6,Inflate7,Inflate8),3),4)," ")</f>
        <v xml:space="preserve"> </v>
      </c>
      <c r="AJ15" s="263" t="b">
        <f>IF(AND(Sheet1!D$195=1,AB15&lt;&gt;" "),IF(AND(O15&lt;=10,OR(Sheet1!D$8=2,Sheet1!D$8=3,Sheet1!D$22=3)),ROUND((AE15/AH15)*AI15,Sheet1!D$75),IF(AND(Sheet1!D$8&lt;&gt;2,Sheet1!D$8&lt;&gt;3,Sheet1!D$22&lt;&gt;3),ROUND((AE15/AH15)*AI15,Sheet1!D$75)," ")))</f>
        <v>0</v>
      </c>
    </row>
    <row r="16" spans="1:36" ht="12" customHeight="1" x14ac:dyDescent="0.2">
      <c r="A16" s="271" t="str">
        <f>IF(OR(Sheet1!D$192=1,Sheet1!D$195=1),IF(OR((A15&gt;=(Sheet1!D$148+$A$11)-1),AND(Sheet1!D$8=3,A15&gt;=6))," ",A15+1),NA())</f>
        <v xml:space="preserve"> </v>
      </c>
      <c r="B16" s="271" t="str">
        <f>IF(OR(Sheet1!D$192=1,Sheet1!D$195=1),IF(OR((B15&gt;=(Sheet1!D$148+$B$11)-1),AND(Sheet1!D$8=3,A15&gt;=6))," ",B15+1),NA())</f>
        <v xml:space="preserve"> </v>
      </c>
      <c r="C16" s="262"/>
      <c r="D16" s="263" t="str">
        <f>IF(AND(Sheet1!D$192=1,A16&lt;&gt;" "),ROUND(VLOOKUP(A16,StatusQuo!A$19:M$68,12),Sheet1!D$75),IF(Sheet1!D$192=1," ","SQ not feasible "))</f>
        <v xml:space="preserve"> </v>
      </c>
      <c r="E16" s="263" t="str">
        <f>IF(AND(Sheet1!D$195=1,A16&lt;&gt;" "),ROUND(VLOOKUP(A16,AlternativeC!A$110:M$159,12),Sheet1!D$75),IF(Sheet1!D$195=1," ","Alt  'C'  not feasible"))</f>
        <v>Alt  'C'  not feasible</v>
      </c>
      <c r="F16" s="263" t="str">
        <f>IF(AND(A16&lt;&gt;" ",Sheet1!D$192=1,Sheet1!D$195=1),D16-E16,IF(AND(Sheet1!D$195=1,A16&lt;&gt;" ")," "," "))</f>
        <v xml:space="preserve"> </v>
      </c>
      <c r="G16" s="264" t="str">
        <f>IF(A16&lt;=Sheet1!D$148, (1/((1+G10)^(A16-0.5)))," ")</f>
        <v xml:space="preserve"> </v>
      </c>
      <c r="H16" s="263" t="str">
        <f>IF(AND(A16&lt;&gt;" ",Sheet1!D$192=1,Sheet1!D$195=1),ROUND(F16*G16,Sheet1!D$75),IF(AND(A16&lt;&gt;" ",Sheet1!D$195=1),ROUND(E16*G16,Sheet1!D$75)," "))</f>
        <v xml:space="preserve"> </v>
      </c>
      <c r="I16" s="264" t="str">
        <f>IF(A16&lt;&gt;" ",ROUND(VLOOKUP(Sheet1!E$82,CHOOSE(Sheet1!D$234,Inflate7,Inflate2,Inflate3,Inflate4,Inflate5,Inflate6,Inflate1,Inflate8),2),4)," ")</f>
        <v xml:space="preserve"> </v>
      </c>
      <c r="J16" s="264" t="str">
        <f>IF(A16&lt;&gt;" ",ROUND(VLOOKUP(B16,CHOOSE(Sheet1!D$234,Inflate7,Inflate2,Inflate3,Inflate4,Inflate5,Inflate6,Inflate1,Inflate8),3),4)," ")</f>
        <v xml:space="preserve"> </v>
      </c>
      <c r="K16" s="265" t="str">
        <f>IF(AND(A16&lt;&gt;" ",Sheet1!D$192=1,Sheet1!D$195=1),ROUND((F16/I16)*J16,Sheet1!D$75),IF(AND(A16&lt;&gt;" ",Sheet1!D$195=1),ROUND((E16/I16)*J16,Sheet1!D$75)," "))</f>
        <v xml:space="preserve"> </v>
      </c>
      <c r="L16" s="254" t="str">
        <f>IF(Sheet1!D$192=1,IF(AND(AA16&gt;AJ$61,AA15&lt;=AJ$61),"&lt;-Payback"," ")," ")</f>
        <v xml:space="preserve"> </v>
      </c>
      <c r="M16" s="271" t="str">
        <f>IF(OR(Sheet1!D$192=1,Sheet1!D$195=1),IF(OR((A15&gt;=(Sheet1!D$148+$A$11)-1),AND(Sheet1!D$8=3,A15&gt;=6))," ",A15+1),NA())</f>
        <v xml:space="preserve"> </v>
      </c>
      <c r="N16" s="271" t="str">
        <f>IF(OR(Sheet1!D$192=1,Sheet1!D$195=1),IF(OR((B15&gt;=(Sheet1!D$148+$B$11)-1),AND(Sheet1!D$8=3,A15&gt;=6))," ",B15+1),NA())</f>
        <v xml:space="preserve"> </v>
      </c>
      <c r="O16" s="266" t="e">
        <f>IF(AND(Sheet1!D$8=3,M16=" ")," ",IF(OR(Sheet1!D$192=1,Sheet1!D$195=1),IF(O15&gt;0,IF(AND(OR(Sheet1!D$8=2,Sheet1!D$22=3),O15&gt;=10)," ",O15+1),IF(NOT(Sheet1!D$192=1),0,IF(ROUND(VLOOKUP(A16,StatusQuo!A$19:M$68,13),Sheet1!D$75)-ROUND(VLOOKUP(A16,AlternativeC!A$110:M$159,13),Sheet1!D$75)&gt;0,1,0)))," "))</f>
        <v>#VALUE!</v>
      </c>
      <c r="P16" s="263" t="str">
        <f>IF(AND(A16&lt;&gt;" ",Sheet1!D$192=1,Sheet1!D$195=1),IF(AND(OR(Sheet1!D$8=2,Sheet1!D$22=3),O16&gt;10),0,ROUND(VLOOKUP(A16,StatusQuo!A$19:M$68,13),Sheet1!D$75)),IF(NOT(Sheet1!D$192=1),"not feasible",IF(A16=" "," ", "Savings is  n/a=&gt;")))</f>
        <v xml:space="preserve"> </v>
      </c>
      <c r="Q16" s="263" t="str">
        <f>IF(AND(A16&lt;&gt;" ",Sheet1!D$192=1,Sheet1!D$195=1),IF(AND(OR(Sheet1!D$8=2,Sheet1!D$22=3),O16&gt;10),0,ROUND(VLOOKUP(A16,AlternativeC!A$110:M$159,13),Sheet1!D$75)),IF(NOT(Sheet1!D$195=1),"not feasible",IF(A16=" "," ","&lt;== Savings is n/a")))</f>
        <v>not feasible</v>
      </c>
      <c r="R16" s="263" t="str">
        <f>IF(AND(A16&lt;&gt;" ",Sheet1!D$192=1,Sheet1!D$195=1),IF(G$81&lt;&gt;" ","??????? ",P16-Q16)," ")</f>
        <v xml:space="preserve"> </v>
      </c>
      <c r="S16" s="263" t="str">
        <f>IF(AND(A16&lt;&gt;" ",Sheet1!D$192=1,Sheet1!D$195=1),ROUND(R16*G16,Sheet1!D$75)," ")</f>
        <v xml:space="preserve"> </v>
      </c>
      <c r="T16" s="263" t="str">
        <f>IF(AND(A16&lt;&gt;" ",Sheet1!D$192=1,Sheet1!D$195=1),ROUND((R16/I16)*J16,Sheet1!D$75)," ")</f>
        <v xml:space="preserve"> </v>
      </c>
      <c r="U16" s="265">
        <f>SUM(T$11:T16)</f>
        <v>0</v>
      </c>
      <c r="V16" s="254" t="str">
        <f t="shared" si="0"/>
        <v xml:space="preserve"> </v>
      </c>
      <c r="W16" s="268">
        <f t="shared" si="1"/>
        <v>6</v>
      </c>
      <c r="X16" s="171" t="str">
        <f t="shared" si="2"/>
        <v xml:space="preserve"> </v>
      </c>
      <c r="AA16" s="265">
        <f>SUM(K$11:K16)</f>
        <v>0</v>
      </c>
      <c r="AB16" s="271" t="str">
        <f>IF(OR(Sheet1!D$192=1,Sheet1!D$195=1),IF(OR((AB15&gt;=(Sheet1!D$148+$A$11)-1),AND(Sheet1!D$8=3,AB15&gt;=6))," ",AB15+1),NA())</f>
        <v xml:space="preserve"> </v>
      </c>
      <c r="AC16" s="271" t="str">
        <f>IF(OR(Sheet1!D$192=1,Sheet1!D$195=1),IF(OR((AC15&gt;=(Sheet1!D$148+$B$11)-1),AND(Sheet1!D$8=3,AB15&gt;=6))," ",AC15+1),NA())</f>
        <v xml:space="preserve"> </v>
      </c>
      <c r="AD16" s="262"/>
      <c r="AE16" s="263" t="str">
        <f>IF(AND(Sheet1!D$195=1,AB16&lt;&gt;" "),ROUND(VLOOKUP(AB16,AlternativeC!A$17:M$66,12),Sheet1!D$75),IF(Sheet1!D$195=1," ","Alt  'C'  not feasible"))</f>
        <v>Alt  'C'  not feasible</v>
      </c>
      <c r="AF16" s="264" t="str">
        <f>IF(AB16&lt;=Sheet1!D$148, (1/((1+AF$10)^(AB16-0.5)))," ")</f>
        <v xml:space="preserve"> </v>
      </c>
      <c r="AG16" s="263" t="str">
        <f>IF(AND(Sheet1!D$195=1,AB16&lt;&gt;" "),ROUND(+AE16*AF16,Sheet1!D$75)," ")</f>
        <v xml:space="preserve"> </v>
      </c>
      <c r="AH16" s="264" t="str">
        <f>IF(AB16&lt;&gt;" ",ROUND(VLOOKUP(Sheet1!E$82,CHOOSE(Sheet1!D$214,Inflate1,Inflate2,Inflate3,Inflate4,Inflate5,Inflate6,Inflate7,Inflate8),2),4)," ")</f>
        <v xml:space="preserve"> </v>
      </c>
      <c r="AI16" s="264" t="str">
        <f>IF(AB16&lt;&gt;" ",ROUND(VLOOKUP(AC16,CHOOSE(Sheet1!D$214,Inflate1,Inflate2,Inflate3,Inflate4,Inflate5,Inflate6,Inflate7,Inflate8),3),4)," ")</f>
        <v xml:space="preserve"> </v>
      </c>
      <c r="AJ16" s="263" t="b">
        <f>IF(AND(Sheet1!D$195=1,AB16&lt;&gt;" "),IF(AND(O16&lt;=10,OR(Sheet1!D$8=2,Sheet1!D$8=3,Sheet1!D$22=3)),ROUND((AE16/AH16)*AI16,Sheet1!D$75),IF(AND(Sheet1!D$8&lt;&gt;2,Sheet1!D$8&lt;&gt;3,Sheet1!D$22&lt;&gt;3),ROUND((AE16/AH16)*AI16,Sheet1!D$75)," ")))</f>
        <v>0</v>
      </c>
    </row>
    <row r="17" spans="1:36" ht="12" customHeight="1" x14ac:dyDescent="0.2">
      <c r="A17" s="271" t="str">
        <f>IF(OR(Sheet1!D$192=1,Sheet1!D$195=1),IF(OR((A16&gt;=(Sheet1!D$148+$A$11)-1),AND(Sheet1!D$8=3,A16&gt;=6))," ",A16+1),NA())</f>
        <v xml:space="preserve"> </v>
      </c>
      <c r="B17" s="271" t="str">
        <f>IF(OR(Sheet1!D$192=1,Sheet1!D$195=1),IF(OR((B16&gt;=(Sheet1!D$148+$B$11)-1),AND(Sheet1!D$8=3,A16&gt;=6))," ",B16+1),NA())</f>
        <v xml:space="preserve"> </v>
      </c>
      <c r="C17" s="262"/>
      <c r="D17" s="263" t="str">
        <f>IF(AND(Sheet1!D$192=1,A17&lt;&gt;" "),ROUND(VLOOKUP(A17,StatusQuo!A$19:M$68,12),Sheet1!D$75),IF(Sheet1!D$192=1," ","SQ not feasible "))</f>
        <v xml:space="preserve"> </v>
      </c>
      <c r="E17" s="263" t="str">
        <f>IF(AND(Sheet1!D$195=1,A17&lt;&gt;" "),ROUND(VLOOKUP(A17,AlternativeC!A$110:M$159,12),Sheet1!D$75),IF(Sheet1!D$195=1," ","Alt  'C'  not feasible"))</f>
        <v>Alt  'C'  not feasible</v>
      </c>
      <c r="F17" s="263" t="str">
        <f>IF(AND(A17&lt;&gt;" ",Sheet1!D$192=1,Sheet1!D$195=1),D17-E17,IF(AND(Sheet1!D$195=1,A17&lt;&gt;" ")," "," "))</f>
        <v xml:space="preserve"> </v>
      </c>
      <c r="G17" s="264" t="str">
        <f>IF(A17&lt;=Sheet1!D$148, (1/((1+G10)^(A17-0.5)))," ")</f>
        <v xml:space="preserve"> </v>
      </c>
      <c r="H17" s="263" t="str">
        <f>IF(AND(A17&lt;&gt;" ",Sheet1!D$192=1,Sheet1!D$195=1),ROUND(F17*G17,Sheet1!D$75),IF(AND(A17&lt;&gt;" ",Sheet1!D$195=1),ROUND(E17*G17,Sheet1!D$75)," "))</f>
        <v xml:space="preserve"> </v>
      </c>
      <c r="I17" s="264" t="str">
        <f>IF(A17&lt;&gt;" ",ROUND(VLOOKUP(Sheet1!E$82,CHOOSE(Sheet1!D$234,Inflate7,Inflate2,Inflate3,Inflate4,Inflate5,Inflate6,Inflate1,Inflate8),2),4)," ")</f>
        <v xml:space="preserve"> </v>
      </c>
      <c r="J17" s="264" t="str">
        <f>IF(A17&lt;&gt;" ",ROUND(VLOOKUP(B17,CHOOSE(Sheet1!D$234,Inflate7,Inflate2,Inflate3,Inflate4,Inflate5,Inflate6,Inflate1,Inflate8),3),4)," ")</f>
        <v xml:space="preserve"> </v>
      </c>
      <c r="K17" s="265" t="str">
        <f>IF(AND(A17&lt;&gt;" ",Sheet1!D$192=1,Sheet1!D$195=1),ROUND((F17/I17)*J17,Sheet1!D$75),IF(AND(A17&lt;&gt;" ",Sheet1!D$195=1),ROUND((E17/I17)*J17,Sheet1!D$75)," "))</f>
        <v xml:space="preserve"> </v>
      </c>
      <c r="L17" s="254" t="str">
        <f>IF(Sheet1!D$192=1,IF(AND(AA17&gt;AJ$61,AA16&lt;=AJ$61),"&lt;-Payback"," ")," ")</f>
        <v xml:space="preserve"> </v>
      </c>
      <c r="M17" s="271" t="str">
        <f>IF(OR(Sheet1!D$192=1,Sheet1!D$195=1),IF(OR((A16&gt;=(Sheet1!D$148+$A$11)-1),AND(Sheet1!D$8=3,A16&gt;=6))," ",A16+1),NA())</f>
        <v xml:space="preserve"> </v>
      </c>
      <c r="N17" s="271" t="str">
        <f>IF(OR(Sheet1!D$192=1,Sheet1!D$195=1),IF(OR((B16&gt;=(Sheet1!D$148+$B$11)-1),AND(Sheet1!D$8=3,A16&gt;=6))," ",B16+1),NA())</f>
        <v xml:space="preserve"> </v>
      </c>
      <c r="O17" s="266" t="e">
        <f>IF(AND(Sheet1!D$8=3,M17=" ")," ",IF(OR(Sheet1!D$192=1,Sheet1!D$195=1),IF(O16&gt;0,IF(AND(OR(Sheet1!D$8=2,Sheet1!D$22=3),O16&gt;=10)," ",O16+1),IF(NOT(Sheet1!D$192=1),0,IF(ROUND(VLOOKUP(A17,StatusQuo!A$19:M$68,13),Sheet1!D$75)-ROUND(VLOOKUP(A17,AlternativeC!A$110:M$159,13),Sheet1!D$75)&gt;0,1,0)))," "))</f>
        <v>#VALUE!</v>
      </c>
      <c r="P17" s="263" t="str">
        <f>IF(AND(A17&lt;&gt;" ",Sheet1!D$192=1,Sheet1!D$195=1),IF(AND(OR(Sheet1!D$8=2,Sheet1!D$22=3),O17&gt;10),0,ROUND(VLOOKUP(A17,StatusQuo!A$19:M$68,13),Sheet1!D$75)),IF(NOT(Sheet1!D$192=1),"not feasible",IF(A17=" "," ", "Savings is  n/a=&gt;")))</f>
        <v xml:space="preserve"> </v>
      </c>
      <c r="Q17" s="263" t="str">
        <f>IF(AND(A17&lt;&gt;" ",Sheet1!D$192=1,Sheet1!D$195=1),IF(AND(OR(Sheet1!D$8=2,Sheet1!D$22=3),O17&gt;10),0,ROUND(VLOOKUP(A17,AlternativeC!A$110:M$159,13),Sheet1!D$75)),IF(NOT(Sheet1!D$195=1),"not feasible",IF(A17=" "," ","&lt;== Savings is n/a")))</f>
        <v>not feasible</v>
      </c>
      <c r="R17" s="263" t="str">
        <f>IF(AND(A17&lt;&gt;" ",Sheet1!D$192=1,Sheet1!D$195=1),IF(G$81&lt;&gt;" ","??????? ",P17-Q17)," ")</f>
        <v xml:space="preserve"> </v>
      </c>
      <c r="S17" s="263" t="str">
        <f>IF(AND(A17&lt;&gt;" ",Sheet1!D$192=1,Sheet1!D$195=1),ROUND(R17*G17,Sheet1!D$75)," ")</f>
        <v xml:space="preserve"> </v>
      </c>
      <c r="T17" s="263" t="str">
        <f>IF(AND(A17&lt;&gt;" ",Sheet1!D$192=1,Sheet1!D$195=1),ROUND((R17/I17)*J17,Sheet1!D$75)," ")</f>
        <v xml:space="preserve"> </v>
      </c>
      <c r="U17" s="265">
        <f>SUM(T$11:T17)</f>
        <v>0</v>
      </c>
      <c r="V17" s="254" t="str">
        <f t="shared" si="0"/>
        <v xml:space="preserve"> </v>
      </c>
      <c r="W17" s="268">
        <f t="shared" si="1"/>
        <v>7</v>
      </c>
      <c r="X17" s="171" t="str">
        <f t="shared" si="2"/>
        <v xml:space="preserve"> </v>
      </c>
      <c r="AA17" s="265">
        <f>SUM(K$11:K17)</f>
        <v>0</v>
      </c>
      <c r="AB17" s="271" t="str">
        <f>IF(OR(Sheet1!D$192=1,Sheet1!D$195=1),IF(OR((AB16&gt;=(Sheet1!D$148+$A$11)-1),AND(Sheet1!D$8=3,AB16&gt;=6))," ",AB16+1),NA())</f>
        <v xml:space="preserve"> </v>
      </c>
      <c r="AC17" s="271" t="str">
        <f>IF(OR(Sheet1!D$192=1,Sheet1!D$195=1),IF(OR((AC16&gt;=(Sheet1!D$148+$B$11)-1),AND(Sheet1!D$8=3,AB16&gt;=6))," ",AC16+1),NA())</f>
        <v xml:space="preserve"> </v>
      </c>
      <c r="AD17" s="262"/>
      <c r="AE17" s="263" t="str">
        <f>IF(AND(Sheet1!D$195=1,AB17&lt;&gt;" "),ROUND(VLOOKUP(AB17,AlternativeC!A$17:M$66,12),Sheet1!D$75),IF(Sheet1!D$195=1," ","Alt  'C'  not feasible"))</f>
        <v>Alt  'C'  not feasible</v>
      </c>
      <c r="AF17" s="264" t="str">
        <f>IF(AB17&lt;=Sheet1!D$148, (1/((1+AF$10)^(AB17-0.5)))," ")</f>
        <v xml:space="preserve"> </v>
      </c>
      <c r="AG17" s="263" t="str">
        <f>IF(AND(Sheet1!D$195=1,AB17&lt;&gt;" "),ROUND(+AE17*AF17,Sheet1!D$75)," ")</f>
        <v xml:space="preserve"> </v>
      </c>
      <c r="AH17" s="264" t="str">
        <f>IF(AB17&lt;&gt;" ",ROUND(VLOOKUP(Sheet1!E$82,CHOOSE(Sheet1!D$214,Inflate1,Inflate2,Inflate3,Inflate4,Inflate5,Inflate6,Inflate7,Inflate8),2),4)," ")</f>
        <v xml:space="preserve"> </v>
      </c>
      <c r="AI17" s="264" t="str">
        <f>IF(AB17&lt;&gt;" ",ROUND(VLOOKUP(AC17,CHOOSE(Sheet1!D$214,Inflate1,Inflate2,Inflate3,Inflate4,Inflate5,Inflate6,Inflate7,Inflate8),3),4)," ")</f>
        <v xml:space="preserve"> </v>
      </c>
      <c r="AJ17" s="263" t="b">
        <f>IF(AND(Sheet1!D$195=1,AB17&lt;&gt;" "),IF(AND(O17&lt;=10,OR(Sheet1!D$8=2,Sheet1!D$8=3,Sheet1!D$22=3)),ROUND((AE17/AH17)*AI17,Sheet1!D$75),IF(AND(Sheet1!D$8&lt;&gt;2,Sheet1!D$8&lt;&gt;3,Sheet1!D$22&lt;&gt;3),ROUND((AE17/AH17)*AI17,Sheet1!D$75)," ")))</f>
        <v>0</v>
      </c>
    </row>
    <row r="18" spans="1:36" ht="12" customHeight="1" x14ac:dyDescent="0.2">
      <c r="A18" s="271" t="str">
        <f>IF(OR(Sheet1!D$192=1,Sheet1!D$195=1),IF(OR((A17&gt;=(Sheet1!D$148+$A$11)-1),AND(Sheet1!D$8=3,A17&gt;=6))," ",A17+1),NA())</f>
        <v xml:space="preserve"> </v>
      </c>
      <c r="B18" s="271" t="str">
        <f>IF(OR(Sheet1!D$192=1,Sheet1!D$195=1),IF(OR((B17&gt;=(Sheet1!D$148+$B$11)-1),AND(Sheet1!D$8=3,A17&gt;=6))," ",B17+1),NA())</f>
        <v xml:space="preserve"> </v>
      </c>
      <c r="C18" s="262"/>
      <c r="D18" s="263" t="str">
        <f>IF(AND(Sheet1!D$192=1,A18&lt;&gt;" "),ROUND(VLOOKUP(A18,StatusQuo!A$19:M$68,12),Sheet1!D$75),IF(Sheet1!D$192=1," ","SQ not feasible "))</f>
        <v xml:space="preserve"> </v>
      </c>
      <c r="E18" s="263" t="str">
        <f>IF(AND(Sheet1!D$195=1,A18&lt;&gt;" "),ROUND(VLOOKUP(A18,AlternativeC!A$110:M$159,12),Sheet1!D$75),IF(Sheet1!D$195=1," ","Alt  'C'  not feasible"))</f>
        <v>Alt  'C'  not feasible</v>
      </c>
      <c r="F18" s="263" t="str">
        <f>IF(AND(A18&lt;&gt;" ",Sheet1!D$192=1,Sheet1!D$195=1),D18-E18,IF(AND(Sheet1!D$195=1,A18&lt;&gt;" ")," "," "))</f>
        <v xml:space="preserve"> </v>
      </c>
      <c r="G18" s="264" t="str">
        <f>IF(A18&lt;=Sheet1!D$148, (1/((1+G10)^(A18-0.5)))," ")</f>
        <v xml:space="preserve"> </v>
      </c>
      <c r="H18" s="263" t="str">
        <f>IF(AND(A18&lt;&gt;" ",Sheet1!D$192=1,Sheet1!D$195=1),ROUND(F18*G18,Sheet1!D$75),IF(AND(A18&lt;&gt;" ",Sheet1!D$195=1),ROUND(E18*G18,Sheet1!D$75)," "))</f>
        <v xml:space="preserve"> </v>
      </c>
      <c r="I18" s="264" t="str">
        <f>IF(A18&lt;&gt;" ",ROUND(VLOOKUP(Sheet1!E$82,CHOOSE(Sheet1!D$234,Inflate7,Inflate2,Inflate3,Inflate4,Inflate5,Inflate6,Inflate1,Inflate8),2),4)," ")</f>
        <v xml:space="preserve"> </v>
      </c>
      <c r="J18" s="264" t="str">
        <f>IF(A18&lt;&gt;" ",ROUND(VLOOKUP(B18,CHOOSE(Sheet1!D$234,Inflate7,Inflate2,Inflate3,Inflate4,Inflate5,Inflate6,Inflate1,Inflate8),3),4)," ")</f>
        <v xml:space="preserve"> </v>
      </c>
      <c r="K18" s="265" t="str">
        <f>IF(AND(A18&lt;&gt;" ",Sheet1!D$192=1,Sheet1!D$195=1),ROUND((F18/I18)*J18,Sheet1!D$75),IF(AND(A18&lt;&gt;" ",Sheet1!D$195=1),ROUND((E18/I18)*J18,Sheet1!D$75)," "))</f>
        <v xml:space="preserve"> </v>
      </c>
      <c r="L18" s="254" t="str">
        <f>IF(Sheet1!D$192=1,IF(AND(AA18&gt;AJ$61,AA17&lt;=AJ$61),"&lt;-Payback"," ")," ")</f>
        <v xml:space="preserve"> </v>
      </c>
      <c r="M18" s="271" t="str">
        <f>IF(OR(Sheet1!D$192=1,Sheet1!D$195=1),IF(OR((A17&gt;=(Sheet1!D$148+$A$11)-1),AND(Sheet1!D$8=3,A17&gt;=6))," ",A17+1),NA())</f>
        <v xml:space="preserve"> </v>
      </c>
      <c r="N18" s="271" t="str">
        <f>IF(OR(Sheet1!D$192=1,Sheet1!D$195=1),IF(OR((B17&gt;=(Sheet1!D$148+$B$11)-1),AND(Sheet1!D$8=3,A17&gt;=6))," ",B17+1),NA())</f>
        <v xml:space="preserve"> </v>
      </c>
      <c r="O18" s="266" t="e">
        <f>IF(AND(Sheet1!D$8=3,M18=" ")," ",IF(OR(Sheet1!D$192=1,Sheet1!D$195=1),IF(O17&gt;0,IF(AND(OR(Sheet1!D$8=2,Sheet1!D$22=3),O17&gt;=10)," ",O17+1),IF(NOT(Sheet1!D$192=1),0,IF(ROUND(VLOOKUP(A18,StatusQuo!A$19:M$68,13),Sheet1!D$75)-ROUND(VLOOKUP(A18,AlternativeC!A$110:M$159,13),Sheet1!D$75)&gt;0,1,0)))," "))</f>
        <v>#VALUE!</v>
      </c>
      <c r="P18" s="263" t="str">
        <f>IF(AND(A18&lt;&gt;" ",Sheet1!D$192=1,Sheet1!D$195=1),IF(AND(OR(Sheet1!D$8=2,Sheet1!D$22=3),O18&gt;10),0,ROUND(VLOOKUP(A18,StatusQuo!A$19:M$68,13),Sheet1!D$75)),IF(NOT(Sheet1!D$192=1),"not feasible",IF(A18=" "," ", "Savings is  n/a=&gt;")))</f>
        <v xml:space="preserve"> </v>
      </c>
      <c r="Q18" s="263" t="str">
        <f>IF(AND(A18&lt;&gt;" ",Sheet1!D$192=1,Sheet1!D$195=1),IF(AND(OR(Sheet1!D$8=2,Sheet1!D$22=3),O18&gt;10),0,ROUND(VLOOKUP(A18,AlternativeC!A$110:M$159,13),Sheet1!D$75)),IF(NOT(Sheet1!D$195=1),"not feasible",IF(A18=" "," ","&lt;== Savings is n/a")))</f>
        <v>not feasible</v>
      </c>
      <c r="R18" s="263" t="str">
        <f>IF(AND(A18&lt;&gt;" ",Sheet1!D$192=1,Sheet1!D$195=1),IF(G$81&lt;&gt;" ","??????? ",P18-Q18)," ")</f>
        <v xml:space="preserve"> </v>
      </c>
      <c r="S18" s="263" t="str">
        <f>IF(AND(A18&lt;&gt;" ",Sheet1!D$192=1,Sheet1!D$195=1),ROUND(R18*G18,Sheet1!D$75)," ")</f>
        <v xml:space="preserve"> </v>
      </c>
      <c r="T18" s="263" t="str">
        <f>IF(AND(A18&lt;&gt;" ",Sheet1!D$192=1,Sheet1!D$195=1),ROUND((R18/I18)*J18,Sheet1!D$75)," ")</f>
        <v xml:space="preserve"> </v>
      </c>
      <c r="U18" s="265">
        <f>SUM(T$11:T18)</f>
        <v>0</v>
      </c>
      <c r="V18" s="254" t="str">
        <f t="shared" si="0"/>
        <v xml:space="preserve"> </v>
      </c>
      <c r="W18" s="268">
        <f t="shared" si="1"/>
        <v>8</v>
      </c>
      <c r="X18" s="171" t="str">
        <f t="shared" si="2"/>
        <v xml:space="preserve"> </v>
      </c>
      <c r="AA18" s="265">
        <f>SUM(K$11:K18)</f>
        <v>0</v>
      </c>
      <c r="AB18" s="271" t="str">
        <f>IF(OR(Sheet1!D$192=1,Sheet1!D$195=1),IF(OR((AB17&gt;=(Sheet1!D$148+$A$11)-1),AND(Sheet1!D$8=3,AB17&gt;=6))," ",AB17+1),NA())</f>
        <v xml:space="preserve"> </v>
      </c>
      <c r="AC18" s="271" t="str">
        <f>IF(OR(Sheet1!D$192=1,Sheet1!D$195=1),IF(OR((AC17&gt;=(Sheet1!D$148+$B$11)-1),AND(Sheet1!D$8=3,AB17&gt;=6))," ",AC17+1),NA())</f>
        <v xml:space="preserve"> </v>
      </c>
      <c r="AD18" s="262"/>
      <c r="AE18" s="263" t="str">
        <f>IF(AND(Sheet1!D$195=1,AB18&lt;&gt;" "),ROUND(VLOOKUP(AB18,AlternativeC!A$17:M$66,12),Sheet1!D$75),IF(Sheet1!D$195=1," ","Alt  'C'  not feasible"))</f>
        <v>Alt  'C'  not feasible</v>
      </c>
      <c r="AF18" s="264" t="str">
        <f>IF(AB18&lt;=Sheet1!D$148, (1/((1+AF$10)^(AB18-0.5)))," ")</f>
        <v xml:space="preserve"> </v>
      </c>
      <c r="AG18" s="263" t="str">
        <f>IF(AND(Sheet1!D$195=1,AB18&lt;&gt;" "),ROUND(+AE18*AF18,Sheet1!D$75)," ")</f>
        <v xml:space="preserve"> </v>
      </c>
      <c r="AH18" s="264" t="str">
        <f>IF(AB18&lt;&gt;" ",ROUND(VLOOKUP(Sheet1!E$82,CHOOSE(Sheet1!D$214,Inflate1,Inflate2,Inflate3,Inflate4,Inflate5,Inflate6,Inflate7,Inflate8),2),4)," ")</f>
        <v xml:space="preserve"> </v>
      </c>
      <c r="AI18" s="264" t="str">
        <f>IF(AB18&lt;&gt;" ",ROUND(VLOOKUP(AC18,CHOOSE(Sheet1!D$214,Inflate1,Inflate2,Inflate3,Inflate4,Inflate5,Inflate6,Inflate7,Inflate8),3),4)," ")</f>
        <v xml:space="preserve"> </v>
      </c>
      <c r="AJ18" s="263" t="b">
        <f>IF(AND(Sheet1!D$195=1,AB18&lt;&gt;" "),IF(AND(O18&lt;=10,OR(Sheet1!D$8=2,Sheet1!D$8=3,Sheet1!D$22=3)),ROUND((AE18/AH18)*AI18,Sheet1!D$75),IF(AND(Sheet1!D$8&lt;&gt;2,Sheet1!D$8&lt;&gt;3,Sheet1!D$22&lt;&gt;3),ROUND((AE18/AH18)*AI18,Sheet1!D$75)," ")))</f>
        <v>0</v>
      </c>
    </row>
    <row r="19" spans="1:36" ht="12" customHeight="1" x14ac:dyDescent="0.2">
      <c r="A19" s="271" t="str">
        <f>IF(OR(Sheet1!D$192=1,Sheet1!D$195=1),IF(OR((A18&gt;=(Sheet1!D$148+$A$11)-1),AND(Sheet1!D$8=3,A18&gt;=6))," ",A18+1),NA())</f>
        <v xml:space="preserve"> </v>
      </c>
      <c r="B19" s="271" t="str">
        <f>IF(OR(Sheet1!D$192=1,Sheet1!D$195=1),IF(OR((B18&gt;=(Sheet1!D$148+$B$11)-1),AND(Sheet1!D$8=3,A18&gt;=6))," ",B18+1),NA())</f>
        <v xml:space="preserve"> </v>
      </c>
      <c r="C19" s="262"/>
      <c r="D19" s="263" t="str">
        <f>IF(AND(Sheet1!D$192=1,A19&lt;&gt;" "),ROUND(VLOOKUP(A19,StatusQuo!A$19:M$68,12),Sheet1!D$75),IF(Sheet1!D$192=1," ","SQ not feasible "))</f>
        <v xml:space="preserve"> </v>
      </c>
      <c r="E19" s="263" t="str">
        <f>IF(AND(Sheet1!D$195=1,A19&lt;&gt;" "),ROUND(VLOOKUP(A19,AlternativeC!A$110:M$159,12),Sheet1!D$75),IF(Sheet1!D$195=1," ","Alt  'C'  not feasible"))</f>
        <v>Alt  'C'  not feasible</v>
      </c>
      <c r="F19" s="263" t="str">
        <f>IF(AND(A19&lt;&gt;" ",Sheet1!D$192=1,Sheet1!D$195=1),D19-E19,IF(AND(Sheet1!D$195=1,A19&lt;&gt;" ")," "," "))</f>
        <v xml:space="preserve"> </v>
      </c>
      <c r="G19" s="264" t="str">
        <f>IF(A19&lt;=Sheet1!D$148, (1/((1+G10)^(A19-0.5)))," ")</f>
        <v xml:space="preserve"> </v>
      </c>
      <c r="H19" s="263" t="str">
        <f>IF(AND(A19&lt;&gt;" ",Sheet1!D$192=1,Sheet1!D$195=1),ROUND(F19*G19,Sheet1!D$75),IF(AND(A19&lt;&gt;" ",Sheet1!D$195=1),ROUND(E19*G19,Sheet1!D$75)," "))</f>
        <v xml:space="preserve"> </v>
      </c>
      <c r="I19" s="264" t="str">
        <f>IF(A19&lt;&gt;" ",ROUND(VLOOKUP(Sheet1!E$82,CHOOSE(Sheet1!D$234,Inflate7,Inflate2,Inflate3,Inflate4,Inflate5,Inflate6,Inflate1,Inflate8),2),4)," ")</f>
        <v xml:space="preserve"> </v>
      </c>
      <c r="J19" s="264" t="str">
        <f>IF(A19&lt;&gt;" ",ROUND(VLOOKUP(B19,CHOOSE(Sheet1!D$234,Inflate7,Inflate2,Inflate3,Inflate4,Inflate5,Inflate6,Inflate1,Inflate8),3),4)," ")</f>
        <v xml:space="preserve"> </v>
      </c>
      <c r="K19" s="265" t="str">
        <f>IF(AND(A19&lt;&gt;" ",Sheet1!D$192=1,Sheet1!D$195=1),ROUND((F19/I19)*J19,Sheet1!D$75),IF(AND(A19&lt;&gt;" ",Sheet1!D$195=1),ROUND((E19/I19)*J19,Sheet1!D$75)," "))</f>
        <v xml:space="preserve"> </v>
      </c>
      <c r="L19" s="254" t="str">
        <f>IF(Sheet1!D$192=1,IF(AND(AA19&gt;AJ$61,AA18&lt;=AJ$61),"&lt;-Payback"," ")," ")</f>
        <v xml:space="preserve"> </v>
      </c>
      <c r="M19" s="271" t="str">
        <f>IF(OR(Sheet1!D$192=1,Sheet1!D$195=1),IF(OR((A18&gt;=(Sheet1!D$148+$A$11)-1),AND(Sheet1!D$8=3,A18&gt;=6))," ",A18+1),NA())</f>
        <v xml:space="preserve"> </v>
      </c>
      <c r="N19" s="271" t="str">
        <f>IF(OR(Sheet1!D$192=1,Sheet1!D$195=1),IF(OR((B18&gt;=(Sheet1!D$148+$B$11)-1),AND(Sheet1!D$8=3,A18&gt;=6))," ",B18+1),NA())</f>
        <v xml:space="preserve"> </v>
      </c>
      <c r="O19" s="266" t="e">
        <f>IF(AND(Sheet1!D$8=3,M19=" ")," ",IF(OR(Sheet1!D$192=1,Sheet1!D$195=1),IF(O18&gt;0,IF(AND(OR(Sheet1!D$8=2,Sheet1!D$22=3),O18&gt;=10)," ",O18+1),IF(NOT(Sheet1!D$192=1),0,IF(ROUND(VLOOKUP(A19,StatusQuo!A$19:M$68,13),Sheet1!D$75)-ROUND(VLOOKUP(A19,AlternativeC!A$110:M$159,13),Sheet1!D$75)&gt;0,1,0)))," "))</f>
        <v>#VALUE!</v>
      </c>
      <c r="P19" s="263" t="str">
        <f>IF(AND(A19&lt;&gt;" ",Sheet1!D$192=1,Sheet1!D$195=1),IF(AND(OR(Sheet1!D$8=2,Sheet1!D$22=3),O19&gt;10),0,ROUND(VLOOKUP(A19,StatusQuo!A$19:M$68,13),Sheet1!D$75)),IF(NOT(Sheet1!D$192=1),"not feasible",IF(A19=" "," ", "Savings is  n/a=&gt;")))</f>
        <v xml:space="preserve"> </v>
      </c>
      <c r="Q19" s="263" t="str">
        <f>IF(AND(A19&lt;&gt;" ",Sheet1!D$192=1,Sheet1!D$195=1),IF(AND(OR(Sheet1!D$8=2,Sheet1!D$22=3),O19&gt;10),0,ROUND(VLOOKUP(A19,AlternativeC!A$110:M$159,13),Sheet1!D$75)),IF(NOT(Sheet1!D$195=1),"not feasible",IF(A19=" "," ","&lt;== Savings is n/a")))</f>
        <v>not feasible</v>
      </c>
      <c r="R19" s="263" t="str">
        <f>IF(AND(A19&lt;&gt;" ",Sheet1!D$192=1,Sheet1!D$195=1),IF(G$81&lt;&gt;" ","??????? ",P19-Q19)," ")</f>
        <v xml:space="preserve"> </v>
      </c>
      <c r="S19" s="263" t="str">
        <f>IF(AND(A19&lt;&gt;" ",Sheet1!D$192=1,Sheet1!D$195=1),ROUND(R19*G19,Sheet1!D$75)," ")</f>
        <v xml:space="preserve"> </v>
      </c>
      <c r="T19" s="263" t="str">
        <f>IF(AND(A19&lt;&gt;" ",Sheet1!D$192=1,Sheet1!D$195=1),ROUND((R19/I19)*J19,Sheet1!D$75)," ")</f>
        <v xml:space="preserve"> </v>
      </c>
      <c r="U19" s="265">
        <f>SUM(T$11:T19)</f>
        <v>0</v>
      </c>
      <c r="V19" s="254" t="str">
        <f t="shared" si="0"/>
        <v xml:space="preserve"> </v>
      </c>
      <c r="W19" s="268">
        <f t="shared" si="1"/>
        <v>9</v>
      </c>
      <c r="X19" s="171" t="str">
        <f t="shared" si="2"/>
        <v xml:space="preserve"> </v>
      </c>
      <c r="Z19" s="260"/>
      <c r="AA19" s="265">
        <f>SUM(K$11:K19)</f>
        <v>0</v>
      </c>
      <c r="AB19" s="271" t="str">
        <f>IF(OR(Sheet1!D$192=1,Sheet1!D$195=1),IF(OR((AB18&gt;=(Sheet1!D$148+$A$11)-1),AND(Sheet1!D$8=3,AB18&gt;=6))," ",AB18+1),NA())</f>
        <v xml:space="preserve"> </v>
      </c>
      <c r="AC19" s="271" t="str">
        <f>IF(OR(Sheet1!D$192=1,Sheet1!D$195=1),IF(OR((AC18&gt;=(Sheet1!D$148+$B$11)-1),AND(Sheet1!D$8=3,AB18&gt;=6))," ",AC18+1),NA())</f>
        <v xml:space="preserve"> </v>
      </c>
      <c r="AD19" s="262"/>
      <c r="AE19" s="263" t="str">
        <f>IF(AND(Sheet1!D$195=1,AB19&lt;&gt;" "),ROUND(VLOOKUP(AB19,AlternativeC!A$17:M$66,12),Sheet1!D$75),IF(Sheet1!D$195=1," ","Alt  'C'  not feasible"))</f>
        <v>Alt  'C'  not feasible</v>
      </c>
      <c r="AF19" s="264" t="str">
        <f>IF(AB19&lt;=Sheet1!D$148, (1/((1+AF$10)^(AB19-0.5)))," ")</f>
        <v xml:space="preserve"> </v>
      </c>
      <c r="AG19" s="263" t="str">
        <f>IF(AND(Sheet1!D$195=1,AB19&lt;&gt;" "),ROUND(+AE19*AF19,Sheet1!D$75)," ")</f>
        <v xml:space="preserve"> </v>
      </c>
      <c r="AH19" s="264" t="str">
        <f>IF(AB19&lt;&gt;" ",ROUND(VLOOKUP(Sheet1!E$82,CHOOSE(Sheet1!D$214,Inflate1,Inflate2,Inflate3,Inflate4,Inflate5,Inflate6,Inflate7,Inflate8),2),4)," ")</f>
        <v xml:space="preserve"> </v>
      </c>
      <c r="AI19" s="264" t="str">
        <f>IF(AB19&lt;&gt;" ",ROUND(VLOOKUP(AC19,CHOOSE(Sheet1!D$214,Inflate1,Inflate2,Inflate3,Inflate4,Inflate5,Inflate6,Inflate7,Inflate8),3),4)," ")</f>
        <v xml:space="preserve"> </v>
      </c>
      <c r="AJ19" s="263" t="b">
        <f>IF(AND(Sheet1!D$195=1,AB19&lt;&gt;" "),IF(AND(O19&lt;=10,OR(Sheet1!D$8=2,Sheet1!D$8=3,Sheet1!D$22=3)),ROUND((AE19/AH19)*AI19,Sheet1!D$75),IF(AND(Sheet1!D$8&lt;&gt;2,Sheet1!D$8&lt;&gt;3,Sheet1!D$22&lt;&gt;3),ROUND((AE19/AH19)*AI19,Sheet1!D$75)," ")))</f>
        <v>0</v>
      </c>
    </row>
    <row r="20" spans="1:36" ht="12" customHeight="1" x14ac:dyDescent="0.2">
      <c r="A20" s="271" t="str">
        <f>IF(OR(Sheet1!D$192=1,Sheet1!D$195=1),IF(OR((A19&gt;=(Sheet1!D$148+$A$11)-1),AND(Sheet1!D$8=3,A19&gt;=6))," ",A19+1),NA())</f>
        <v xml:space="preserve"> </v>
      </c>
      <c r="B20" s="271" t="str">
        <f>IF(OR(Sheet1!D$192=1,Sheet1!D$195=1),IF(OR((B19&gt;=(Sheet1!D$148+$B$11)-1),AND(Sheet1!D$8=3,A19&gt;=6))," ",B19+1),NA())</f>
        <v xml:space="preserve"> </v>
      </c>
      <c r="C20" s="262"/>
      <c r="D20" s="263" t="str">
        <f>IF(AND(Sheet1!D$192=1,A20&lt;&gt;" "),ROUND(VLOOKUP(A20,StatusQuo!A$19:M$68,12),Sheet1!D$75),IF(Sheet1!D$192=1," ","SQ not feasible "))</f>
        <v xml:space="preserve"> </v>
      </c>
      <c r="E20" s="263" t="str">
        <f>IF(AND(Sheet1!D$195=1,A20&lt;&gt;" "),ROUND(VLOOKUP(A20,AlternativeC!A$110:M$159,12),Sheet1!D$75),IF(Sheet1!D$195=1," ","Alt  'C'  not feasible"))</f>
        <v>Alt  'C'  not feasible</v>
      </c>
      <c r="F20" s="263" t="str">
        <f>IF(AND(A20&lt;&gt;" ",Sheet1!D$192=1,Sheet1!D$195=1),D20-E20,IF(AND(Sheet1!D$195=1,A20&lt;&gt;" ")," "," "))</f>
        <v xml:space="preserve"> </v>
      </c>
      <c r="G20" s="264" t="str">
        <f>IF(A20&lt;=Sheet1!D$148, (1/((1+G10)^(A20-0.5)))," ")</f>
        <v xml:space="preserve"> </v>
      </c>
      <c r="H20" s="263" t="str">
        <f>IF(AND(A20&lt;&gt;" ",Sheet1!D$192=1,Sheet1!D$195=1),ROUND(F20*G20,Sheet1!D$75),IF(AND(A20&lt;&gt;" ",Sheet1!D$195=1),ROUND(E20*G20,Sheet1!D$75)," "))</f>
        <v xml:space="preserve"> </v>
      </c>
      <c r="I20" s="264" t="str">
        <f>IF(A20&lt;&gt;" ",ROUND(VLOOKUP(Sheet1!E$82,CHOOSE(Sheet1!D$234,Inflate7,Inflate2,Inflate3,Inflate4,Inflate5,Inflate6,Inflate1,Inflate8),2),4)," ")</f>
        <v xml:space="preserve"> </v>
      </c>
      <c r="J20" s="264" t="str">
        <f>IF(A20&lt;&gt;" ",ROUND(VLOOKUP(B20,CHOOSE(Sheet1!D$234,Inflate7,Inflate2,Inflate3,Inflate4,Inflate5,Inflate6,Inflate1,Inflate8),3),4)," ")</f>
        <v xml:space="preserve"> </v>
      </c>
      <c r="K20" s="265" t="str">
        <f>IF(AND(A20&lt;&gt;" ",Sheet1!D$192=1,Sheet1!D$195=1),ROUND((F20/I20)*J20,Sheet1!D$75),IF(AND(A20&lt;&gt;" ",Sheet1!D$195=1),ROUND((E20/I20)*J20,Sheet1!D$75)," "))</f>
        <v xml:space="preserve"> </v>
      </c>
      <c r="L20" s="254" t="str">
        <f>IF(Sheet1!D$192=1,IF(AND(AA20&gt;AJ$61,AA19&lt;=AJ$61),"&lt;-Payback"," ")," ")</f>
        <v xml:space="preserve"> </v>
      </c>
      <c r="M20" s="271" t="str">
        <f>IF(OR(Sheet1!D$192=1,Sheet1!D$195=1),IF(OR((A19&gt;=(Sheet1!D$148+$A$11)-1),AND(Sheet1!D$8=3,A19&gt;=6))," ",A19+1),NA())</f>
        <v xml:space="preserve"> </v>
      </c>
      <c r="N20" s="271" t="str">
        <f>IF(OR(Sheet1!D$192=1,Sheet1!D$195=1),IF(OR((B19&gt;=(Sheet1!D$148+$B$11)-1),AND(Sheet1!D$8=3,A19&gt;=6))," ",B19+1),NA())</f>
        <v xml:space="preserve"> </v>
      </c>
      <c r="O20" s="266" t="e">
        <f>IF(AND(Sheet1!D$8=3,M20=" ")," ",IF(OR(Sheet1!D$192=1,Sheet1!D$195=1),IF(O19&gt;0,IF(AND(OR(Sheet1!D$8=2,Sheet1!D$22=3),O19&gt;=10)," ",O19+1),IF(NOT(Sheet1!D$192=1),0,IF(ROUND(VLOOKUP(A20,StatusQuo!A$19:M$68,13),Sheet1!D$75)-ROUND(VLOOKUP(A20,AlternativeC!A$110:M$159,13),Sheet1!D$75)&gt;0,1,0)))," "))</f>
        <v>#VALUE!</v>
      </c>
      <c r="P20" s="263" t="str">
        <f>IF(AND(A20&lt;&gt;" ",Sheet1!D$192=1,Sheet1!D$195=1),IF(AND(OR(Sheet1!D$8=2,Sheet1!D$22=3),O20&gt;10),0,ROUND(VLOOKUP(A20,StatusQuo!A$19:M$68,13),Sheet1!D$75)),IF(NOT(Sheet1!D$192=1),"not feasible",IF(A20=" "," ", "Savings is  n/a=&gt;")))</f>
        <v xml:space="preserve"> </v>
      </c>
      <c r="Q20" s="263" t="str">
        <f>IF(AND(A20&lt;&gt;" ",Sheet1!D$192=1,Sheet1!D$195=1),IF(AND(OR(Sheet1!D$8=2,Sheet1!D$22=3),O20&gt;10),0,ROUND(VLOOKUP(A20,AlternativeC!A$110:M$159,13),Sheet1!D$75)),IF(NOT(Sheet1!D$195=1),"not feasible",IF(A20=" "," ","&lt;== Savings is n/a")))</f>
        <v>not feasible</v>
      </c>
      <c r="R20" s="263" t="str">
        <f>IF(AND(A20&lt;&gt;" ",Sheet1!D$192=1,Sheet1!D$195=1),IF(G$81&lt;&gt;" ","??????? ",P20-Q20)," ")</f>
        <v xml:space="preserve"> </v>
      </c>
      <c r="S20" s="263" t="str">
        <f>IF(AND(A20&lt;&gt;" ",Sheet1!D$192=1,Sheet1!D$195=1),ROUND(R20*G20,Sheet1!D$75)," ")</f>
        <v xml:space="preserve"> </v>
      </c>
      <c r="T20" s="263" t="str">
        <f>IF(AND(A20&lt;&gt;" ",Sheet1!D$192=1,Sheet1!D$195=1),ROUND((R20/I20)*J20,Sheet1!D$75)," ")</f>
        <v xml:space="preserve"> </v>
      </c>
      <c r="U20" s="265">
        <f>SUM(T$11:T20)</f>
        <v>0</v>
      </c>
      <c r="V20" s="254" t="str">
        <f t="shared" si="0"/>
        <v xml:space="preserve"> </v>
      </c>
      <c r="W20" s="268">
        <f t="shared" si="1"/>
        <v>10</v>
      </c>
      <c r="X20" s="171" t="str">
        <f t="shared" si="2"/>
        <v xml:space="preserve"> </v>
      </c>
      <c r="AA20" s="265">
        <f>SUM(K$11:K20)</f>
        <v>0</v>
      </c>
      <c r="AB20" s="271" t="str">
        <f>IF(OR(Sheet1!D$192=1,Sheet1!D$195=1),IF(OR((AB19&gt;=(Sheet1!D$148+$A$11)-1),AND(Sheet1!D$8=3,AB19&gt;=6))," ",AB19+1),NA())</f>
        <v xml:space="preserve"> </v>
      </c>
      <c r="AC20" s="271" t="str">
        <f>IF(OR(Sheet1!D$192=1,Sheet1!D$195=1),IF(OR((AC19&gt;=(Sheet1!D$148+$B$11)-1),AND(Sheet1!D$8=3,AB19&gt;=6))," ",AC19+1),NA())</f>
        <v xml:space="preserve"> </v>
      </c>
      <c r="AD20" s="262"/>
      <c r="AE20" s="263" t="str">
        <f>IF(AND(Sheet1!D$195=1,AB20&lt;&gt;" "),ROUND(VLOOKUP(AB20,AlternativeC!A$17:M$66,12),Sheet1!D$75),IF(Sheet1!D$195=1," ","Alt  'C'  not feasible"))</f>
        <v>Alt  'C'  not feasible</v>
      </c>
      <c r="AF20" s="264" t="str">
        <f>IF(AB20&lt;=Sheet1!D$148, (1/((1+AF$10)^(AB20-0.5)))," ")</f>
        <v xml:space="preserve"> </v>
      </c>
      <c r="AG20" s="263" t="str">
        <f>IF(AND(Sheet1!D$195=1,AB20&lt;&gt;" "),ROUND(+AE20*AF20,Sheet1!D$75)," ")</f>
        <v xml:space="preserve"> </v>
      </c>
      <c r="AH20" s="264" t="str">
        <f>IF(AB20&lt;&gt;" ",ROUND(VLOOKUP(Sheet1!E$82,CHOOSE(Sheet1!D$214,Inflate1,Inflate2,Inflate3,Inflate4,Inflate5,Inflate6,Inflate7,Inflate8),2),4)," ")</f>
        <v xml:space="preserve"> </v>
      </c>
      <c r="AI20" s="264" t="str">
        <f>IF(AB20&lt;&gt;" ",ROUND(VLOOKUP(AC20,CHOOSE(Sheet1!D$214,Inflate1,Inflate2,Inflate3,Inflate4,Inflate5,Inflate6,Inflate7,Inflate8),3),4)," ")</f>
        <v xml:space="preserve"> </v>
      </c>
      <c r="AJ20" s="263" t="b">
        <f>IF(AND(Sheet1!D$195=1,AB20&lt;&gt;" "),IF(AND(O20&lt;=10,OR(Sheet1!D$8=2,Sheet1!D$8=3,Sheet1!D$22=3)),ROUND((AE20/AH20)*AI20,Sheet1!D$75),IF(AND(Sheet1!D$8&lt;&gt;2,Sheet1!D$8&lt;&gt;3,Sheet1!D$22&lt;&gt;3),ROUND((AE20/AH20)*AI20,Sheet1!D$75)," ")))</f>
        <v>0</v>
      </c>
    </row>
    <row r="21" spans="1:36" ht="12" customHeight="1" x14ac:dyDescent="0.2">
      <c r="A21" s="271" t="str">
        <f>IF(OR(Sheet1!D$192=1,Sheet1!D$195=1),IF(OR((A20&gt;=(Sheet1!D$148+$A$11)-1),AND(Sheet1!D$8=3,A20&gt;=6))," ",A20+1),NA())</f>
        <v xml:space="preserve"> </v>
      </c>
      <c r="B21" s="271" t="str">
        <f>IF(OR(Sheet1!D$192=1,Sheet1!D$195=1),IF(OR((B20&gt;=(Sheet1!D$148+$B$11)-1),AND(Sheet1!D$8=3,A20&gt;=6))," ",B20+1),NA())</f>
        <v xml:space="preserve"> </v>
      </c>
      <c r="C21" s="262"/>
      <c r="D21" s="263" t="str">
        <f>IF(AND(Sheet1!D$192=1,A21&lt;&gt;" "),ROUND(VLOOKUP(A21,StatusQuo!A$19:M$68,12),Sheet1!D$75),IF(Sheet1!D$192=1," ","SQ not feasible "))</f>
        <v xml:space="preserve"> </v>
      </c>
      <c r="E21" s="263" t="str">
        <f>IF(AND(Sheet1!D$195=1,A21&lt;&gt;" "),ROUND(VLOOKUP(A21,AlternativeC!A$110:M$159,12),Sheet1!D$75),IF(Sheet1!D$195=1," ","Alt  'C'  not feasible"))</f>
        <v>Alt  'C'  not feasible</v>
      </c>
      <c r="F21" s="263" t="str">
        <f>IF(AND(A21&lt;&gt;" ",Sheet1!D$192=1,Sheet1!D$195=1),D21-E21,IF(AND(Sheet1!D$195=1,A21&lt;&gt;" ")," "," "))</f>
        <v xml:space="preserve"> </v>
      </c>
      <c r="G21" s="264" t="str">
        <f>IF(A21&lt;=Sheet1!D$148, (1/((1+G10)^(A21-0.5)))," ")</f>
        <v xml:space="preserve"> </v>
      </c>
      <c r="H21" s="263" t="str">
        <f>IF(AND(A21&lt;&gt;" ",Sheet1!D$192=1,Sheet1!D$195=1),ROUND(F21*G21,Sheet1!D$75),IF(AND(A21&lt;&gt;" ",Sheet1!D$195=1),ROUND(E21*G21,Sheet1!D$75)," "))</f>
        <v xml:space="preserve"> </v>
      </c>
      <c r="I21" s="264" t="str">
        <f>IF(A21&lt;&gt;" ",ROUND(VLOOKUP(Sheet1!E$82,CHOOSE(Sheet1!D$234,Inflate7,Inflate2,Inflate3,Inflate4,Inflate5,Inflate6,Inflate1,Inflate8),2),4)," ")</f>
        <v xml:space="preserve"> </v>
      </c>
      <c r="J21" s="264" t="str">
        <f>IF(A21&lt;&gt;" ",ROUND(VLOOKUP(B21,CHOOSE(Sheet1!D$234,Inflate7,Inflate2,Inflate3,Inflate4,Inflate5,Inflate6,Inflate1,Inflate8),3),4)," ")</f>
        <v xml:space="preserve"> </v>
      </c>
      <c r="K21" s="265" t="str">
        <f>IF(AND(A21&lt;&gt;" ",Sheet1!D$192=1,Sheet1!D$195=1),ROUND((F21/I21)*J21,Sheet1!D$75),IF(AND(A21&lt;&gt;" ",Sheet1!D$195=1),ROUND((E21/I21)*J21,Sheet1!D$75)," "))</f>
        <v xml:space="preserve"> </v>
      </c>
      <c r="L21" s="254" t="str">
        <f>IF(Sheet1!D$192=1,IF(AND(AA21&gt;AJ$61,AA20&lt;=AJ$61),"&lt;-Payback"," ")," ")</f>
        <v xml:space="preserve"> </v>
      </c>
      <c r="M21" s="271" t="str">
        <f>IF(OR(Sheet1!D$192=1,Sheet1!D$195=1),IF(OR((A20&gt;=(Sheet1!D$148+$A$11)-1),AND(Sheet1!D$8=3,A20&gt;=6))," ",A20+1),NA())</f>
        <v xml:space="preserve"> </v>
      </c>
      <c r="N21" s="271" t="str">
        <f>IF(OR(Sheet1!D$192=1,Sheet1!D$195=1),IF(OR((B20&gt;=(Sheet1!D$148+$B$11)-1),AND(Sheet1!D$8=3,A20&gt;=6))," ",B20+1),NA())</f>
        <v xml:space="preserve"> </v>
      </c>
      <c r="O21" s="266" t="e">
        <f>IF(AND(Sheet1!D$8=3,M21=" ")," ",IF(OR(Sheet1!D$192=1,Sheet1!D$195=1),IF(O20&gt;0,IF(AND(OR(Sheet1!D$8=2,Sheet1!D$22=3),O20&gt;=10)," ",O20+1),IF(NOT(Sheet1!D$192=1),0,IF(ROUND(VLOOKUP(A21,StatusQuo!A$19:M$68,13),Sheet1!D$75)-ROUND(VLOOKUP(A21,AlternativeC!A$110:M$159,13),Sheet1!D$75)&gt;0,1,0)))," "))</f>
        <v>#VALUE!</v>
      </c>
      <c r="P21" s="263" t="str">
        <f>IF(AND(A21&lt;&gt;" ",Sheet1!D$192=1,Sheet1!D$195=1),IF(AND(OR(Sheet1!D$8=2,Sheet1!D$22=3),O21&gt;10),0,ROUND(VLOOKUP(A21,StatusQuo!A$19:M$68,13),Sheet1!D$75)),IF(NOT(Sheet1!D$192=1),"not feasible",IF(A21=" "," ", "Savings is  n/a=&gt;")))</f>
        <v xml:space="preserve"> </v>
      </c>
      <c r="Q21" s="263" t="str">
        <f>IF(AND(A21&lt;&gt;" ",Sheet1!D$192=1,Sheet1!D$195=1),IF(AND(OR(Sheet1!D$8=2,Sheet1!D$22=3),O21&gt;10),0,ROUND(VLOOKUP(A21,AlternativeC!A$110:M$159,13),Sheet1!D$75)),IF(NOT(Sheet1!D$195=1),"not feasible",IF(A21=" "," ","&lt;== Savings is n/a")))</f>
        <v>not feasible</v>
      </c>
      <c r="R21" s="263" t="str">
        <f>IF(AND(A21&lt;&gt;" ",Sheet1!D$192=1,Sheet1!D$195=1),IF(G$81&lt;&gt;" ","??????? ",P21-Q21)," ")</f>
        <v xml:space="preserve"> </v>
      </c>
      <c r="S21" s="263" t="str">
        <f>IF(AND(A21&lt;&gt;" ",Sheet1!D$192=1,Sheet1!D$195=1),ROUND(R21*G21,Sheet1!D$75)," ")</f>
        <v xml:space="preserve"> </v>
      </c>
      <c r="T21" s="263" t="str">
        <f>IF(AND(A21&lt;&gt;" ",Sheet1!D$192=1,Sheet1!D$195=1),ROUND((R21/I21)*J21,Sheet1!D$75)," ")</f>
        <v xml:space="preserve"> </v>
      </c>
      <c r="U21" s="265">
        <f>SUM(T$11:T21)</f>
        <v>0</v>
      </c>
      <c r="V21" s="254" t="str">
        <f t="shared" si="0"/>
        <v xml:space="preserve"> </v>
      </c>
      <c r="W21" s="268">
        <f t="shared" si="1"/>
        <v>11</v>
      </c>
      <c r="X21" s="171" t="str">
        <f t="shared" si="2"/>
        <v xml:space="preserve"> </v>
      </c>
      <c r="AA21" s="265">
        <f>SUM(K$11:K21)</f>
        <v>0</v>
      </c>
      <c r="AB21" s="271" t="str">
        <f>IF(OR(Sheet1!D$192=1,Sheet1!D$195=1),IF(OR((AB20&gt;=(Sheet1!D$148+$A$11)-1),AND(Sheet1!D$8=3,AB20&gt;=6))," ",AB20+1),NA())</f>
        <v xml:space="preserve"> </v>
      </c>
      <c r="AC21" s="271" t="str">
        <f>IF(OR(Sheet1!D$192=1,Sheet1!D$195=1),IF(OR((AC20&gt;=(Sheet1!D$148+$B$11)-1),AND(Sheet1!D$8=3,AB20&gt;=6))," ",AC20+1),NA())</f>
        <v xml:space="preserve"> </v>
      </c>
      <c r="AD21" s="262"/>
      <c r="AE21" s="263" t="str">
        <f>IF(AND(Sheet1!D$195=1,AB21&lt;&gt;" "),ROUND(VLOOKUP(AB21,AlternativeC!A$17:M$66,12),Sheet1!D$75),IF(Sheet1!D$195=1," ","Alt  'C'  not feasible"))</f>
        <v>Alt  'C'  not feasible</v>
      </c>
      <c r="AF21" s="264" t="str">
        <f>IF(AB21&lt;=Sheet1!D$148, (1/((1+AF$10)^(AB21-0.5)))," ")</f>
        <v xml:space="preserve"> </v>
      </c>
      <c r="AG21" s="263" t="str">
        <f>IF(AND(Sheet1!D$195=1,AB21&lt;&gt;" "),ROUND(+AE21*AF21,Sheet1!D$75)," ")</f>
        <v xml:space="preserve"> </v>
      </c>
      <c r="AH21" s="264" t="str">
        <f>IF(AB21&lt;&gt;" ",ROUND(VLOOKUP(Sheet1!E$82,CHOOSE(Sheet1!D$214,Inflate1,Inflate2,Inflate3,Inflate4,Inflate5,Inflate6,Inflate7,Inflate8),2),4)," ")</f>
        <v xml:space="preserve"> </v>
      </c>
      <c r="AI21" s="264" t="str">
        <f>IF(AB21&lt;&gt;" ",ROUND(VLOOKUP(AC21,CHOOSE(Sheet1!D$214,Inflate1,Inflate2,Inflate3,Inflate4,Inflate5,Inflate6,Inflate7,Inflate8),3),4)," ")</f>
        <v xml:space="preserve"> </v>
      </c>
      <c r="AJ21" s="263" t="b">
        <f>IF(AND(Sheet1!D$195=1,AB21&lt;&gt;" "),IF(AND(O21&lt;=10,OR(Sheet1!D$8=2,Sheet1!D$8=3,Sheet1!D$22=3)),ROUND((AE21/AH21)*AI21,Sheet1!D$75),IF(AND(Sheet1!D$8&lt;&gt;2,Sheet1!D$8&lt;&gt;3,Sheet1!D$22&lt;&gt;3),ROUND((AE21/AH21)*AI21,Sheet1!D$75)," ")))</f>
        <v>0</v>
      </c>
    </row>
    <row r="22" spans="1:36" ht="12" customHeight="1" x14ac:dyDescent="0.2">
      <c r="A22" s="271" t="str">
        <f>IF(OR(Sheet1!D$192=1,Sheet1!D$195=1),IF(OR((A21&gt;=(Sheet1!D$148+$A$11)-1),AND(Sheet1!D$8=3,A21&gt;=6))," ",A21+1),NA())</f>
        <v xml:space="preserve"> </v>
      </c>
      <c r="B22" s="271" t="str">
        <f>IF(OR(Sheet1!D$192=1,Sheet1!D$195=1),IF(OR((B21&gt;=(Sheet1!D$148+$B$11)-1),AND(Sheet1!D$8=3,A21&gt;=6))," ",B21+1),NA())</f>
        <v xml:space="preserve"> </v>
      </c>
      <c r="C22" s="262"/>
      <c r="D22" s="263" t="str">
        <f>IF(AND(Sheet1!D$192=1,A22&lt;&gt;" "),ROUND(VLOOKUP(A22,StatusQuo!A$19:M$68,12),Sheet1!D$75),IF(Sheet1!D$192=1," ","SQ not feasible "))</f>
        <v xml:space="preserve"> </v>
      </c>
      <c r="E22" s="263" t="str">
        <f>IF(AND(Sheet1!D$195=1,A22&lt;&gt;" "),ROUND(VLOOKUP(A22,AlternativeC!A$110:M$159,12),Sheet1!D$75),IF(Sheet1!D$195=1," ","Alt  'C'  not feasible"))</f>
        <v>Alt  'C'  not feasible</v>
      </c>
      <c r="F22" s="263" t="str">
        <f>IF(AND(A22&lt;&gt;" ",Sheet1!D$192=1,Sheet1!D$195=1),D22-E22,IF(AND(Sheet1!D$195=1,A22&lt;&gt;" ")," "," "))</f>
        <v xml:space="preserve"> </v>
      </c>
      <c r="G22" s="264" t="str">
        <f>IF(A22&lt;=Sheet1!D$148, (1/((1+G10)^(A22-0.5)))," ")</f>
        <v xml:space="preserve"> </v>
      </c>
      <c r="H22" s="263" t="str">
        <f>IF(AND(A22&lt;&gt;" ",Sheet1!D$192=1,Sheet1!D$195=1),ROUND(F22*G22,Sheet1!D$75),IF(AND(A22&lt;&gt;" ",Sheet1!D$195=1),ROUND(E22*G22,Sheet1!D$75)," "))</f>
        <v xml:space="preserve"> </v>
      </c>
      <c r="I22" s="264" t="str">
        <f>IF(A22&lt;&gt;" ",ROUND(VLOOKUP(Sheet1!E$82,CHOOSE(Sheet1!D$234,Inflate7,Inflate2,Inflate3,Inflate4,Inflate5,Inflate6,Inflate1,Inflate8),2),4)," ")</f>
        <v xml:space="preserve"> </v>
      </c>
      <c r="J22" s="264" t="str">
        <f>IF(A22&lt;&gt;" ",ROUND(VLOOKUP(B22,CHOOSE(Sheet1!D$234,Inflate7,Inflate2,Inflate3,Inflate4,Inflate5,Inflate6,Inflate1,Inflate8),3),4)," ")</f>
        <v xml:space="preserve"> </v>
      </c>
      <c r="K22" s="265" t="str">
        <f>IF(AND(A22&lt;&gt;" ",Sheet1!D$192=1,Sheet1!D$195=1),ROUND((F22/I22)*J22,Sheet1!D$75),IF(AND(A22&lt;&gt;" ",Sheet1!D$195=1),ROUND((E22/I22)*J22,Sheet1!D$75)," "))</f>
        <v xml:space="preserve"> </v>
      </c>
      <c r="L22" s="254" t="str">
        <f>IF(Sheet1!D$192=1,IF(AND(AA22&gt;AJ$61,AA21&lt;=AJ$61),"&lt;-Payback"," ")," ")</f>
        <v xml:space="preserve"> </v>
      </c>
      <c r="M22" s="271" t="str">
        <f>IF(OR(Sheet1!D$192=1,Sheet1!D$195=1),IF(OR((A21&gt;=(Sheet1!D$148+$A$11)-1),AND(Sheet1!D$8=3,A21&gt;=6))," ",A21+1),NA())</f>
        <v xml:space="preserve"> </v>
      </c>
      <c r="N22" s="271" t="str">
        <f>IF(OR(Sheet1!D$192=1,Sheet1!D$195=1),IF(OR((B21&gt;=(Sheet1!D$148+$B$11)-1),AND(Sheet1!D$8=3,A21&gt;=6))," ",B21+1),NA())</f>
        <v xml:space="preserve"> </v>
      </c>
      <c r="O22" s="266" t="e">
        <f>IF(AND(Sheet1!D$8=3,M22=" ")," ",IF(OR(Sheet1!D$192=1,Sheet1!D$195=1),IF(O21&gt;0,IF(AND(OR(Sheet1!D$8=2,Sheet1!D$22=3),O21&gt;=10)," ",O21+1),IF(NOT(Sheet1!D$192=1),0,IF(ROUND(VLOOKUP(A22,StatusQuo!A$19:M$68,13),Sheet1!D$75)-ROUND(VLOOKUP(A22,AlternativeC!A$110:M$159,13),Sheet1!D$75)&gt;0,1,0)))," "))</f>
        <v>#VALUE!</v>
      </c>
      <c r="P22" s="263" t="str">
        <f>IF(AND(A22&lt;&gt;" ",Sheet1!D$192=1,Sheet1!D$195=1),IF(AND(OR(Sheet1!D$8=2,Sheet1!D$22=3),O22&gt;10),0,ROUND(VLOOKUP(A22,StatusQuo!A$19:M$68,13),Sheet1!D$75)),IF(NOT(Sheet1!D$192=1),"not feasible",IF(A22=" "," ", "Savings is  n/a=&gt;")))</f>
        <v xml:space="preserve"> </v>
      </c>
      <c r="Q22" s="263" t="str">
        <f>IF(AND(A22&lt;&gt;" ",Sheet1!D$192=1,Sheet1!D$195=1),IF(AND(OR(Sheet1!D$8=2,Sheet1!D$22=3),O22&gt;10),0,ROUND(VLOOKUP(A22,AlternativeC!A$110:M$159,13),Sheet1!D$75)),IF(NOT(Sheet1!D$195=1),"not feasible",IF(A22=" "," ","&lt;== Savings is n/a")))</f>
        <v>not feasible</v>
      </c>
      <c r="R22" s="263" t="str">
        <f>IF(AND(A22&lt;&gt;" ",Sheet1!D$192=1,Sheet1!D$195=1),IF(G$81&lt;&gt;" ","??????? ",P22-Q22)," ")</f>
        <v xml:space="preserve"> </v>
      </c>
      <c r="S22" s="263" t="str">
        <f>IF(AND(A22&lt;&gt;" ",Sheet1!D$192=1,Sheet1!D$195=1),ROUND(R22*G22,Sheet1!D$75)," ")</f>
        <v xml:space="preserve"> </v>
      </c>
      <c r="T22" s="263" t="str">
        <f>IF(AND(A22&lt;&gt;" ",Sheet1!D$192=1,Sheet1!D$195=1),ROUND((R22/I22)*J22,Sheet1!D$75)," ")</f>
        <v xml:space="preserve"> </v>
      </c>
      <c r="U22" s="265">
        <f>SUM(T$11:T22)</f>
        <v>0</v>
      </c>
      <c r="V22" s="254" t="str">
        <f t="shared" si="0"/>
        <v xml:space="preserve"> </v>
      </c>
      <c r="W22" s="268">
        <f t="shared" si="1"/>
        <v>12</v>
      </c>
      <c r="X22" s="171" t="str">
        <f t="shared" si="2"/>
        <v xml:space="preserve"> </v>
      </c>
      <c r="AA22" s="265">
        <f>SUM(K$11:K22)</f>
        <v>0</v>
      </c>
      <c r="AB22" s="271" t="str">
        <f>IF(OR(Sheet1!D$192=1,Sheet1!D$195=1),IF(OR((AB21&gt;=(Sheet1!D$148+$A$11)-1),AND(Sheet1!D$8=3,AB21&gt;=6))," ",AB21+1),NA())</f>
        <v xml:space="preserve"> </v>
      </c>
      <c r="AC22" s="271" t="str">
        <f>IF(OR(Sheet1!D$192=1,Sheet1!D$195=1),IF(OR((AC21&gt;=(Sheet1!D$148+$B$11)-1),AND(Sheet1!D$8=3,AB21&gt;=6))," ",AC21+1),NA())</f>
        <v xml:space="preserve"> </v>
      </c>
      <c r="AD22" s="262"/>
      <c r="AE22" s="263" t="str">
        <f>IF(AND(Sheet1!D$195=1,AB22&lt;&gt;" "),ROUND(VLOOKUP(AB22,AlternativeC!A$17:M$66,12),Sheet1!D$75),IF(Sheet1!D$195=1," ","Alt  'C'  not feasible"))</f>
        <v>Alt  'C'  not feasible</v>
      </c>
      <c r="AF22" s="264" t="str">
        <f>IF(AB22&lt;=Sheet1!D$148, (1/((1+AF$10)^(AB22-0.5)))," ")</f>
        <v xml:space="preserve"> </v>
      </c>
      <c r="AG22" s="263" t="str">
        <f>IF(AND(Sheet1!D$195=1,AB22&lt;&gt;" "),ROUND(+AE22*AF22,Sheet1!D$75)," ")</f>
        <v xml:space="preserve"> </v>
      </c>
      <c r="AH22" s="264" t="str">
        <f>IF(AB22&lt;&gt;" ",ROUND(VLOOKUP(Sheet1!E$82,CHOOSE(Sheet1!D$214,Inflate1,Inflate2,Inflate3,Inflate4,Inflate5,Inflate6,Inflate7,Inflate8),2),4)," ")</f>
        <v xml:space="preserve"> </v>
      </c>
      <c r="AI22" s="264" t="str">
        <f>IF(AB22&lt;&gt;" ",ROUND(VLOOKUP(AC22,CHOOSE(Sheet1!D$214,Inflate1,Inflate2,Inflate3,Inflate4,Inflate5,Inflate6,Inflate7,Inflate8),3),4)," ")</f>
        <v xml:space="preserve"> </v>
      </c>
      <c r="AJ22" s="263" t="b">
        <f>IF(AND(Sheet1!D$195=1,AB22&lt;&gt;" "),IF(AND(O22&lt;=10,OR(Sheet1!D$8=2,Sheet1!D$8=3,Sheet1!D$22=3)),ROUND((AE22/AH22)*AI22,Sheet1!D$75),IF(AND(Sheet1!D$8&lt;&gt;2,Sheet1!D$8&lt;&gt;3,Sheet1!D$22&lt;&gt;3),ROUND((AE22/AH22)*AI22,Sheet1!D$75)," ")))</f>
        <v>0</v>
      </c>
    </row>
    <row r="23" spans="1:36" ht="12" customHeight="1" x14ac:dyDescent="0.2">
      <c r="A23" s="271" t="str">
        <f>IF(OR(Sheet1!D$192=1,Sheet1!D$195=1),IF(OR((A22&gt;=(Sheet1!D$148+$A$11)-1),AND(Sheet1!D$8=3,A22&gt;=6))," ",A22+1),NA())</f>
        <v xml:space="preserve"> </v>
      </c>
      <c r="B23" s="271" t="str">
        <f>IF(OR(Sheet1!D$192=1,Sheet1!D$195=1),IF(OR((B22&gt;=(Sheet1!D$148+$B$11)-1),AND(Sheet1!D$8=3,A22&gt;=6))," ",B22+1),NA())</f>
        <v xml:space="preserve"> </v>
      </c>
      <c r="C23" s="262"/>
      <c r="D23" s="263" t="str">
        <f>IF(AND(Sheet1!D$192=1,A23&lt;&gt;" "),ROUND(VLOOKUP(A23,StatusQuo!A$19:M$68,12),Sheet1!D$75),IF(Sheet1!D$192=1," ","SQ not feasible "))</f>
        <v xml:space="preserve"> </v>
      </c>
      <c r="E23" s="263" t="str">
        <f>IF(AND(Sheet1!D$195=1,A23&lt;&gt;" "),ROUND(VLOOKUP(A23,AlternativeC!A$110:M$159,12),Sheet1!D$75),IF(Sheet1!D$195=1," ","Alt  'C'  not feasible"))</f>
        <v>Alt  'C'  not feasible</v>
      </c>
      <c r="F23" s="263" t="str">
        <f>IF(AND(A23&lt;&gt;" ",Sheet1!D$192=1,Sheet1!D$195=1),D23-E23,IF(AND(Sheet1!D$195=1,A23&lt;&gt;" ")," "," "))</f>
        <v xml:space="preserve"> </v>
      </c>
      <c r="G23" s="264" t="str">
        <f>IF(A23&lt;=Sheet1!D$148, (1/((1+G10)^(A23-0.5)))," ")</f>
        <v xml:space="preserve"> </v>
      </c>
      <c r="H23" s="263" t="str">
        <f>IF(AND(A23&lt;&gt;" ",Sheet1!D$192=1,Sheet1!D$195=1),ROUND(F23*G23,Sheet1!D$75),IF(AND(A23&lt;&gt;" ",Sheet1!D$195=1),ROUND(E23*G23,Sheet1!D$75)," "))</f>
        <v xml:space="preserve"> </v>
      </c>
      <c r="I23" s="264" t="str">
        <f>IF(A23&lt;&gt;" ",ROUND(VLOOKUP(Sheet1!E$82,CHOOSE(Sheet1!D$234,Inflate7,Inflate2,Inflate3,Inflate4,Inflate5,Inflate6,Inflate1,Inflate8),2),4)," ")</f>
        <v xml:space="preserve"> </v>
      </c>
      <c r="J23" s="264" t="str">
        <f>IF(A23&lt;&gt;" ",ROUND(VLOOKUP(B23,CHOOSE(Sheet1!D$234,Inflate7,Inflate2,Inflate3,Inflate4,Inflate5,Inflate6,Inflate1,Inflate8),3),4)," ")</f>
        <v xml:space="preserve"> </v>
      </c>
      <c r="K23" s="265" t="str">
        <f>IF(AND(A23&lt;&gt;" ",Sheet1!D$192=1,Sheet1!D$195=1),ROUND((F23/I23)*J23,Sheet1!D$75),IF(AND(A23&lt;&gt;" ",Sheet1!D$195=1),ROUND((E23/I23)*J23,Sheet1!D$75)," "))</f>
        <v xml:space="preserve"> </v>
      </c>
      <c r="L23" s="254" t="str">
        <f>IF(Sheet1!D$192=1,IF(AND(AA23&gt;AJ$61,AA22&lt;=AJ$61),"&lt;-Payback"," ")," ")</f>
        <v xml:space="preserve"> </v>
      </c>
      <c r="M23" s="271" t="str">
        <f>IF(OR(Sheet1!D$192=1,Sheet1!D$195=1),IF(OR((A22&gt;=(Sheet1!D$148+$A$11)-1),AND(Sheet1!D$8=3,A22&gt;=6))," ",A22+1),NA())</f>
        <v xml:space="preserve"> </v>
      </c>
      <c r="N23" s="271" t="str">
        <f>IF(OR(Sheet1!D$192=1,Sheet1!D$195=1),IF(OR((B22&gt;=(Sheet1!D$148+$B$11)-1),AND(Sheet1!D$8=3,A22&gt;=6))," ",B22+1),NA())</f>
        <v xml:space="preserve"> </v>
      </c>
      <c r="O23" s="266" t="e">
        <f>IF(AND(Sheet1!D$8=3,M23=" ")," ",IF(OR(Sheet1!D$192=1,Sheet1!D$195=1),IF(O22&gt;0,IF(AND(OR(Sheet1!D$8=2,Sheet1!D$22=3),O22&gt;=10)," ",O22+1),IF(NOT(Sheet1!D$192=1),0,IF(ROUND(VLOOKUP(A23,StatusQuo!A$19:M$68,13),Sheet1!D$75)-ROUND(VLOOKUP(A23,AlternativeC!A$110:M$159,13),Sheet1!D$75)&gt;0,1,0)))," "))</f>
        <v>#VALUE!</v>
      </c>
      <c r="P23" s="263" t="str">
        <f>IF(AND(A23&lt;&gt;" ",Sheet1!D$192=1,Sheet1!D$195=1),IF(AND(OR(Sheet1!D$8=2,Sheet1!D$22=3),O23&gt;10),0,ROUND(VLOOKUP(A23,StatusQuo!A$19:M$68,13),Sheet1!D$75)),IF(NOT(Sheet1!D$192=1),"not feasible",IF(A23=" "," ", "Savings is  n/a=&gt;")))</f>
        <v xml:space="preserve"> </v>
      </c>
      <c r="Q23" s="263" t="str">
        <f>IF(AND(A23&lt;&gt;" ",Sheet1!D$192=1,Sheet1!D$195=1),IF(AND(OR(Sheet1!D$8=2,Sheet1!D$22=3),O23&gt;10),0,ROUND(VLOOKUP(A23,AlternativeC!A$110:M$159,13),Sheet1!D$75)),IF(NOT(Sheet1!D$195=1),"not feasible",IF(A23=" "," ","&lt;== Savings is n/a")))</f>
        <v>not feasible</v>
      </c>
      <c r="R23" s="263" t="str">
        <f>IF(AND(A23&lt;&gt;" ",Sheet1!D$192=1,Sheet1!D$195=1),IF(G$81&lt;&gt;" ","??????? ",P23-Q23)," ")</f>
        <v xml:space="preserve"> </v>
      </c>
      <c r="S23" s="263" t="str">
        <f>IF(AND(A23&lt;&gt;" ",Sheet1!D$192=1,Sheet1!D$195=1),ROUND(R23*G23,Sheet1!D$75)," ")</f>
        <v xml:space="preserve"> </v>
      </c>
      <c r="T23" s="263" t="str">
        <f>IF(AND(A23&lt;&gt;" ",Sheet1!D$192=1,Sheet1!D$195=1),ROUND((R23/I23)*J23,Sheet1!D$75)," ")</f>
        <v xml:space="preserve"> </v>
      </c>
      <c r="U23" s="265">
        <f>SUM(T$11:T23)</f>
        <v>0</v>
      </c>
      <c r="V23" s="254" t="str">
        <f t="shared" si="0"/>
        <v xml:space="preserve"> </v>
      </c>
      <c r="W23" s="268">
        <f t="shared" si="1"/>
        <v>13</v>
      </c>
      <c r="X23" s="171" t="str">
        <f t="shared" si="2"/>
        <v xml:space="preserve"> </v>
      </c>
      <c r="AA23" s="265">
        <f>SUM(K$11:K23)</f>
        <v>0</v>
      </c>
      <c r="AB23" s="271" t="str">
        <f>IF(OR(Sheet1!D$192=1,Sheet1!D$195=1),IF(OR((AB22&gt;=(Sheet1!D$148+$A$11)-1),AND(Sheet1!D$8=3,AB22&gt;=6))," ",AB22+1),NA())</f>
        <v xml:space="preserve"> </v>
      </c>
      <c r="AC23" s="271" t="str">
        <f>IF(OR(Sheet1!D$192=1,Sheet1!D$195=1),IF(OR((AC22&gt;=(Sheet1!D$148+$B$11)-1),AND(Sheet1!D$8=3,AB22&gt;=6))," ",AC22+1),NA())</f>
        <v xml:space="preserve"> </v>
      </c>
      <c r="AD23" s="262"/>
      <c r="AE23" s="263" t="str">
        <f>IF(AND(Sheet1!D$195=1,AB23&lt;&gt;" "),ROUND(VLOOKUP(AB23,AlternativeC!A$17:M$66,12),Sheet1!D$75),IF(Sheet1!D$195=1," ","Alt  'C'  not feasible"))</f>
        <v>Alt  'C'  not feasible</v>
      </c>
      <c r="AF23" s="264" t="str">
        <f>IF(AB23&lt;=Sheet1!D$148, (1/((1+AF$10)^(AB23-0.5)))," ")</f>
        <v xml:space="preserve"> </v>
      </c>
      <c r="AG23" s="263" t="str">
        <f>IF(AND(Sheet1!D$195=1,AB23&lt;&gt;" "),ROUND(+AE23*AF23,Sheet1!D$75)," ")</f>
        <v xml:space="preserve"> </v>
      </c>
      <c r="AH23" s="264" t="str">
        <f>IF(AB23&lt;&gt;" ",ROUND(VLOOKUP(Sheet1!E$82,CHOOSE(Sheet1!D$214,Inflate1,Inflate2,Inflate3,Inflate4,Inflate5,Inflate6,Inflate7,Inflate8),2),4)," ")</f>
        <v xml:space="preserve"> </v>
      </c>
      <c r="AI23" s="264" t="str">
        <f>IF(AB23&lt;&gt;" ",ROUND(VLOOKUP(AC23,CHOOSE(Sheet1!D$214,Inflate1,Inflate2,Inflate3,Inflate4,Inflate5,Inflate6,Inflate7,Inflate8),3),4)," ")</f>
        <v xml:space="preserve"> </v>
      </c>
      <c r="AJ23" s="263" t="b">
        <f>IF(AND(Sheet1!D$195=1,AB23&lt;&gt;" "),IF(AND(O23&lt;=10,OR(Sheet1!D$8=2,Sheet1!D$8=3,Sheet1!D$22=3)),ROUND((AE23/AH23)*AI23,Sheet1!D$75),IF(AND(Sheet1!D$8&lt;&gt;2,Sheet1!D$8&lt;&gt;3,Sheet1!D$22&lt;&gt;3),ROUND((AE23/AH23)*AI23,Sheet1!D$75)," ")))</f>
        <v>0</v>
      </c>
    </row>
    <row r="24" spans="1:36" ht="12" customHeight="1" x14ac:dyDescent="0.2">
      <c r="A24" s="271" t="str">
        <f>IF(OR(Sheet1!D$192=1,Sheet1!D$195=1),IF(OR((A23&gt;=(Sheet1!D$148+$A$11)-1),AND(Sheet1!D$8=3,A23&gt;=6))," ",A23+1),NA())</f>
        <v xml:space="preserve"> </v>
      </c>
      <c r="B24" s="271" t="str">
        <f>IF(OR(Sheet1!D$192=1,Sheet1!D$195=1),IF(OR((B23&gt;=(Sheet1!D$148+$B$11)-1),AND(Sheet1!D$8=3,A23&gt;=6))," ",B23+1),NA())</f>
        <v xml:space="preserve"> </v>
      </c>
      <c r="C24" s="262"/>
      <c r="D24" s="263" t="str">
        <f>IF(AND(Sheet1!D$192=1,A24&lt;&gt;" "),ROUND(VLOOKUP(A24,StatusQuo!A$19:M$68,12),Sheet1!D$75),IF(Sheet1!D$192=1," ","SQ not feasible "))</f>
        <v xml:space="preserve"> </v>
      </c>
      <c r="E24" s="263" t="str">
        <f>IF(AND(Sheet1!D$195=1,A24&lt;&gt;" "),ROUND(VLOOKUP(A24,AlternativeC!A$110:M$159,12),Sheet1!D$75),IF(Sheet1!D$195=1," ","Alt  'C'  not feasible"))</f>
        <v>Alt  'C'  not feasible</v>
      </c>
      <c r="F24" s="263" t="str">
        <f>IF(AND(A24&lt;&gt;" ",Sheet1!D$192=1,Sheet1!D$195=1),D24-E24,IF(AND(Sheet1!D$195=1,A24&lt;&gt;" ")," "," "))</f>
        <v xml:space="preserve"> </v>
      </c>
      <c r="G24" s="264" t="str">
        <f>IF(A24&lt;=Sheet1!D$148, (1/((1+G10)^(A24-0.5)))," ")</f>
        <v xml:space="preserve"> </v>
      </c>
      <c r="H24" s="263" t="str">
        <f>IF(AND(A24&lt;&gt;" ",Sheet1!D$192=1,Sheet1!D$195=1),ROUND(F24*G24,Sheet1!D$75),IF(AND(A24&lt;&gt;" ",Sheet1!D$195=1),ROUND(E24*G24,Sheet1!D$75)," "))</f>
        <v xml:space="preserve"> </v>
      </c>
      <c r="I24" s="264" t="str">
        <f>IF(A24&lt;&gt;" ",ROUND(VLOOKUP(Sheet1!E$82,CHOOSE(Sheet1!D$234,Inflate7,Inflate2,Inflate3,Inflate4,Inflate5,Inflate6,Inflate1,Inflate8),2),4)," ")</f>
        <v xml:space="preserve"> </v>
      </c>
      <c r="J24" s="264" t="str">
        <f>IF(A24&lt;&gt;" ",ROUND(VLOOKUP(B24,CHOOSE(Sheet1!D$234,Inflate7,Inflate2,Inflate3,Inflate4,Inflate5,Inflate6,Inflate1,Inflate8),3),4)," ")</f>
        <v xml:space="preserve"> </v>
      </c>
      <c r="K24" s="265" t="str">
        <f>IF(AND(A24&lt;&gt;" ",Sheet1!D$192=1,Sheet1!D$195=1),ROUND((F24/I24)*J24,Sheet1!D$75),IF(AND(A24&lt;&gt;" ",Sheet1!D$195=1),ROUND((E24/I24)*J24,Sheet1!D$75)," "))</f>
        <v xml:space="preserve"> </v>
      </c>
      <c r="L24" s="254" t="str">
        <f>IF(Sheet1!D$192=1,IF(AND(AA24&gt;AJ$61,AA23&lt;=AJ$61),"&lt;-Payback"," ")," ")</f>
        <v xml:space="preserve"> </v>
      </c>
      <c r="M24" s="271" t="str">
        <f>IF(OR(Sheet1!D$192=1,Sheet1!D$195=1),IF(OR((A23&gt;=(Sheet1!D$148+$A$11)-1),AND(Sheet1!D$8=3,A23&gt;=6))," ",A23+1),NA())</f>
        <v xml:space="preserve"> </v>
      </c>
      <c r="N24" s="271" t="str">
        <f>IF(OR(Sheet1!D$192=1,Sheet1!D$195=1),IF(OR((B23&gt;=(Sheet1!D$148+$B$11)-1),AND(Sheet1!D$8=3,A23&gt;=6))," ",B23+1),NA())</f>
        <v xml:space="preserve"> </v>
      </c>
      <c r="O24" s="266" t="e">
        <f>IF(AND(Sheet1!D$8=3,M24=" ")," ",IF(OR(Sheet1!D$192=1,Sheet1!D$195=1),IF(O23&gt;0,IF(AND(OR(Sheet1!D$8=2,Sheet1!D$22=3),O23&gt;=10)," ",O23+1),IF(NOT(Sheet1!D$192=1),0,IF(ROUND(VLOOKUP(A24,StatusQuo!A$19:M$68,13),Sheet1!D$75)-ROUND(VLOOKUP(A24,AlternativeC!A$110:M$159,13),Sheet1!D$75)&gt;0,1,0)))," "))</f>
        <v>#VALUE!</v>
      </c>
      <c r="P24" s="263" t="str">
        <f>IF(AND(A24&lt;&gt;" ",Sheet1!D$192=1,Sheet1!D$195=1),IF(AND(OR(Sheet1!D$8=2,Sheet1!D$22=3),O24&gt;10),0,ROUND(VLOOKUP(A24,StatusQuo!A$19:M$68,13),Sheet1!D$75)),IF(NOT(Sheet1!D$192=1),"not feasible",IF(A24=" "," ", "Savings is  n/a=&gt;")))</f>
        <v xml:space="preserve"> </v>
      </c>
      <c r="Q24" s="263" t="str">
        <f>IF(AND(A24&lt;&gt;" ",Sheet1!D$192=1,Sheet1!D$195=1),IF(AND(OR(Sheet1!D$8=2,Sheet1!D$22=3),O24&gt;10),0,ROUND(VLOOKUP(A24,AlternativeC!A$110:M$159,13),Sheet1!D$75)),IF(NOT(Sheet1!D$195=1),"not feasible",IF(A24=" "," ","&lt;== Savings is n/a")))</f>
        <v>not feasible</v>
      </c>
      <c r="R24" s="263" t="str">
        <f>IF(AND(A24&lt;&gt;" ",Sheet1!D$192=1,Sheet1!D$195=1),IF(G$81&lt;&gt;" ","??????? ",P24-Q24)," ")</f>
        <v xml:space="preserve"> </v>
      </c>
      <c r="S24" s="263" t="str">
        <f>IF(AND(A24&lt;&gt;" ",Sheet1!D$192=1,Sheet1!D$195=1),ROUND(R24*G24,Sheet1!D$75)," ")</f>
        <v xml:space="preserve"> </v>
      </c>
      <c r="T24" s="263" t="str">
        <f>IF(AND(A24&lt;&gt;" ",Sheet1!D$192=1,Sheet1!D$195=1),ROUND((R24/I24)*J24,Sheet1!D$75)," ")</f>
        <v xml:space="preserve"> </v>
      </c>
      <c r="U24" s="265">
        <f>SUM(T$11:T24)</f>
        <v>0</v>
      </c>
      <c r="V24" s="254" t="str">
        <f t="shared" si="0"/>
        <v xml:space="preserve"> </v>
      </c>
      <c r="W24" s="268">
        <f t="shared" si="1"/>
        <v>14</v>
      </c>
      <c r="X24" s="171" t="str">
        <f t="shared" si="2"/>
        <v xml:space="preserve"> </v>
      </c>
      <c r="AA24" s="265">
        <f>SUM(K$11:K24)</f>
        <v>0</v>
      </c>
      <c r="AB24" s="271" t="str">
        <f>IF(OR(Sheet1!D$192=1,Sheet1!D$195=1),IF(OR((AB23&gt;=(Sheet1!D$148+$A$11)-1),AND(Sheet1!D$8=3,AB23&gt;=6))," ",AB23+1),NA())</f>
        <v xml:space="preserve"> </v>
      </c>
      <c r="AC24" s="271" t="str">
        <f>IF(OR(Sheet1!D$192=1,Sheet1!D$195=1),IF(OR((AC23&gt;=(Sheet1!D$148+$B$11)-1),AND(Sheet1!D$8=3,AB23&gt;=6))," ",AC23+1),NA())</f>
        <v xml:space="preserve"> </v>
      </c>
      <c r="AD24" s="262"/>
      <c r="AE24" s="263" t="str">
        <f>IF(AND(Sheet1!D$195=1,AB24&lt;&gt;" "),ROUND(VLOOKUP(AB24,AlternativeC!A$17:M$66,12),Sheet1!D$75),IF(Sheet1!D$195=1," ","Alt  'C'  not feasible"))</f>
        <v>Alt  'C'  not feasible</v>
      </c>
      <c r="AF24" s="264" t="str">
        <f>IF(AB24&lt;=Sheet1!D$148, (1/((1+AF$10)^(AB24-0.5)))," ")</f>
        <v xml:space="preserve"> </v>
      </c>
      <c r="AG24" s="263" t="str">
        <f>IF(AND(Sheet1!D$195=1,AB24&lt;&gt;" "),ROUND(+AE24*AF24,Sheet1!D$75)," ")</f>
        <v xml:space="preserve"> </v>
      </c>
      <c r="AH24" s="264" t="str">
        <f>IF(AB24&lt;&gt;" ",ROUND(VLOOKUP(Sheet1!E$82,CHOOSE(Sheet1!D$214,Inflate1,Inflate2,Inflate3,Inflate4,Inflate5,Inflate6,Inflate7,Inflate8),2),4)," ")</f>
        <v xml:space="preserve"> </v>
      </c>
      <c r="AI24" s="264" t="str">
        <f>IF(AB24&lt;&gt;" ",ROUND(VLOOKUP(AC24,CHOOSE(Sheet1!D$214,Inflate1,Inflate2,Inflate3,Inflate4,Inflate5,Inflate6,Inflate7,Inflate8),3),4)," ")</f>
        <v xml:space="preserve"> </v>
      </c>
      <c r="AJ24" s="263" t="b">
        <f>IF(AND(Sheet1!D$195=1,AB24&lt;&gt;" "),IF(AND(O24&lt;=10,OR(Sheet1!D$8=2,Sheet1!D$8=3,Sheet1!D$22=3)),ROUND((AE24/AH24)*AI24,Sheet1!D$75),IF(AND(Sheet1!D$8&lt;&gt;2,Sheet1!D$8&lt;&gt;3,Sheet1!D$22&lt;&gt;3),ROUND((AE24/AH24)*AI24,Sheet1!D$75)," ")))</f>
        <v>0</v>
      </c>
    </row>
    <row r="25" spans="1:36" ht="12" customHeight="1" x14ac:dyDescent="0.2">
      <c r="A25" s="271" t="str">
        <f>IF(OR(Sheet1!D$192=1,Sheet1!D$195=1),IF(OR((A24&gt;=(Sheet1!D$148+$A$11)-1),AND(Sheet1!D$8=3,A24&gt;=6))," ",A24+1),NA())</f>
        <v xml:space="preserve"> </v>
      </c>
      <c r="B25" s="271" t="str">
        <f>IF(OR(Sheet1!D$192=1,Sheet1!D$195=1),IF(OR((B24&gt;=(Sheet1!D$148+$B$11)-1),AND(Sheet1!D$8=3,A24&gt;=6))," ",B24+1),NA())</f>
        <v xml:space="preserve"> </v>
      </c>
      <c r="C25" s="262"/>
      <c r="D25" s="263" t="str">
        <f>IF(AND(Sheet1!D$192=1,A25&lt;&gt;" "),ROUND(VLOOKUP(A25,StatusQuo!A$19:M$68,12),Sheet1!D$75),IF(Sheet1!D$192=1," ","SQ not feasible "))</f>
        <v xml:space="preserve"> </v>
      </c>
      <c r="E25" s="263" t="str">
        <f>IF(AND(Sheet1!D$195=1,A25&lt;&gt;" "),ROUND(VLOOKUP(A25,AlternativeC!A$110:M$159,12),Sheet1!D$75),IF(Sheet1!D$195=1," ","Alt  'C'  not feasible"))</f>
        <v>Alt  'C'  not feasible</v>
      </c>
      <c r="F25" s="263" t="str">
        <f>IF(AND(A25&lt;&gt;" ",Sheet1!D$192=1,Sheet1!D$195=1),D25-E25,IF(AND(Sheet1!D$195=1,A25&lt;&gt;" ")," "," "))</f>
        <v xml:space="preserve"> </v>
      </c>
      <c r="G25" s="264" t="str">
        <f>IF(A25&lt;=Sheet1!D$148, (1/((1+G10)^(A25-0.5)))," ")</f>
        <v xml:space="preserve"> </v>
      </c>
      <c r="H25" s="263" t="str">
        <f>IF(AND(A25&lt;&gt;" ",Sheet1!D$192=1,Sheet1!D$195=1),ROUND(F25*G25,Sheet1!D$75),IF(AND(A25&lt;&gt;" ",Sheet1!D$195=1),ROUND(E25*G25,Sheet1!D$75)," "))</f>
        <v xml:space="preserve"> </v>
      </c>
      <c r="I25" s="264" t="str">
        <f>IF(A25&lt;&gt;" ",ROUND(VLOOKUP(Sheet1!E$82,CHOOSE(Sheet1!D$234,Inflate7,Inflate2,Inflate3,Inflate4,Inflate5,Inflate6,Inflate1,Inflate8),2),4)," ")</f>
        <v xml:space="preserve"> </v>
      </c>
      <c r="J25" s="264" t="str">
        <f>IF(A25&lt;&gt;" ",ROUND(VLOOKUP(B25,CHOOSE(Sheet1!D$234,Inflate7,Inflate2,Inflate3,Inflate4,Inflate5,Inflate6,Inflate1,Inflate8),3),4)," ")</f>
        <v xml:space="preserve"> </v>
      </c>
      <c r="K25" s="265" t="str">
        <f>IF(AND(A25&lt;&gt;" ",Sheet1!D$192=1,Sheet1!D$195=1),ROUND((F25/I25)*J25,Sheet1!D$75),IF(AND(A25&lt;&gt;" ",Sheet1!D$195=1),ROUND((E25/I25)*J25,Sheet1!D$75)," "))</f>
        <v xml:space="preserve"> </v>
      </c>
      <c r="L25" s="254" t="str">
        <f>IF(Sheet1!D$192=1,IF(AND(AA25&gt;AJ$61,AA24&lt;=AJ$61),"&lt;-Payback"," ")," ")</f>
        <v xml:space="preserve"> </v>
      </c>
      <c r="M25" s="271" t="str">
        <f>IF(OR(Sheet1!D$192=1,Sheet1!D$195=1),IF(OR((A24&gt;=(Sheet1!D$148+$A$11)-1),AND(Sheet1!D$8=3,A24&gt;=6))," ",A24+1),NA())</f>
        <v xml:space="preserve"> </v>
      </c>
      <c r="N25" s="271" t="str">
        <f>IF(OR(Sheet1!D$192=1,Sheet1!D$195=1),IF(OR((B24&gt;=(Sheet1!D$148+$B$11)-1),AND(Sheet1!D$8=3,A24&gt;=6))," ",B24+1),NA())</f>
        <v xml:space="preserve"> </v>
      </c>
      <c r="O25" s="266" t="e">
        <f>IF(AND(Sheet1!D$8=3,M25=" ")," ",IF(OR(Sheet1!D$192=1,Sheet1!D$195=1),IF(O24&gt;0,IF(AND(OR(Sheet1!D$8=2,Sheet1!D$22=3),O24&gt;=10)," ",O24+1),IF(NOT(Sheet1!D$192=1),0,IF(ROUND(VLOOKUP(A25,StatusQuo!A$19:M$68,13),Sheet1!D$75)-ROUND(VLOOKUP(A25,AlternativeC!A$110:M$159,13),Sheet1!D$75)&gt;0,1,0)))," "))</f>
        <v>#VALUE!</v>
      </c>
      <c r="P25" s="263" t="str">
        <f>IF(AND(A25&lt;&gt;" ",Sheet1!D$192=1,Sheet1!D$195=1),IF(AND(OR(Sheet1!D$8=2,Sheet1!D$22=3),O25&gt;10),0,ROUND(VLOOKUP(A25,StatusQuo!A$19:M$68,13),Sheet1!D$75)),IF(NOT(Sheet1!D$192=1),"not feasible",IF(A25=" "," ", "Savings is  n/a=&gt;")))</f>
        <v xml:space="preserve"> </v>
      </c>
      <c r="Q25" s="263" t="str">
        <f>IF(AND(A25&lt;&gt;" ",Sheet1!D$192=1,Sheet1!D$195=1),IF(AND(OR(Sheet1!D$8=2,Sheet1!D$22=3),O25&gt;10),0,ROUND(VLOOKUP(A25,AlternativeC!A$110:M$159,13),Sheet1!D$75)),IF(NOT(Sheet1!D$195=1),"not feasible",IF(A25=" "," ","&lt;== Savings is n/a")))</f>
        <v>not feasible</v>
      </c>
      <c r="R25" s="263" t="str">
        <f>IF(AND(A25&lt;&gt;" ",Sheet1!D$192=1,Sheet1!D$195=1),IF(G$81&lt;&gt;" ","??????? ",P25-Q25)," ")</f>
        <v xml:space="preserve"> </v>
      </c>
      <c r="S25" s="263" t="str">
        <f>IF(AND(A25&lt;&gt;" ",Sheet1!D$192=1,Sheet1!D$195=1),ROUND(R25*G25,Sheet1!D$75)," ")</f>
        <v xml:space="preserve"> </v>
      </c>
      <c r="T25" s="263" t="str">
        <f>IF(AND(A25&lt;&gt;" ",Sheet1!D$192=1,Sheet1!D$195=1),ROUND((R25/I25)*J25,Sheet1!D$75)," ")</f>
        <v xml:space="preserve"> </v>
      </c>
      <c r="U25" s="265">
        <f>SUM(T$11:T25)</f>
        <v>0</v>
      </c>
      <c r="V25" s="254" t="str">
        <f t="shared" si="0"/>
        <v xml:space="preserve"> </v>
      </c>
      <c r="W25" s="268">
        <f t="shared" si="1"/>
        <v>15</v>
      </c>
      <c r="X25" s="171" t="str">
        <f t="shared" si="2"/>
        <v xml:space="preserve"> </v>
      </c>
      <c r="AA25" s="265">
        <f>SUM(K$11:K25)</f>
        <v>0</v>
      </c>
      <c r="AB25" s="271" t="str">
        <f>IF(OR(Sheet1!D$192=1,Sheet1!D$195=1),IF(OR((AB24&gt;=(Sheet1!D$148+$A$11)-1),AND(Sheet1!D$8=3,AB24&gt;=6))," ",AB24+1),NA())</f>
        <v xml:space="preserve"> </v>
      </c>
      <c r="AC25" s="271" t="str">
        <f>IF(OR(Sheet1!D$192=1,Sheet1!D$195=1),IF(OR((AC24&gt;=(Sheet1!D$148+$B$11)-1),AND(Sheet1!D$8=3,AB24&gt;=6))," ",AC24+1),NA())</f>
        <v xml:space="preserve"> </v>
      </c>
      <c r="AD25" s="262"/>
      <c r="AE25" s="263" t="str">
        <f>IF(AND(Sheet1!D$195=1,AB25&lt;&gt;" "),ROUND(VLOOKUP(AB25,AlternativeC!A$17:M$66,12),Sheet1!D$75),IF(Sheet1!D$195=1," ","Alt  'C'  not feasible"))</f>
        <v>Alt  'C'  not feasible</v>
      </c>
      <c r="AF25" s="264" t="str">
        <f>IF(AB25&lt;=Sheet1!D$148, (1/((1+AF$10)^(AB25-0.5)))," ")</f>
        <v xml:space="preserve"> </v>
      </c>
      <c r="AG25" s="263" t="str">
        <f>IF(AND(Sheet1!D$195=1,AB25&lt;&gt;" "),ROUND(+AE25*AF25,Sheet1!D$75)," ")</f>
        <v xml:space="preserve"> </v>
      </c>
      <c r="AH25" s="264" t="str">
        <f>IF(AB25&lt;&gt;" ",ROUND(VLOOKUP(Sheet1!E$82,CHOOSE(Sheet1!D$214,Inflate1,Inflate2,Inflate3,Inflate4,Inflate5,Inflate6,Inflate7,Inflate8),2),4)," ")</f>
        <v xml:space="preserve"> </v>
      </c>
      <c r="AI25" s="264" t="str">
        <f>IF(AB25&lt;&gt;" ",ROUND(VLOOKUP(AC25,CHOOSE(Sheet1!D$214,Inflate1,Inflate2,Inflate3,Inflate4,Inflate5,Inflate6,Inflate7,Inflate8),3),4)," ")</f>
        <v xml:space="preserve"> </v>
      </c>
      <c r="AJ25" s="263" t="b">
        <f>IF(AND(Sheet1!D$195=1,AB25&lt;&gt;" "),IF(AND(O25&lt;=10,OR(Sheet1!D$8=2,Sheet1!D$8=3,Sheet1!D$22=3)),ROUND((AE25/AH25)*AI25,Sheet1!D$75),IF(AND(Sheet1!D$8&lt;&gt;2,Sheet1!D$8&lt;&gt;3,Sheet1!D$22&lt;&gt;3),ROUND((AE25/AH25)*AI25,Sheet1!D$75)," ")))</f>
        <v>0</v>
      </c>
    </row>
    <row r="26" spans="1:36" ht="12" customHeight="1" x14ac:dyDescent="0.2">
      <c r="A26" s="271" t="str">
        <f>IF(OR(Sheet1!D$192=1,Sheet1!D$195=1),IF(OR((A25&gt;=(Sheet1!D$148+$A$11)-1),AND(Sheet1!D$8=3,A25&gt;=6))," ",A25+1),NA())</f>
        <v xml:space="preserve"> </v>
      </c>
      <c r="B26" s="271" t="str">
        <f>IF(OR(Sheet1!D$192=1,Sheet1!D$195=1),IF(OR((B25&gt;=(Sheet1!D$148+$B$11)-1),AND(Sheet1!D$8=3,A25&gt;=6))," ",B25+1),NA())</f>
        <v xml:space="preserve"> </v>
      </c>
      <c r="C26" s="262"/>
      <c r="D26" s="263" t="str">
        <f>IF(AND(Sheet1!D$192=1,A26&lt;&gt;" "),ROUND(VLOOKUP(A26,StatusQuo!A$19:M$68,12),Sheet1!D$75),IF(Sheet1!D$192=1," ","SQ not feasible "))</f>
        <v xml:space="preserve"> </v>
      </c>
      <c r="E26" s="263" t="str">
        <f>IF(AND(Sheet1!D$195=1,A26&lt;&gt;" "),ROUND(VLOOKUP(A26,AlternativeC!A$110:M$159,12),Sheet1!D$75),IF(Sheet1!D$195=1," ","Alt  'C'  not feasible"))</f>
        <v>Alt  'C'  not feasible</v>
      </c>
      <c r="F26" s="263" t="str">
        <f>IF(AND(A26&lt;&gt;" ",Sheet1!D$192=1,Sheet1!D$195=1),D26-E26,IF(AND(Sheet1!D$195=1,A26&lt;&gt;" ")," "," "))</f>
        <v xml:space="preserve"> </v>
      </c>
      <c r="G26" s="264" t="str">
        <f>IF(A26&lt;=Sheet1!D$148, (1/((1+G10)^(A26-0.5)))," ")</f>
        <v xml:space="preserve"> </v>
      </c>
      <c r="H26" s="263" t="str">
        <f>IF(AND(A26&lt;&gt;" ",Sheet1!D$192=1,Sheet1!D$195=1),ROUND(F26*G26,Sheet1!D$75),IF(AND(A26&lt;&gt;" ",Sheet1!D$195=1),ROUND(E26*G26,Sheet1!D$75)," "))</f>
        <v xml:space="preserve"> </v>
      </c>
      <c r="I26" s="264" t="str">
        <f>IF(A26&lt;&gt;" ",ROUND(VLOOKUP(Sheet1!E$82,CHOOSE(Sheet1!D$234,Inflate7,Inflate2,Inflate3,Inflate4,Inflate5,Inflate6,Inflate1,Inflate8),2),4)," ")</f>
        <v xml:space="preserve"> </v>
      </c>
      <c r="J26" s="264" t="str">
        <f>IF(A26&lt;&gt;" ",ROUND(VLOOKUP(B26,CHOOSE(Sheet1!D$234,Inflate7,Inflate2,Inflate3,Inflate4,Inflate5,Inflate6,Inflate1,Inflate8),3),4)," ")</f>
        <v xml:space="preserve"> </v>
      </c>
      <c r="K26" s="265" t="str">
        <f>IF(AND(A26&lt;&gt;" ",Sheet1!D$192=1,Sheet1!D$195=1),ROUND((F26/I26)*J26,Sheet1!D$75),IF(AND(A26&lt;&gt;" ",Sheet1!D$195=1),ROUND((E26/I26)*J26,Sheet1!D$75)," "))</f>
        <v xml:space="preserve"> </v>
      </c>
      <c r="L26" s="254" t="str">
        <f>IF(Sheet1!D$192=1,IF(AND(AA26&gt;AJ$61,AA25&lt;=AJ$61),"&lt;-Payback"," ")," ")</f>
        <v xml:space="preserve"> </v>
      </c>
      <c r="M26" s="271" t="str">
        <f>IF(OR(Sheet1!D$192=1,Sheet1!D$195=1),IF(OR((A25&gt;=(Sheet1!D$148+$A$11)-1),AND(Sheet1!D$8=3,A25&gt;=6))," ",A25+1),NA())</f>
        <v xml:space="preserve"> </v>
      </c>
      <c r="N26" s="271" t="str">
        <f>IF(OR(Sheet1!D$192=1,Sheet1!D$195=1),IF(OR((B25&gt;=(Sheet1!D$148+$B$11)-1),AND(Sheet1!D$8=3,A25&gt;=6))," ",B25+1),NA())</f>
        <v xml:space="preserve"> </v>
      </c>
      <c r="O26" s="266" t="e">
        <f>IF(AND(Sheet1!D$8=3,M26=" ")," ",IF(OR(Sheet1!D$192=1,Sheet1!D$195=1),IF(O25&gt;0,IF(AND(OR(Sheet1!D$8=2,Sheet1!D$22=3),O25&gt;=10)," ",O25+1),IF(NOT(Sheet1!D$192=1),0,IF(ROUND(VLOOKUP(A26,StatusQuo!A$19:M$68,13),Sheet1!D$75)-ROUND(VLOOKUP(A26,AlternativeC!A$110:M$159,13),Sheet1!D$75)&gt;0,1,0)))," "))</f>
        <v>#VALUE!</v>
      </c>
      <c r="P26" s="263" t="str">
        <f>IF(AND(A26&lt;&gt;" ",Sheet1!D$192=1,Sheet1!D$195=1),IF(AND(OR(Sheet1!D$8=2,Sheet1!D$22=3),O26&gt;10),0,ROUND(VLOOKUP(A26,StatusQuo!A$19:M$68,13),Sheet1!D$75)),IF(NOT(Sheet1!D$192=1),"not feasible",IF(A26=" "," ", "Savings is  n/a=&gt;")))</f>
        <v xml:space="preserve"> </v>
      </c>
      <c r="Q26" s="263" t="str">
        <f>IF(AND(A26&lt;&gt;" ",Sheet1!D$192=1,Sheet1!D$195=1),IF(AND(OR(Sheet1!D$8=2,Sheet1!D$22=3),O26&gt;10),0,ROUND(VLOOKUP(A26,AlternativeC!A$110:M$159,13),Sheet1!D$75)),IF(NOT(Sheet1!D$195=1),"not feasible",IF(A26=" "," ","&lt;== Savings is n/a")))</f>
        <v>not feasible</v>
      </c>
      <c r="R26" s="263" t="str">
        <f>IF(AND(A26&lt;&gt;" ",Sheet1!D$192=1,Sheet1!D$195=1),IF(G$81&lt;&gt;" ","??????? ",P26-Q26)," ")</f>
        <v xml:space="preserve"> </v>
      </c>
      <c r="S26" s="263" t="str">
        <f>IF(AND(A26&lt;&gt;" ",Sheet1!D$192=1,Sheet1!D$195=1),ROUND(R26*G26,Sheet1!D$75)," ")</f>
        <v xml:space="preserve"> </v>
      </c>
      <c r="T26" s="263" t="str">
        <f>IF(AND(A26&lt;&gt;" ",Sheet1!D$192=1,Sheet1!D$195=1),ROUND((R26/I26)*J26,Sheet1!D$75)," ")</f>
        <v xml:space="preserve"> </v>
      </c>
      <c r="U26" s="265">
        <f>SUM(T$11:T26)</f>
        <v>0</v>
      </c>
      <c r="V26" s="254" t="str">
        <f t="shared" si="0"/>
        <v xml:space="preserve"> </v>
      </c>
      <c r="W26" s="268">
        <f t="shared" si="1"/>
        <v>16</v>
      </c>
      <c r="X26" s="171" t="str">
        <f t="shared" si="2"/>
        <v xml:space="preserve"> </v>
      </c>
      <c r="AA26" s="265">
        <f>SUM(K$11:K26)</f>
        <v>0</v>
      </c>
      <c r="AB26" s="271" t="str">
        <f>IF(OR(Sheet1!D$192=1,Sheet1!D$195=1),IF(OR((AB25&gt;=(Sheet1!D$148+$A$11)-1),AND(Sheet1!D$8=3,AB25&gt;=6))," ",AB25+1),NA())</f>
        <v xml:space="preserve"> </v>
      </c>
      <c r="AC26" s="271" t="str">
        <f>IF(OR(Sheet1!D$192=1,Sheet1!D$195=1),IF(OR((AC25&gt;=(Sheet1!D$148+$B$11)-1),AND(Sheet1!D$8=3,AB25&gt;=6))," ",AC25+1),NA())</f>
        <v xml:space="preserve"> </v>
      </c>
      <c r="AD26" s="262"/>
      <c r="AE26" s="263" t="str">
        <f>IF(AND(Sheet1!D$195=1,AB26&lt;&gt;" "),ROUND(VLOOKUP(AB26,AlternativeC!A$17:M$66,12),Sheet1!D$75),IF(Sheet1!D$195=1," ","Alt  'C'  not feasible"))</f>
        <v>Alt  'C'  not feasible</v>
      </c>
      <c r="AF26" s="264" t="str">
        <f>IF(AB26&lt;=Sheet1!D$148, (1/((1+AF$10)^(AB26-0.5)))," ")</f>
        <v xml:space="preserve"> </v>
      </c>
      <c r="AG26" s="263" t="str">
        <f>IF(AND(Sheet1!D$195=1,AB26&lt;&gt;" "),ROUND(+AE26*AF26,Sheet1!D$75)," ")</f>
        <v xml:space="preserve"> </v>
      </c>
      <c r="AH26" s="264" t="str">
        <f>IF(AB26&lt;&gt;" ",ROUND(VLOOKUP(Sheet1!E$82,CHOOSE(Sheet1!D$214,Inflate1,Inflate2,Inflate3,Inflate4,Inflate5,Inflate6,Inflate7,Inflate8),2),4)," ")</f>
        <v xml:space="preserve"> </v>
      </c>
      <c r="AI26" s="264" t="str">
        <f>IF(AB26&lt;&gt;" ",ROUND(VLOOKUP(AC26,CHOOSE(Sheet1!D$214,Inflate1,Inflate2,Inflate3,Inflate4,Inflate5,Inflate6,Inflate7,Inflate8),3),4)," ")</f>
        <v xml:space="preserve"> </v>
      </c>
      <c r="AJ26" s="263" t="b">
        <f>IF(AND(Sheet1!D$195=1,AB26&lt;&gt;" "),IF(AND(O26&lt;=10,OR(Sheet1!D$8=2,Sheet1!D$8=3,Sheet1!D$22=3)),ROUND((AE26/AH26)*AI26,Sheet1!D$75),IF(AND(Sheet1!D$8&lt;&gt;2,Sheet1!D$8&lt;&gt;3,Sheet1!D$22&lt;&gt;3),ROUND((AE26/AH26)*AI26,Sheet1!D$75)," ")))</f>
        <v>0</v>
      </c>
    </row>
    <row r="27" spans="1:36" ht="12" customHeight="1" x14ac:dyDescent="0.2">
      <c r="A27" s="271" t="str">
        <f>IF(OR(Sheet1!D$192=1,Sheet1!D$195=1),IF(OR((A26&gt;=(Sheet1!D$148+$A$11)-1),AND(Sheet1!D$8=3,A26&gt;=6))," ",A26+1),NA())</f>
        <v xml:space="preserve"> </v>
      </c>
      <c r="B27" s="271" t="str">
        <f>IF(OR(Sheet1!D$192=1,Sheet1!D$195=1),IF(OR((B26&gt;=(Sheet1!D$148+$B$11)-1),AND(Sheet1!D$8=3,A26&gt;=6))," ",B26+1),NA())</f>
        <v xml:space="preserve"> </v>
      </c>
      <c r="C27" s="262"/>
      <c r="D27" s="263" t="str">
        <f>IF(AND(Sheet1!D$192=1,A27&lt;&gt;" "),ROUND(VLOOKUP(A27,StatusQuo!A$19:M$68,12),Sheet1!D$75),IF(Sheet1!D$192=1," ","SQ not feasible "))</f>
        <v xml:space="preserve"> </v>
      </c>
      <c r="E27" s="263" t="str">
        <f>IF(AND(Sheet1!D$195=1,A27&lt;&gt;" "),ROUND(VLOOKUP(A27,AlternativeC!A$110:M$159,12),Sheet1!D$75),IF(Sheet1!D$195=1," ","Alt  'C'  not feasible"))</f>
        <v>Alt  'C'  not feasible</v>
      </c>
      <c r="F27" s="263" t="str">
        <f>IF(AND(A27&lt;&gt;" ",Sheet1!D$192=1,Sheet1!D$195=1),D27-E27,IF(AND(Sheet1!D$195=1,A27&lt;&gt;" ")," "," "))</f>
        <v xml:space="preserve"> </v>
      </c>
      <c r="G27" s="264" t="str">
        <f>IF(A27&lt;=Sheet1!D$148, (1/((1+G10)^(A27-0.5)))," ")</f>
        <v xml:space="preserve"> </v>
      </c>
      <c r="H27" s="263" t="str">
        <f>IF(AND(A27&lt;&gt;" ",Sheet1!D$192=1,Sheet1!D$195=1),ROUND(F27*G27,Sheet1!D$75),IF(AND(A27&lt;&gt;" ",Sheet1!D$195=1),ROUND(E27*G27,Sheet1!D$75)," "))</f>
        <v xml:space="preserve"> </v>
      </c>
      <c r="I27" s="264" t="str">
        <f>IF(A27&lt;&gt;" ",ROUND(VLOOKUP(Sheet1!E$82,CHOOSE(Sheet1!D$234,Inflate7,Inflate2,Inflate3,Inflate4,Inflate5,Inflate6,Inflate1,Inflate8),2),4)," ")</f>
        <v xml:space="preserve"> </v>
      </c>
      <c r="J27" s="264" t="str">
        <f>IF(A27&lt;&gt;" ",ROUND(VLOOKUP(B27,CHOOSE(Sheet1!D$234,Inflate7,Inflate2,Inflate3,Inflate4,Inflate5,Inflate6,Inflate1,Inflate8),3),4)," ")</f>
        <v xml:space="preserve"> </v>
      </c>
      <c r="K27" s="265" t="str">
        <f>IF(AND(A27&lt;&gt;" ",Sheet1!D$192=1,Sheet1!D$195=1),ROUND((F27/I27)*J27,Sheet1!D$75),IF(AND(A27&lt;&gt;" ",Sheet1!D$195=1),ROUND((E27/I27)*J27,Sheet1!D$75)," "))</f>
        <v xml:space="preserve"> </v>
      </c>
      <c r="L27" s="254" t="str">
        <f>IF(Sheet1!D$192=1,IF(AND(AA27&gt;AJ$61,AA26&lt;=AJ$61),"&lt;-Payback"," ")," ")</f>
        <v xml:space="preserve"> </v>
      </c>
      <c r="M27" s="271" t="str">
        <f>IF(OR(Sheet1!D$192=1,Sheet1!D$195=1),IF(OR((A26&gt;=(Sheet1!D$148+$A$11)-1),AND(Sheet1!D$8=3,A26&gt;=6))," ",A26+1),NA())</f>
        <v xml:space="preserve"> </v>
      </c>
      <c r="N27" s="271" t="str">
        <f>IF(OR(Sheet1!D$192=1,Sheet1!D$195=1),IF(OR((B26&gt;=(Sheet1!D$148+$B$11)-1),AND(Sheet1!D$8=3,A26&gt;=6))," ",B26+1),NA())</f>
        <v xml:space="preserve"> </v>
      </c>
      <c r="O27" s="266" t="e">
        <f>IF(AND(Sheet1!D$8=3,M27=" ")," ",IF(OR(Sheet1!D$192=1,Sheet1!D$195=1),IF(O26&gt;0,IF(AND(OR(Sheet1!D$8=2,Sheet1!D$22=3),O26&gt;=10)," ",O26+1),IF(NOT(Sheet1!D$192=1),0,IF(ROUND(VLOOKUP(A27,StatusQuo!A$19:M$68,13),Sheet1!D$75)-ROUND(VLOOKUP(A27,AlternativeC!A$110:M$159,13),Sheet1!D$75)&gt;0,1,0)))," "))</f>
        <v>#VALUE!</v>
      </c>
      <c r="P27" s="263" t="str">
        <f>IF(AND(A27&lt;&gt;" ",Sheet1!D$192=1,Sheet1!D$195=1),IF(AND(OR(Sheet1!D$8=2,Sheet1!D$22=3),O27&gt;10),0,ROUND(VLOOKUP(A27,StatusQuo!A$19:M$68,13),Sheet1!D$75)),IF(NOT(Sheet1!D$192=1),"not feasible",IF(A27=" "," ", "Savings is  n/a=&gt;")))</f>
        <v xml:space="preserve"> </v>
      </c>
      <c r="Q27" s="263" t="str">
        <f>IF(AND(A27&lt;&gt;" ",Sheet1!D$192=1,Sheet1!D$195=1),IF(AND(OR(Sheet1!D$8=2,Sheet1!D$22=3),O27&gt;10),0,ROUND(VLOOKUP(A27,AlternativeC!A$110:M$159,13),Sheet1!D$75)),IF(NOT(Sheet1!D$195=1),"not feasible",IF(A27=" "," ","&lt;== Savings is n/a")))</f>
        <v>not feasible</v>
      </c>
      <c r="R27" s="263" t="str">
        <f>IF(AND(A27&lt;&gt;" ",Sheet1!D$192=1,Sheet1!D$195=1),IF(G$81&lt;&gt;" ","??????? ",P27-Q27)," ")</f>
        <v xml:space="preserve"> </v>
      </c>
      <c r="S27" s="263" t="str">
        <f>IF(AND(A27&lt;&gt;" ",Sheet1!D$192=1,Sheet1!D$195=1),ROUND(R27*G27,Sheet1!D$75)," ")</f>
        <v xml:space="preserve"> </v>
      </c>
      <c r="T27" s="263" t="str">
        <f>IF(AND(A27&lt;&gt;" ",Sheet1!D$192=1,Sheet1!D$195=1),ROUND((R27/I27)*J27,Sheet1!D$75)," ")</f>
        <v xml:space="preserve"> </v>
      </c>
      <c r="U27" s="265">
        <f>SUM(T$11:T27)</f>
        <v>0</v>
      </c>
      <c r="V27" s="254" t="str">
        <f t="shared" si="0"/>
        <v xml:space="preserve"> </v>
      </c>
      <c r="W27" s="268">
        <f t="shared" si="1"/>
        <v>17</v>
      </c>
      <c r="X27" s="171" t="str">
        <f t="shared" si="2"/>
        <v xml:space="preserve"> </v>
      </c>
      <c r="AA27" s="265">
        <f>SUM(K$11:K27)</f>
        <v>0</v>
      </c>
      <c r="AB27" s="271" t="str">
        <f>IF(OR(Sheet1!D$192=1,Sheet1!D$195=1),IF(OR((AB26&gt;=(Sheet1!D$148+$A$11)-1),AND(Sheet1!D$8=3,AB26&gt;=6))," ",AB26+1),NA())</f>
        <v xml:space="preserve"> </v>
      </c>
      <c r="AC27" s="271" t="str">
        <f>IF(OR(Sheet1!D$192=1,Sheet1!D$195=1),IF(OR((AC26&gt;=(Sheet1!D$148+$B$11)-1),AND(Sheet1!D$8=3,AB26&gt;=6))," ",AC26+1),NA())</f>
        <v xml:space="preserve"> </v>
      </c>
      <c r="AD27" s="262"/>
      <c r="AE27" s="263" t="str">
        <f>IF(AND(Sheet1!D$195=1,AB27&lt;&gt;" "),ROUND(VLOOKUP(AB27,AlternativeC!A$17:M$66,12),Sheet1!D$75),IF(Sheet1!D$195=1," ","Alt  'C'  not feasible"))</f>
        <v>Alt  'C'  not feasible</v>
      </c>
      <c r="AF27" s="264" t="str">
        <f>IF(AB27&lt;=Sheet1!D$148, (1/((1+AF$10)^(AB27-0.5)))," ")</f>
        <v xml:space="preserve"> </v>
      </c>
      <c r="AG27" s="263" t="str">
        <f>IF(AND(Sheet1!D$195=1,AB27&lt;&gt;" "),ROUND(+AE27*AF27,Sheet1!D$75)," ")</f>
        <v xml:space="preserve"> </v>
      </c>
      <c r="AH27" s="264" t="str">
        <f>IF(AB27&lt;&gt;" ",ROUND(VLOOKUP(Sheet1!E$82,CHOOSE(Sheet1!D$214,Inflate1,Inflate2,Inflate3,Inflate4,Inflate5,Inflate6,Inflate7,Inflate8),2),4)," ")</f>
        <v xml:space="preserve"> </v>
      </c>
      <c r="AI27" s="264" t="str">
        <f>IF(AB27&lt;&gt;" ",ROUND(VLOOKUP(AC27,CHOOSE(Sheet1!D$214,Inflate1,Inflate2,Inflate3,Inflate4,Inflate5,Inflate6,Inflate7,Inflate8),3),4)," ")</f>
        <v xml:space="preserve"> </v>
      </c>
      <c r="AJ27" s="263" t="b">
        <f>IF(AND(Sheet1!D$195=1,AB27&lt;&gt;" "),IF(AND(O27&lt;=10,OR(Sheet1!D$8=2,Sheet1!D$8=3,Sheet1!D$22=3)),ROUND((AE27/AH27)*AI27,Sheet1!D$75),IF(AND(Sheet1!D$8&lt;&gt;2,Sheet1!D$8&lt;&gt;3,Sheet1!D$22&lt;&gt;3),ROUND((AE27/AH27)*AI27,Sheet1!D$75)," ")))</f>
        <v>0</v>
      </c>
    </row>
    <row r="28" spans="1:36" ht="12" customHeight="1" x14ac:dyDescent="0.2">
      <c r="A28" s="271" t="str">
        <f>IF(OR(Sheet1!D$192=1,Sheet1!D$195=1),IF(OR((A27&gt;=(Sheet1!D$148+$A$11)-1),AND(Sheet1!D$8=3,A27&gt;=6))," ",A27+1),NA())</f>
        <v xml:space="preserve"> </v>
      </c>
      <c r="B28" s="271" t="str">
        <f>IF(OR(Sheet1!D$192=1,Sheet1!D$195=1),IF(OR((B27&gt;=(Sheet1!D$148+$B$11)-1),AND(Sheet1!D$8=3,A27&gt;=6))," ",B27+1),NA())</f>
        <v xml:space="preserve"> </v>
      </c>
      <c r="C28" s="262"/>
      <c r="D28" s="263" t="str">
        <f>IF(AND(Sheet1!D$192=1,A28&lt;&gt;" "),ROUND(VLOOKUP(A28,StatusQuo!A$19:M$68,12),Sheet1!D$75),IF(Sheet1!D$192=1," ","SQ not feasible "))</f>
        <v xml:space="preserve"> </v>
      </c>
      <c r="E28" s="263" t="str">
        <f>IF(AND(Sheet1!D$195=1,A28&lt;&gt;" "),ROUND(VLOOKUP(A28,AlternativeC!A$110:M$159,12),Sheet1!D$75),IF(Sheet1!D$195=1," ","Alt  'C'  not feasible"))</f>
        <v>Alt  'C'  not feasible</v>
      </c>
      <c r="F28" s="263" t="str">
        <f>IF(AND(A28&lt;&gt;" ",Sheet1!D$192=1,Sheet1!D$195=1),D28-E28,IF(AND(Sheet1!D$195=1,A28&lt;&gt;" ")," "," "))</f>
        <v xml:space="preserve"> </v>
      </c>
      <c r="G28" s="264" t="str">
        <f>IF(A28&lt;=Sheet1!D$148, (1/((1+G10)^(A28-0.5)))," ")</f>
        <v xml:space="preserve"> </v>
      </c>
      <c r="H28" s="263" t="str">
        <f>IF(AND(A28&lt;&gt;" ",Sheet1!D$192=1,Sheet1!D$195=1),ROUND(F28*G28,Sheet1!D$75),IF(AND(A28&lt;&gt;" ",Sheet1!D$195=1),ROUND(E28*G28,Sheet1!D$75)," "))</f>
        <v xml:space="preserve"> </v>
      </c>
      <c r="I28" s="264" t="str">
        <f>IF(A28&lt;&gt;" ",ROUND(VLOOKUP(Sheet1!E$82,CHOOSE(Sheet1!D$234,Inflate7,Inflate2,Inflate3,Inflate4,Inflate5,Inflate6,Inflate1,Inflate8),2),4)," ")</f>
        <v xml:space="preserve"> </v>
      </c>
      <c r="J28" s="264" t="str">
        <f>IF(A28&lt;&gt;" ",ROUND(VLOOKUP(B28,CHOOSE(Sheet1!D$234,Inflate7,Inflate2,Inflate3,Inflate4,Inflate5,Inflate6,Inflate1,Inflate8),3),4)," ")</f>
        <v xml:space="preserve"> </v>
      </c>
      <c r="K28" s="265" t="str">
        <f>IF(AND(A28&lt;&gt;" ",Sheet1!D$192=1,Sheet1!D$195=1),ROUND((F28/I28)*J28,Sheet1!D$75),IF(AND(A28&lt;&gt;" ",Sheet1!D$195=1),ROUND((E28/I28)*J28,Sheet1!D$75)," "))</f>
        <v xml:space="preserve"> </v>
      </c>
      <c r="L28" s="254" t="str">
        <f>IF(Sheet1!D$192=1,IF(AND(AA28&gt;AJ$61,AA27&lt;=AJ$61),"&lt;-Payback"," ")," ")</f>
        <v xml:space="preserve"> </v>
      </c>
      <c r="M28" s="271" t="str">
        <f>IF(OR(Sheet1!D$192=1,Sheet1!D$195=1),IF(OR((A27&gt;=(Sheet1!D$148+$A$11)-1),AND(Sheet1!D$8=3,A27&gt;=6))," ",A27+1),NA())</f>
        <v xml:space="preserve"> </v>
      </c>
      <c r="N28" s="271" t="str">
        <f>IF(OR(Sheet1!D$192=1,Sheet1!D$195=1),IF(OR((B27&gt;=(Sheet1!D$148+$B$11)-1),AND(Sheet1!D$8=3,A27&gt;=6))," ",B27+1),NA())</f>
        <v xml:space="preserve"> </v>
      </c>
      <c r="O28" s="266" t="e">
        <f>IF(AND(Sheet1!D$8=3,M28=" ")," ",IF(OR(Sheet1!D$192=1,Sheet1!D$195=1),IF(O27&gt;0,IF(AND(OR(Sheet1!D$8=2,Sheet1!D$22=3),O27&gt;=10)," ",O27+1),IF(NOT(Sheet1!D$192=1),0,IF(ROUND(VLOOKUP(A28,StatusQuo!A$19:M$68,13),Sheet1!D$75)-ROUND(VLOOKUP(A28,AlternativeC!A$110:M$159,13),Sheet1!D$75)&gt;0,1,0)))," "))</f>
        <v>#VALUE!</v>
      </c>
      <c r="P28" s="263" t="str">
        <f>IF(AND(A28&lt;&gt;" ",Sheet1!D$192=1,Sheet1!D$195=1),IF(AND(OR(Sheet1!D$8=2,Sheet1!D$22=3),O28&gt;10),0,ROUND(VLOOKUP(A28,StatusQuo!A$19:M$68,13),Sheet1!D$75)),IF(NOT(Sheet1!D$192=1),"not feasible",IF(A28=" "," ", "Savings is  n/a=&gt;")))</f>
        <v xml:space="preserve"> </v>
      </c>
      <c r="Q28" s="263" t="str">
        <f>IF(AND(A28&lt;&gt;" ",Sheet1!D$192=1,Sheet1!D$195=1),IF(AND(OR(Sheet1!D$8=2,Sheet1!D$22=3),O28&gt;10),0,ROUND(VLOOKUP(A28,AlternativeC!A$110:M$159,13),Sheet1!D$75)),IF(NOT(Sheet1!D$195=1),"not feasible",IF(A28=" "," ","&lt;== Savings is n/a")))</f>
        <v>not feasible</v>
      </c>
      <c r="R28" s="263" t="str">
        <f>IF(AND(A28&lt;&gt;" ",Sheet1!D$192=1,Sheet1!D$195=1),IF(G$81&lt;&gt;" ","??????? ",P28-Q28)," ")</f>
        <v xml:space="preserve"> </v>
      </c>
      <c r="S28" s="263" t="str">
        <f>IF(AND(A28&lt;&gt;" ",Sheet1!D$192=1,Sheet1!D$195=1),ROUND(R28*G28,Sheet1!D$75)," ")</f>
        <v xml:space="preserve"> </v>
      </c>
      <c r="T28" s="263" t="str">
        <f>IF(AND(A28&lt;&gt;" ",Sheet1!D$192=1,Sheet1!D$195=1),ROUND((R28/I28)*J28,Sheet1!D$75)," ")</f>
        <v xml:space="preserve"> </v>
      </c>
      <c r="U28" s="265">
        <f>SUM(T$11:T28)</f>
        <v>0</v>
      </c>
      <c r="V28" s="254" t="str">
        <f t="shared" si="0"/>
        <v xml:space="preserve"> </v>
      </c>
      <c r="W28" s="268">
        <f t="shared" si="1"/>
        <v>18</v>
      </c>
      <c r="X28" s="171" t="str">
        <f t="shared" si="2"/>
        <v xml:space="preserve"> </v>
      </c>
      <c r="AA28" s="265">
        <f>SUM(K$11:K28)</f>
        <v>0</v>
      </c>
      <c r="AB28" s="271" t="str">
        <f>IF(OR(Sheet1!D$192=1,Sheet1!D$195=1),IF(OR((AB27&gt;=(Sheet1!D$148+$A$11)-1),AND(Sheet1!D$8=3,AB27&gt;=6))," ",AB27+1),NA())</f>
        <v xml:space="preserve"> </v>
      </c>
      <c r="AC28" s="271" t="str">
        <f>IF(OR(Sheet1!D$192=1,Sheet1!D$195=1),IF(OR((AC27&gt;=(Sheet1!D$148+$B$11)-1),AND(Sheet1!D$8=3,AB27&gt;=6))," ",AC27+1),NA())</f>
        <v xml:space="preserve"> </v>
      </c>
      <c r="AD28" s="262"/>
      <c r="AE28" s="263" t="str">
        <f>IF(AND(Sheet1!D$195=1,AB28&lt;&gt;" "),ROUND(VLOOKUP(AB28,AlternativeC!A$17:M$66,12),Sheet1!D$75),IF(Sheet1!D$195=1," ","Alt  'C'  not feasible"))</f>
        <v>Alt  'C'  not feasible</v>
      </c>
      <c r="AF28" s="264" t="str">
        <f>IF(AB28&lt;=Sheet1!D$148, (1/((1+AF$10)^(AB28-0.5)))," ")</f>
        <v xml:space="preserve"> </v>
      </c>
      <c r="AG28" s="263" t="str">
        <f>IF(AND(Sheet1!D$195=1,AB28&lt;&gt;" "),ROUND(+AE28*AF28,Sheet1!D$75)," ")</f>
        <v xml:space="preserve"> </v>
      </c>
      <c r="AH28" s="264" t="str">
        <f>IF(AB28&lt;&gt;" ",ROUND(VLOOKUP(Sheet1!E$82,CHOOSE(Sheet1!D$214,Inflate1,Inflate2,Inflate3,Inflate4,Inflate5,Inflate6,Inflate7,Inflate8),2),4)," ")</f>
        <v xml:space="preserve"> </v>
      </c>
      <c r="AI28" s="264" t="str">
        <f>IF(AB28&lt;&gt;" ",ROUND(VLOOKUP(AC28,CHOOSE(Sheet1!D$214,Inflate1,Inflate2,Inflate3,Inflate4,Inflate5,Inflate6,Inflate7,Inflate8),3),4)," ")</f>
        <v xml:space="preserve"> </v>
      </c>
      <c r="AJ28" s="263" t="b">
        <f>IF(AND(Sheet1!D$195=1,AB28&lt;&gt;" "),IF(AND(O28&lt;=10,OR(Sheet1!D$8=2,Sheet1!D$8=3,Sheet1!D$22=3)),ROUND((AE28/AH28)*AI28,Sheet1!D$75),IF(AND(Sheet1!D$8&lt;&gt;2,Sheet1!D$8&lt;&gt;3,Sheet1!D$22&lt;&gt;3),ROUND((AE28/AH28)*AI28,Sheet1!D$75)," ")))</f>
        <v>0</v>
      </c>
    </row>
    <row r="29" spans="1:36" ht="12" customHeight="1" x14ac:dyDescent="0.2">
      <c r="A29" s="271" t="str">
        <f>IF(OR(Sheet1!D$192=1,Sheet1!D$195=1),IF(OR((A28&gt;=(Sheet1!D$148+$A$11)-1),AND(Sheet1!D$8=3,A28&gt;=6))," ",A28+1),NA())</f>
        <v xml:space="preserve"> </v>
      </c>
      <c r="B29" s="271" t="str">
        <f>IF(OR(Sheet1!D$192=1,Sheet1!D$195=1),IF(OR((B28&gt;=(Sheet1!D$148+$B$11)-1),AND(Sheet1!D$8=3,A28&gt;=6))," ",B28+1),NA())</f>
        <v xml:space="preserve"> </v>
      </c>
      <c r="C29" s="262"/>
      <c r="D29" s="263" t="str">
        <f>IF(AND(Sheet1!D$192=1,A29&lt;&gt;" "),ROUND(VLOOKUP(A29,StatusQuo!A$19:M$68,12),Sheet1!D$75),IF(Sheet1!D$192=1," ","SQ not feasible "))</f>
        <v xml:space="preserve"> </v>
      </c>
      <c r="E29" s="263" t="str">
        <f>IF(AND(Sheet1!D$195=1,A29&lt;&gt;" "),ROUND(VLOOKUP(A29,AlternativeC!A$110:M$159,12),Sheet1!D$75),IF(Sheet1!D$195=1," ","Alt  'C'  not feasible"))</f>
        <v>Alt  'C'  not feasible</v>
      </c>
      <c r="F29" s="263" t="str">
        <f>IF(AND(A29&lt;&gt;" ",Sheet1!D$192=1,Sheet1!D$195=1),D29-E29,IF(AND(Sheet1!D$195=1,A29&lt;&gt;" ")," "," "))</f>
        <v xml:space="preserve"> </v>
      </c>
      <c r="G29" s="264" t="str">
        <f>IF(A29&lt;=Sheet1!D$148, (1/((1+G10)^(A29-0.5)))," ")</f>
        <v xml:space="preserve"> </v>
      </c>
      <c r="H29" s="263" t="str">
        <f>IF(AND(A29&lt;&gt;" ",Sheet1!D$192=1,Sheet1!D$195=1),ROUND(F29*G29,Sheet1!D$75),IF(AND(A29&lt;&gt;" ",Sheet1!D$195=1),ROUND(E29*G29,Sheet1!D$75)," "))</f>
        <v xml:space="preserve"> </v>
      </c>
      <c r="I29" s="264" t="str">
        <f>IF(A29&lt;&gt;" ",ROUND(VLOOKUP(Sheet1!E$82,CHOOSE(Sheet1!D$234,Inflate7,Inflate2,Inflate3,Inflate4,Inflate5,Inflate6,Inflate1,Inflate8),2),4)," ")</f>
        <v xml:space="preserve"> </v>
      </c>
      <c r="J29" s="264" t="str">
        <f>IF(A29&lt;&gt;" ",ROUND(VLOOKUP(B29,CHOOSE(Sheet1!D$234,Inflate7,Inflate2,Inflate3,Inflate4,Inflate5,Inflate6,Inflate1,Inflate8),3),4)," ")</f>
        <v xml:space="preserve"> </v>
      </c>
      <c r="K29" s="265" t="str">
        <f>IF(AND(A29&lt;&gt;" ",Sheet1!D$192=1,Sheet1!D$195=1),ROUND((F29/I29)*J29,Sheet1!D$75),IF(AND(A29&lt;&gt;" ",Sheet1!D$195=1),ROUND((E29/I29)*J29,Sheet1!D$75)," "))</f>
        <v xml:space="preserve"> </v>
      </c>
      <c r="L29" s="254" t="str">
        <f>IF(Sheet1!D$192=1,IF(AND(AA29&gt;AJ$61,AA28&lt;=AJ$61),"&lt;-Payback"," ")," ")</f>
        <v xml:space="preserve"> </v>
      </c>
      <c r="M29" s="271" t="str">
        <f>IF(OR(Sheet1!D$192=1,Sheet1!D$195=1),IF(OR((A28&gt;=(Sheet1!D$148+$A$11)-1),AND(Sheet1!D$8=3,A28&gt;=6))," ",A28+1),NA())</f>
        <v xml:space="preserve"> </v>
      </c>
      <c r="N29" s="271" t="str">
        <f>IF(OR(Sheet1!D$192=1,Sheet1!D$195=1),IF(OR((B28&gt;=(Sheet1!D$148+$B$11)-1),AND(Sheet1!D$8=3,A28&gt;=6))," ",B28+1),NA())</f>
        <v xml:space="preserve"> </v>
      </c>
      <c r="O29" s="266" t="e">
        <f>IF(AND(Sheet1!D$8=3,M29=" ")," ",IF(OR(Sheet1!D$192=1,Sheet1!D$195=1),IF(O28&gt;0,IF(AND(OR(Sheet1!D$8=2,Sheet1!D$22=3),O28&gt;=10)," ",O28+1),IF(NOT(Sheet1!D$192=1),0,IF(ROUND(VLOOKUP(A29,StatusQuo!A$19:M$68,13),Sheet1!D$75)-ROUND(VLOOKUP(A29,AlternativeC!A$110:M$159,13),Sheet1!D$75)&gt;0,1,0)))," "))</f>
        <v>#VALUE!</v>
      </c>
      <c r="P29" s="263" t="str">
        <f>IF(AND(A29&lt;&gt;" ",Sheet1!D$192=1,Sheet1!D$195=1),IF(AND(OR(Sheet1!D$8=2,Sheet1!D$22=3),O29&gt;10),0,ROUND(VLOOKUP(A29,StatusQuo!A$19:M$68,13),Sheet1!D$75)),IF(NOT(Sheet1!D$192=1),"not feasible",IF(A29=" "," ", "Savings is  n/a=&gt;")))</f>
        <v xml:space="preserve"> </v>
      </c>
      <c r="Q29" s="263" t="str">
        <f>IF(AND(A29&lt;&gt;" ",Sheet1!D$192=1,Sheet1!D$195=1),IF(AND(OR(Sheet1!D$8=2,Sheet1!D$22=3),O29&gt;10),0,ROUND(VLOOKUP(A29,AlternativeC!A$110:M$159,13),Sheet1!D$75)),IF(NOT(Sheet1!D$195=1),"not feasible",IF(A29=" "," ","&lt;== Savings is n/a")))</f>
        <v>not feasible</v>
      </c>
      <c r="R29" s="263" t="str">
        <f>IF(AND(A29&lt;&gt;" ",Sheet1!D$192=1,Sheet1!D$195=1),IF(G$81&lt;&gt;" ","??????? ",P29-Q29)," ")</f>
        <v xml:space="preserve"> </v>
      </c>
      <c r="S29" s="263" t="str">
        <f>IF(AND(A29&lt;&gt;" ",Sheet1!D$192=1,Sheet1!D$195=1),ROUND(R29*G29,Sheet1!D$75)," ")</f>
        <v xml:space="preserve"> </v>
      </c>
      <c r="T29" s="263" t="str">
        <f>IF(AND(A29&lt;&gt;" ",Sheet1!D$192=1,Sheet1!D$195=1),ROUND((R29/I29)*J29,Sheet1!D$75)," ")</f>
        <v xml:space="preserve"> </v>
      </c>
      <c r="U29" s="265">
        <f>SUM(T$11:T29)</f>
        <v>0</v>
      </c>
      <c r="V29" s="254" t="str">
        <f t="shared" si="0"/>
        <v xml:space="preserve"> </v>
      </c>
      <c r="W29" s="268">
        <f t="shared" si="1"/>
        <v>19</v>
      </c>
      <c r="X29" s="171" t="str">
        <f t="shared" si="2"/>
        <v xml:space="preserve"> </v>
      </c>
      <c r="AA29" s="265">
        <f>SUM(K$11:K29)</f>
        <v>0</v>
      </c>
      <c r="AB29" s="271" t="str">
        <f>IF(OR(Sheet1!D$192=1,Sheet1!D$195=1),IF(OR((AB28&gt;=(Sheet1!D$148+$A$11)-1),AND(Sheet1!D$8=3,AB28&gt;=6))," ",AB28+1),NA())</f>
        <v xml:space="preserve"> </v>
      </c>
      <c r="AC29" s="271" t="str">
        <f>IF(OR(Sheet1!D$192=1,Sheet1!D$195=1),IF(OR((AC28&gt;=(Sheet1!D$148+$B$11)-1),AND(Sheet1!D$8=3,AB28&gt;=6))," ",AC28+1),NA())</f>
        <v xml:space="preserve"> </v>
      </c>
      <c r="AD29" s="262"/>
      <c r="AE29" s="263" t="str">
        <f>IF(AND(Sheet1!D$195=1,AB29&lt;&gt;" "),ROUND(VLOOKUP(AB29,AlternativeC!A$17:M$66,12),Sheet1!D$75),IF(Sheet1!D$195=1," ","Alt  'C'  not feasible"))</f>
        <v>Alt  'C'  not feasible</v>
      </c>
      <c r="AF29" s="264" t="str">
        <f>IF(AB29&lt;=Sheet1!D$148, (1/((1+AF$10)^(AB29-0.5)))," ")</f>
        <v xml:space="preserve"> </v>
      </c>
      <c r="AG29" s="263" t="str">
        <f>IF(AND(Sheet1!D$195=1,AB29&lt;&gt;" "),ROUND(+AE29*AF29,Sheet1!D$75)," ")</f>
        <v xml:space="preserve"> </v>
      </c>
      <c r="AH29" s="264" t="str">
        <f>IF(AB29&lt;&gt;" ",ROUND(VLOOKUP(Sheet1!E$82,CHOOSE(Sheet1!D$214,Inflate1,Inflate2,Inflate3,Inflate4,Inflate5,Inflate6,Inflate7,Inflate8),2),4)," ")</f>
        <v xml:space="preserve"> </v>
      </c>
      <c r="AI29" s="264" t="str">
        <f>IF(AB29&lt;&gt;" ",ROUND(VLOOKUP(AC29,CHOOSE(Sheet1!D$214,Inflate1,Inflate2,Inflate3,Inflate4,Inflate5,Inflate6,Inflate7,Inflate8),3),4)," ")</f>
        <v xml:space="preserve"> </v>
      </c>
      <c r="AJ29" s="263" t="b">
        <f>IF(AND(Sheet1!D$195=1,AB29&lt;&gt;" "),IF(AND(O29&lt;=10,OR(Sheet1!D$8=2,Sheet1!D$8=3,Sheet1!D$22=3)),ROUND((AE29/AH29)*AI29,Sheet1!D$75),IF(AND(Sheet1!D$8&lt;&gt;2,Sheet1!D$8&lt;&gt;3,Sheet1!D$22&lt;&gt;3),ROUND((AE29/AH29)*AI29,Sheet1!D$75)," ")))</f>
        <v>0</v>
      </c>
    </row>
    <row r="30" spans="1:36" ht="12" customHeight="1" x14ac:dyDescent="0.2">
      <c r="A30" s="271" t="str">
        <f>IF(OR(Sheet1!D$192=1,Sheet1!D$195=1),IF(OR((A29&gt;=(Sheet1!D$148+$A$11)-1),AND(Sheet1!D$8=3,A29&gt;=6))," ",A29+1),NA())</f>
        <v xml:space="preserve"> </v>
      </c>
      <c r="B30" s="271" t="str">
        <f>IF(OR(Sheet1!D$192=1,Sheet1!D$195=1),IF(OR((B29&gt;=(Sheet1!D$148+$B$11)-1),AND(Sheet1!D$8=3,A29&gt;=6))," ",B29+1),NA())</f>
        <v xml:space="preserve"> </v>
      </c>
      <c r="C30" s="262"/>
      <c r="D30" s="263" t="str">
        <f>IF(AND(Sheet1!D$192=1,A30&lt;&gt;" "),ROUND(VLOOKUP(A30,StatusQuo!A$19:M$68,12),Sheet1!D$75),IF(Sheet1!D$192=1," ","SQ not feasible "))</f>
        <v xml:space="preserve"> </v>
      </c>
      <c r="E30" s="263" t="str">
        <f>IF(AND(Sheet1!D$195=1,A30&lt;&gt;" "),ROUND(VLOOKUP(A30,AlternativeC!A$110:M$159,12),Sheet1!D$75),IF(Sheet1!D$195=1," ","Alt  'C'  not feasible"))</f>
        <v>Alt  'C'  not feasible</v>
      </c>
      <c r="F30" s="263" t="str">
        <f>IF(AND(A30&lt;&gt;" ",Sheet1!D$192=1,Sheet1!D$195=1),D30-E30,IF(AND(Sheet1!D$195=1,A30&lt;&gt;" ")," "," "))</f>
        <v xml:space="preserve"> </v>
      </c>
      <c r="G30" s="264" t="str">
        <f>IF(A30&lt;=Sheet1!D$148, (1/((1+G10)^(A30-0.5)))," ")</f>
        <v xml:space="preserve"> </v>
      </c>
      <c r="H30" s="263" t="str">
        <f>IF(AND(A30&lt;&gt;" ",Sheet1!D$192=1,Sheet1!D$195=1),ROUND(F30*G30,Sheet1!D$75),IF(AND(A30&lt;&gt;" ",Sheet1!D$195=1),ROUND(E30*G30,Sheet1!D$75)," "))</f>
        <v xml:space="preserve"> </v>
      </c>
      <c r="I30" s="264" t="str">
        <f>IF(A30&lt;&gt;" ",ROUND(VLOOKUP(Sheet1!E$82,CHOOSE(Sheet1!D$234,Inflate7,Inflate2,Inflate3,Inflate4,Inflate5,Inflate6,Inflate1,Inflate8),2),4)," ")</f>
        <v xml:space="preserve"> </v>
      </c>
      <c r="J30" s="264" t="str">
        <f>IF(A30&lt;&gt;" ",ROUND(VLOOKUP(B30,CHOOSE(Sheet1!D$234,Inflate7,Inflate2,Inflate3,Inflate4,Inflate5,Inflate6,Inflate1,Inflate8),3),4)," ")</f>
        <v xml:space="preserve"> </v>
      </c>
      <c r="K30" s="265" t="str">
        <f>IF(AND(A30&lt;&gt;" ",Sheet1!D$192=1,Sheet1!D$195=1),ROUND((F30/I30)*J30,Sheet1!D$75),IF(AND(A30&lt;&gt;" ",Sheet1!D$195=1),ROUND((E30/I30)*J30,Sheet1!D$75)," "))</f>
        <v xml:space="preserve"> </v>
      </c>
      <c r="L30" s="254" t="str">
        <f>IF(Sheet1!D$192=1,IF(AND(AA30&gt;AJ$61,AA29&lt;=AJ$61),"&lt;-Payback"," ")," ")</f>
        <v xml:space="preserve"> </v>
      </c>
      <c r="M30" s="271" t="str">
        <f>IF(OR(Sheet1!D$192=1,Sheet1!D$195=1),IF(OR((A29&gt;=(Sheet1!D$148+$A$11)-1),AND(Sheet1!D$8=3,A29&gt;=6))," ",A29+1),NA())</f>
        <v xml:space="preserve"> </v>
      </c>
      <c r="N30" s="271" t="str">
        <f>IF(OR(Sheet1!D$192=1,Sheet1!D$195=1),IF(OR((B29&gt;=(Sheet1!D$148+$B$11)-1),AND(Sheet1!D$8=3,A29&gt;=6))," ",B29+1),NA())</f>
        <v xml:space="preserve"> </v>
      </c>
      <c r="O30" s="266" t="e">
        <f>IF(AND(Sheet1!D$8=3,M30=" ")," ",IF(OR(Sheet1!D$192=1,Sheet1!D$195=1),IF(O29&gt;0,IF(AND(OR(Sheet1!D$8=2,Sheet1!D$22=3),O29&gt;=10)," ",O29+1),IF(NOT(Sheet1!D$192=1),0,IF(ROUND(VLOOKUP(A30,StatusQuo!A$19:M$68,13),Sheet1!D$75)-ROUND(VLOOKUP(A30,AlternativeC!A$110:M$159,13),Sheet1!D$75)&gt;0,1,0)))," "))</f>
        <v>#VALUE!</v>
      </c>
      <c r="P30" s="263" t="str">
        <f>IF(AND(A30&lt;&gt;" ",Sheet1!D$192=1,Sheet1!D$195=1),IF(AND(OR(Sheet1!D$8=2,Sheet1!D$22=3),O30&gt;10),0,ROUND(VLOOKUP(A30,StatusQuo!A$19:M$68,13),Sheet1!D$75)),IF(NOT(Sheet1!D$192=1),"not feasible",IF(A30=" "," ", "Savings is  n/a=&gt;")))</f>
        <v xml:space="preserve"> </v>
      </c>
      <c r="Q30" s="263" t="str">
        <f>IF(AND(A30&lt;&gt;" ",Sheet1!D$192=1,Sheet1!D$195=1),IF(AND(OR(Sheet1!D$8=2,Sheet1!D$22=3),O30&gt;10),0,ROUND(VLOOKUP(A30,AlternativeC!A$110:M$159,13),Sheet1!D$75)),IF(NOT(Sheet1!D$195=1),"not feasible",IF(A30=" "," ","&lt;== Savings is n/a")))</f>
        <v>not feasible</v>
      </c>
      <c r="R30" s="263" t="str">
        <f>IF(AND(A30&lt;&gt;" ",Sheet1!D$192=1,Sheet1!D$195=1),IF(G$81&lt;&gt;" ","??????? ",P30-Q30)," ")</f>
        <v xml:space="preserve"> </v>
      </c>
      <c r="S30" s="263" t="str">
        <f>IF(AND(A30&lt;&gt;" ",Sheet1!D$192=1,Sheet1!D$195=1),ROUND(R30*G30,Sheet1!D$75)," ")</f>
        <v xml:space="preserve"> </v>
      </c>
      <c r="T30" s="263" t="str">
        <f>IF(AND(A30&lt;&gt;" ",Sheet1!D$192=1,Sheet1!D$195=1),ROUND((R30/I30)*J30,Sheet1!D$75)," ")</f>
        <v xml:space="preserve"> </v>
      </c>
      <c r="U30" s="265">
        <f>SUM(T$11:T30)</f>
        <v>0</v>
      </c>
      <c r="V30" s="254" t="str">
        <f t="shared" si="0"/>
        <v xml:space="preserve"> </v>
      </c>
      <c r="W30" s="268">
        <f t="shared" si="1"/>
        <v>20</v>
      </c>
      <c r="X30" s="171" t="str">
        <f t="shared" si="2"/>
        <v xml:space="preserve"> </v>
      </c>
      <c r="AA30" s="265">
        <f>SUM(K$11:K30)</f>
        <v>0</v>
      </c>
      <c r="AB30" s="271" t="str">
        <f>IF(OR(Sheet1!D$192=1,Sheet1!D$195=1),IF(OR((AB29&gt;=(Sheet1!D$148+$A$11)-1),AND(Sheet1!D$8=3,AB29&gt;=6))," ",AB29+1),NA())</f>
        <v xml:space="preserve"> </v>
      </c>
      <c r="AC30" s="271" t="str">
        <f>IF(OR(Sheet1!D$192=1,Sheet1!D$195=1),IF(OR((AC29&gt;=(Sheet1!D$148+$B$11)-1),AND(Sheet1!D$8=3,AB29&gt;=6))," ",AC29+1),NA())</f>
        <v xml:space="preserve"> </v>
      </c>
      <c r="AD30" s="262"/>
      <c r="AE30" s="263" t="str">
        <f>IF(AND(Sheet1!D$195=1,AB30&lt;&gt;" "),ROUND(VLOOKUP(AB30,AlternativeC!A$17:M$66,12),Sheet1!D$75),IF(Sheet1!D$195=1," ","Alt  'C'  not feasible"))</f>
        <v>Alt  'C'  not feasible</v>
      </c>
      <c r="AF30" s="264" t="str">
        <f>IF(AB30&lt;=Sheet1!D$148, (1/((1+AF$10)^(AB30-0.5)))," ")</f>
        <v xml:space="preserve"> </v>
      </c>
      <c r="AG30" s="263" t="str">
        <f>IF(AND(Sheet1!D$195=1,AB30&lt;&gt;" "),ROUND(+AE30*AF30,Sheet1!D$75)," ")</f>
        <v xml:space="preserve"> </v>
      </c>
      <c r="AH30" s="264" t="str">
        <f>IF(AB30&lt;&gt;" ",ROUND(VLOOKUP(Sheet1!E$82,CHOOSE(Sheet1!D$214,Inflate1,Inflate2,Inflate3,Inflate4,Inflate5,Inflate6,Inflate7,Inflate8),2),4)," ")</f>
        <v xml:space="preserve"> </v>
      </c>
      <c r="AI30" s="264" t="str">
        <f>IF(AB30&lt;&gt;" ",ROUND(VLOOKUP(AC30,CHOOSE(Sheet1!D$214,Inflate1,Inflate2,Inflate3,Inflate4,Inflate5,Inflate6,Inflate7,Inflate8),3),4)," ")</f>
        <v xml:space="preserve"> </v>
      </c>
      <c r="AJ30" s="263" t="b">
        <f>IF(AND(Sheet1!D$195=1,AB30&lt;&gt;" "),IF(AND(O30&lt;=10,OR(Sheet1!D$8=2,Sheet1!D$8=3,Sheet1!D$22=3)),ROUND((AE30/AH30)*AI30,Sheet1!D$75),IF(AND(Sheet1!D$8&lt;&gt;2,Sheet1!D$8&lt;&gt;3,Sheet1!D$22&lt;&gt;3),ROUND((AE30/AH30)*AI30,Sheet1!D$75)," ")))</f>
        <v>0</v>
      </c>
    </row>
    <row r="31" spans="1:36" ht="12" customHeight="1" x14ac:dyDescent="0.2">
      <c r="A31" s="271" t="str">
        <f>IF(OR(Sheet1!D$192=1,Sheet1!D$195=1),IF(OR((A30&gt;=(Sheet1!D$148+$A$11)-1),AND(Sheet1!D$8=3,A30&gt;=6))," ",A30+1),NA())</f>
        <v xml:space="preserve"> </v>
      </c>
      <c r="B31" s="271" t="str">
        <f>IF(OR(Sheet1!D$192=1,Sheet1!D$195=1),IF(OR((B30&gt;=(Sheet1!D$148+$B$11)-1),AND(Sheet1!D$8=3,A30&gt;=6))," ",B30+1),NA())</f>
        <v xml:space="preserve"> </v>
      </c>
      <c r="C31" s="262"/>
      <c r="D31" s="263" t="str">
        <f>IF(AND(Sheet1!D$192=1,A31&lt;&gt;" "),ROUND(VLOOKUP(A31,StatusQuo!A$19:M$68,12),Sheet1!D$75),IF(Sheet1!D$192=1," ","SQ not feasible "))</f>
        <v xml:space="preserve"> </v>
      </c>
      <c r="E31" s="263" t="str">
        <f>IF(AND(Sheet1!D$195=1,A31&lt;&gt;" "),ROUND(VLOOKUP(A31,AlternativeC!A$110:M$159,12),Sheet1!D$75),IF(Sheet1!D$195=1," ","Alt  'C'  not feasible"))</f>
        <v>Alt  'C'  not feasible</v>
      </c>
      <c r="F31" s="263" t="str">
        <f>IF(AND(A31&lt;&gt;" ",Sheet1!D$192=1,Sheet1!D$195=1),D31-E31,IF(AND(Sheet1!D$195=1,A31&lt;&gt;" ")," "," "))</f>
        <v xml:space="preserve"> </v>
      </c>
      <c r="G31" s="264" t="str">
        <f>IF(A31&lt;=Sheet1!D$148, (1/((1+G10)^(A31-0.5)))," ")</f>
        <v xml:space="preserve"> </v>
      </c>
      <c r="H31" s="263" t="str">
        <f>IF(AND(A31&lt;&gt;" ",Sheet1!D$192=1,Sheet1!D$195=1),ROUND(F31*G31,Sheet1!D$75),IF(AND(A31&lt;&gt;" ",Sheet1!D$195=1),ROUND(E31*G31,Sheet1!D$75)," "))</f>
        <v xml:space="preserve"> </v>
      </c>
      <c r="I31" s="264" t="str">
        <f>IF(A31&lt;&gt;" ",ROUND(VLOOKUP(Sheet1!E$82,CHOOSE(Sheet1!D$234,Inflate7,Inflate2,Inflate3,Inflate4,Inflate5,Inflate6,Inflate1,Inflate8),2),4)," ")</f>
        <v xml:space="preserve"> </v>
      </c>
      <c r="J31" s="264" t="str">
        <f>IF(A31&lt;&gt;" ",ROUND(VLOOKUP(B31,CHOOSE(Sheet1!D$234,Inflate7,Inflate2,Inflate3,Inflate4,Inflate5,Inflate6,Inflate1,Inflate8),3),4)," ")</f>
        <v xml:space="preserve"> </v>
      </c>
      <c r="K31" s="265" t="str">
        <f>IF(AND(A31&lt;&gt;" ",Sheet1!D$192=1,Sheet1!D$195=1),ROUND((F31/I31)*J31,Sheet1!D$75),IF(AND(A31&lt;&gt;" ",Sheet1!D$195=1),ROUND((E31/I31)*J31,Sheet1!D$75)," "))</f>
        <v xml:space="preserve"> </v>
      </c>
      <c r="L31" s="254" t="str">
        <f>IF(Sheet1!D$192=1,IF(AND(AA31&gt;AJ$61,AA30&lt;=AJ$61),"&lt;-Payback"," ")," ")</f>
        <v xml:space="preserve"> </v>
      </c>
      <c r="M31" s="271" t="str">
        <f>IF(OR(Sheet1!D$192=1,Sheet1!D$195=1),IF(OR((A30&gt;=(Sheet1!D$148+$A$11)-1),AND(Sheet1!D$8=3,A30&gt;=6))," ",A30+1),NA())</f>
        <v xml:space="preserve"> </v>
      </c>
      <c r="N31" s="271" t="str">
        <f>IF(OR(Sheet1!D$192=1,Sheet1!D$195=1),IF(OR((B30&gt;=(Sheet1!D$148+$B$11)-1),AND(Sheet1!D$8=3,A30&gt;=6))," ",B30+1),NA())</f>
        <v xml:space="preserve"> </v>
      </c>
      <c r="O31" s="266" t="e">
        <f>IF(AND(Sheet1!D$8=3,M31=" ")," ",IF(OR(Sheet1!D$192=1,Sheet1!D$195=1),IF(O30&gt;0,IF(AND(OR(Sheet1!D$8=2,Sheet1!D$22=3),O30&gt;=10)," ",O30+1),IF(NOT(Sheet1!D$192=1),0,IF(ROUND(VLOOKUP(A31,StatusQuo!A$19:M$68,13),Sheet1!D$75)-ROUND(VLOOKUP(A31,AlternativeC!A$110:M$159,13),Sheet1!D$75)&gt;0,1,0)))," "))</f>
        <v>#VALUE!</v>
      </c>
      <c r="P31" s="263" t="str">
        <f>IF(AND(A31&lt;&gt;" ",Sheet1!D$192=1,Sheet1!D$195=1),IF(AND(OR(Sheet1!D$8=2,Sheet1!D$22=3),O31&gt;10),0,ROUND(VLOOKUP(A31,StatusQuo!A$19:M$68,13),Sheet1!D$75)),IF(NOT(Sheet1!D$192=1),"not feasible",IF(A31=" "," ", "Savings is  n/a=&gt;")))</f>
        <v xml:space="preserve"> </v>
      </c>
      <c r="Q31" s="263" t="str">
        <f>IF(AND(A31&lt;&gt;" ",Sheet1!D$192=1,Sheet1!D$195=1),IF(AND(OR(Sheet1!D$8=2,Sheet1!D$22=3),O31&gt;10),0,ROUND(VLOOKUP(A31,AlternativeC!A$110:M$159,13),Sheet1!D$75)),IF(NOT(Sheet1!D$195=1),"not feasible",IF(A31=" "," ","&lt;== Savings is n/a")))</f>
        <v>not feasible</v>
      </c>
      <c r="R31" s="263" t="str">
        <f>IF(AND(A31&lt;&gt;" ",Sheet1!D$192=1,Sheet1!D$195=1),IF(G$81&lt;&gt;" ","??????? ",P31-Q31)," ")</f>
        <v xml:space="preserve"> </v>
      </c>
      <c r="S31" s="263" t="str">
        <f>IF(AND(A31&lt;&gt;" ",Sheet1!D$192=1,Sheet1!D$195=1),ROUND(R31*G31,Sheet1!D$75)," ")</f>
        <v xml:space="preserve"> </v>
      </c>
      <c r="T31" s="263" t="str">
        <f>IF(AND(A31&lt;&gt;" ",Sheet1!D$192=1,Sheet1!D$195=1),ROUND((R31/I31)*J31,Sheet1!D$75)," ")</f>
        <v xml:space="preserve"> </v>
      </c>
      <c r="U31" s="265">
        <f>SUM(T$11:T31)</f>
        <v>0</v>
      </c>
      <c r="V31" s="254" t="str">
        <f t="shared" si="0"/>
        <v xml:space="preserve"> </v>
      </c>
      <c r="W31" s="268">
        <f t="shared" si="1"/>
        <v>21</v>
      </c>
      <c r="X31" s="171" t="str">
        <f t="shared" si="2"/>
        <v xml:space="preserve"> </v>
      </c>
      <c r="AA31" s="265">
        <f>SUM(K$11:K31)</f>
        <v>0</v>
      </c>
      <c r="AB31" s="271" t="str">
        <f>IF(OR(Sheet1!D$192=1,Sheet1!D$195=1),IF(OR((AB30&gt;=(Sheet1!D$148+$A$11)-1),AND(Sheet1!D$8=3,AB30&gt;=6))," ",AB30+1),NA())</f>
        <v xml:space="preserve"> </v>
      </c>
      <c r="AC31" s="271" t="str">
        <f>IF(OR(Sheet1!D$192=1,Sheet1!D$195=1),IF(OR((AC30&gt;=(Sheet1!D$148+$B$11)-1),AND(Sheet1!D$8=3,AB30&gt;=6))," ",AC30+1),NA())</f>
        <v xml:space="preserve"> </v>
      </c>
      <c r="AD31" s="262"/>
      <c r="AE31" s="263" t="str">
        <f>IF(AND(Sheet1!D$195=1,AB31&lt;&gt;" "),ROUND(VLOOKUP(AB31,AlternativeC!A$17:M$66,12),Sheet1!D$75),IF(Sheet1!D$195=1," ","Alt  'C'  not feasible"))</f>
        <v>Alt  'C'  not feasible</v>
      </c>
      <c r="AF31" s="264" t="str">
        <f>IF(AB31&lt;=Sheet1!D$148, (1/((1+AF$10)^(AB31-0.5)))," ")</f>
        <v xml:space="preserve"> </v>
      </c>
      <c r="AG31" s="263" t="str">
        <f>IF(AND(Sheet1!D$195=1,AB31&lt;&gt;" "),ROUND(+AE31*AF31,Sheet1!D$75)," ")</f>
        <v xml:space="preserve"> </v>
      </c>
      <c r="AH31" s="264" t="str">
        <f>IF(AB31&lt;&gt;" ",ROUND(VLOOKUP(Sheet1!E$82,CHOOSE(Sheet1!D$214,Inflate1,Inflate2,Inflate3,Inflate4,Inflate5,Inflate6,Inflate7,Inflate8),2),4)," ")</f>
        <v xml:space="preserve"> </v>
      </c>
      <c r="AI31" s="264" t="str">
        <f>IF(AB31&lt;&gt;" ",ROUND(VLOOKUP(AC31,CHOOSE(Sheet1!D$214,Inflate1,Inflate2,Inflate3,Inflate4,Inflate5,Inflate6,Inflate7,Inflate8),3),4)," ")</f>
        <v xml:space="preserve"> </v>
      </c>
      <c r="AJ31" s="263" t="b">
        <f>IF(AND(Sheet1!D$195=1,AB31&lt;&gt;" "),IF(AND(O31&lt;=10,OR(Sheet1!D$8=2,Sheet1!D$8=3,Sheet1!D$22=3)),ROUND((AE31/AH31)*AI31,Sheet1!D$75),IF(AND(Sheet1!D$8&lt;&gt;2,Sheet1!D$8&lt;&gt;3,Sheet1!D$22&lt;&gt;3),ROUND((AE31/AH31)*AI31,Sheet1!D$75)," ")))</f>
        <v>0</v>
      </c>
    </row>
    <row r="32" spans="1:36" ht="12" customHeight="1" x14ac:dyDescent="0.2">
      <c r="A32" s="271" t="str">
        <f>IF(OR(Sheet1!D$192=1,Sheet1!D$195=1),IF(OR((A31&gt;=(Sheet1!D$148+$A$11)-1),AND(Sheet1!D$8=3,A31&gt;=6))," ",A31+1),NA())</f>
        <v xml:space="preserve"> </v>
      </c>
      <c r="B32" s="271" t="str">
        <f>IF(OR(Sheet1!D$192=1,Sheet1!D$195=1),IF(OR((B31&gt;=(Sheet1!D$148+$B$11)-1),AND(Sheet1!D$8=3,A31&gt;=6))," ",B31+1),NA())</f>
        <v xml:space="preserve"> </v>
      </c>
      <c r="C32" s="262"/>
      <c r="D32" s="263" t="str">
        <f>IF(AND(Sheet1!D$192=1,A32&lt;&gt;" "),ROUND(VLOOKUP(A32,StatusQuo!A$19:M$68,12),Sheet1!D$75),IF(Sheet1!D$192=1," ","SQ not feasible "))</f>
        <v xml:space="preserve"> </v>
      </c>
      <c r="E32" s="263" t="str">
        <f>IF(AND(Sheet1!D$195=1,A32&lt;&gt;" "),ROUND(VLOOKUP(A32,AlternativeC!A$110:M$159,12),Sheet1!D$75),IF(Sheet1!D$195=1," ","Alt  'C'  not feasible"))</f>
        <v>Alt  'C'  not feasible</v>
      </c>
      <c r="F32" s="263" t="str">
        <f>IF(AND(A32&lt;&gt;" ",Sheet1!D$192=1,Sheet1!D$195=1),D32-E32,IF(AND(Sheet1!D$195=1,A32&lt;&gt;" ")," "," "))</f>
        <v xml:space="preserve"> </v>
      </c>
      <c r="G32" s="264" t="str">
        <f>IF(A32&lt;=Sheet1!D$148, (1/((1+G10)^(A32-0.5)))," ")</f>
        <v xml:space="preserve"> </v>
      </c>
      <c r="H32" s="263" t="str">
        <f>IF(AND(A32&lt;&gt;" ",Sheet1!D$192=1,Sheet1!D$195=1),ROUND(F32*G32,Sheet1!D$75),IF(AND(A32&lt;&gt;" ",Sheet1!D$195=1),ROUND(E32*G32,Sheet1!D$75)," "))</f>
        <v xml:space="preserve"> </v>
      </c>
      <c r="I32" s="264" t="str">
        <f>IF(A32&lt;&gt;" ",ROUND(VLOOKUP(Sheet1!E$82,CHOOSE(Sheet1!D$234,Inflate7,Inflate2,Inflate3,Inflate4,Inflate5,Inflate6,Inflate1,Inflate8),2),4)," ")</f>
        <v xml:space="preserve"> </v>
      </c>
      <c r="J32" s="264" t="str">
        <f>IF(A32&lt;&gt;" ",ROUND(VLOOKUP(B32,CHOOSE(Sheet1!D$234,Inflate7,Inflate2,Inflate3,Inflate4,Inflate5,Inflate6,Inflate1,Inflate8),3),4)," ")</f>
        <v xml:space="preserve"> </v>
      </c>
      <c r="K32" s="265" t="str">
        <f>IF(AND(A32&lt;&gt;" ",Sheet1!D$192=1,Sheet1!D$195=1),ROUND((F32/I32)*J32,Sheet1!D$75),IF(AND(A32&lt;&gt;" ",Sheet1!D$195=1),ROUND((E32/I32)*J32,Sheet1!D$75)," "))</f>
        <v xml:space="preserve"> </v>
      </c>
      <c r="L32" s="254" t="str">
        <f>IF(Sheet1!D$192=1,IF(AND(AA32&gt;AJ$61,AA31&lt;=AJ$61),"&lt;-Payback"," ")," ")</f>
        <v xml:space="preserve"> </v>
      </c>
      <c r="M32" s="271" t="str">
        <f>IF(OR(Sheet1!D$192=1,Sheet1!D$195=1),IF(OR((A31&gt;=(Sheet1!D$148+$A$11)-1),AND(Sheet1!D$8=3,A31&gt;=6))," ",A31+1),NA())</f>
        <v xml:space="preserve"> </v>
      </c>
      <c r="N32" s="271" t="str">
        <f>IF(OR(Sheet1!D$192=1,Sheet1!D$195=1),IF(OR((B31&gt;=(Sheet1!D$148+$B$11)-1),AND(Sheet1!D$8=3,A31&gt;=6))," ",B31+1),NA())</f>
        <v xml:space="preserve"> </v>
      </c>
      <c r="O32" s="266" t="e">
        <f>IF(AND(Sheet1!D$8=3,M32=" ")," ",IF(OR(Sheet1!D$192=1,Sheet1!D$195=1),IF(O31&gt;0,IF(AND(OR(Sheet1!D$8=2,Sheet1!D$22=3),O31&gt;=10)," ",O31+1),IF(NOT(Sheet1!D$192=1),0,IF(ROUND(VLOOKUP(A32,StatusQuo!A$19:M$68,13),Sheet1!D$75)-ROUND(VLOOKUP(A32,AlternativeC!A$110:M$159,13),Sheet1!D$75)&gt;0,1,0)))," "))</f>
        <v>#VALUE!</v>
      </c>
      <c r="P32" s="263" t="str">
        <f>IF(AND(A32&lt;&gt;" ",Sheet1!D$192=1,Sheet1!D$195=1),IF(AND(OR(Sheet1!D$8=2,Sheet1!D$22=3),O32&gt;10),0,ROUND(VLOOKUP(A32,StatusQuo!A$19:M$68,13),Sheet1!D$75)),IF(NOT(Sheet1!D$192=1),"not feasible",IF(A32=" "," ", "Savings is  n/a=&gt;")))</f>
        <v xml:space="preserve"> </v>
      </c>
      <c r="Q32" s="263" t="str">
        <f>IF(AND(A32&lt;&gt;" ",Sheet1!D$192=1,Sheet1!D$195=1),IF(AND(OR(Sheet1!D$8=2,Sheet1!D$22=3),O32&gt;10),0,ROUND(VLOOKUP(A32,AlternativeC!A$110:M$159,13),Sheet1!D$75)),IF(NOT(Sheet1!D$195=1),"not feasible",IF(A32=" "," ","&lt;== Savings is n/a")))</f>
        <v>not feasible</v>
      </c>
      <c r="R32" s="263" t="str">
        <f>IF(AND(A32&lt;&gt;" ",Sheet1!D$192=1,Sheet1!D$195=1),IF(G$81&lt;&gt;" ","??????? ",P32-Q32)," ")</f>
        <v xml:space="preserve"> </v>
      </c>
      <c r="S32" s="263" t="str">
        <f>IF(AND(A32&lt;&gt;" ",Sheet1!D$192=1,Sheet1!D$195=1),ROUND(R32*G32,Sheet1!D$75)," ")</f>
        <v xml:space="preserve"> </v>
      </c>
      <c r="T32" s="263" t="str">
        <f>IF(AND(A32&lt;&gt;" ",Sheet1!D$192=1,Sheet1!D$195=1),ROUND((R32/I32)*J32,Sheet1!D$75)," ")</f>
        <v xml:space="preserve"> </v>
      </c>
      <c r="U32" s="265">
        <f>SUM(T$11:T32)</f>
        <v>0</v>
      </c>
      <c r="V32" s="254" t="str">
        <f t="shared" si="0"/>
        <v xml:space="preserve"> </v>
      </c>
      <c r="W32" s="268">
        <f t="shared" si="1"/>
        <v>22</v>
      </c>
      <c r="X32" s="171" t="str">
        <f t="shared" si="2"/>
        <v xml:space="preserve"> </v>
      </c>
      <c r="AA32" s="265">
        <f>SUM(K$11:K32)</f>
        <v>0</v>
      </c>
      <c r="AB32" s="271" t="str">
        <f>IF(OR(Sheet1!D$192=1,Sheet1!D$195=1),IF(OR((AB31&gt;=(Sheet1!D$148+$A$11)-1),AND(Sheet1!D$8=3,AB31&gt;=6))," ",AB31+1),NA())</f>
        <v xml:space="preserve"> </v>
      </c>
      <c r="AC32" s="271" t="str">
        <f>IF(OR(Sheet1!D$192=1,Sheet1!D$195=1),IF(OR((AC31&gt;=(Sheet1!D$148+$B$11)-1),AND(Sheet1!D$8=3,AB31&gt;=6))," ",AC31+1),NA())</f>
        <v xml:space="preserve"> </v>
      </c>
      <c r="AD32" s="262"/>
      <c r="AE32" s="263" t="str">
        <f>IF(AND(Sheet1!D$195=1,AB32&lt;&gt;" "),ROUND(VLOOKUP(AB32,AlternativeC!A$17:M$66,12),Sheet1!D$75),IF(Sheet1!D$195=1," ","Alt  'C'  not feasible"))</f>
        <v>Alt  'C'  not feasible</v>
      </c>
      <c r="AF32" s="264" t="str">
        <f>IF(AB32&lt;=Sheet1!D$148, (1/((1+AF$10)^(AB32-0.5)))," ")</f>
        <v xml:space="preserve"> </v>
      </c>
      <c r="AG32" s="263" t="str">
        <f>IF(AND(Sheet1!D$195=1,AB32&lt;&gt;" "),ROUND(+AE32*AF32,Sheet1!D$75)," ")</f>
        <v xml:space="preserve"> </v>
      </c>
      <c r="AH32" s="264" t="str">
        <f>IF(AB32&lt;&gt;" ",ROUND(VLOOKUP(Sheet1!E$82,CHOOSE(Sheet1!D$214,Inflate1,Inflate2,Inflate3,Inflate4,Inflate5,Inflate6,Inflate7,Inflate8),2),4)," ")</f>
        <v xml:space="preserve"> </v>
      </c>
      <c r="AI32" s="264" t="str">
        <f>IF(AB32&lt;&gt;" ",ROUND(VLOOKUP(AC32,CHOOSE(Sheet1!D$214,Inflate1,Inflate2,Inflate3,Inflate4,Inflate5,Inflate6,Inflate7,Inflate8),3),4)," ")</f>
        <v xml:space="preserve"> </v>
      </c>
      <c r="AJ32" s="263" t="b">
        <f>IF(AND(Sheet1!D$195=1,AB32&lt;&gt;" "),IF(AND(O32&lt;=10,OR(Sheet1!D$8=2,Sheet1!D$8=3,Sheet1!D$22=3)),ROUND((AE32/AH32)*AI32,Sheet1!D$75),IF(AND(Sheet1!D$8&lt;&gt;2,Sheet1!D$8&lt;&gt;3,Sheet1!D$22&lt;&gt;3),ROUND((AE32/AH32)*AI32,Sheet1!D$75)," ")))</f>
        <v>0</v>
      </c>
    </row>
    <row r="33" spans="1:36" ht="12" customHeight="1" x14ac:dyDescent="0.2">
      <c r="A33" s="271" t="str">
        <f>IF(OR(Sheet1!D$192=1,Sheet1!D$195=1),IF(OR((A32&gt;=(Sheet1!D$148+$A$11)-1),AND(Sheet1!D$8=3,A32&gt;=6))," ",A32+1),NA())</f>
        <v xml:space="preserve"> </v>
      </c>
      <c r="B33" s="271" t="str">
        <f>IF(OR(Sheet1!D$192=1,Sheet1!D$195=1),IF(OR((B32&gt;=(Sheet1!D$148+$B$11)-1),AND(Sheet1!D$8=3,A32&gt;=6))," ",B32+1),NA())</f>
        <v xml:space="preserve"> </v>
      </c>
      <c r="C33" s="262"/>
      <c r="D33" s="263" t="str">
        <f>IF(AND(Sheet1!D$192=1,A33&lt;&gt;" "),ROUND(VLOOKUP(A33,StatusQuo!A$19:M$68,12),Sheet1!D$75),IF(Sheet1!D$192=1," ","SQ not feasible "))</f>
        <v xml:space="preserve"> </v>
      </c>
      <c r="E33" s="263" t="str">
        <f>IF(AND(Sheet1!D$195=1,A33&lt;&gt;" "),ROUND(VLOOKUP(A33,AlternativeC!A$110:M$159,12),Sheet1!D$75),IF(Sheet1!D$195=1," ","Alt  'C'  not feasible"))</f>
        <v>Alt  'C'  not feasible</v>
      </c>
      <c r="F33" s="263" t="str">
        <f>IF(AND(A33&lt;&gt;" ",Sheet1!D$192=1,Sheet1!D$195=1),D33-E33,IF(AND(Sheet1!D$195=1,A33&lt;&gt;" ")," "," "))</f>
        <v xml:space="preserve"> </v>
      </c>
      <c r="G33" s="264" t="str">
        <f>IF(A33&lt;=Sheet1!D$148, (1/((1+G10)^(A33-0.5)))," ")</f>
        <v xml:space="preserve"> </v>
      </c>
      <c r="H33" s="263" t="str">
        <f>IF(AND(A33&lt;&gt;" ",Sheet1!D$192=1,Sheet1!D$195=1),ROUND(F33*G33,Sheet1!D$75),IF(AND(A33&lt;&gt;" ",Sheet1!D$195=1),ROUND(E33*G33,Sheet1!D$75)," "))</f>
        <v xml:space="preserve"> </v>
      </c>
      <c r="I33" s="264" t="str">
        <f>IF(A33&lt;&gt;" ",ROUND(VLOOKUP(Sheet1!E$82,CHOOSE(Sheet1!D$234,Inflate7,Inflate2,Inflate3,Inflate4,Inflate5,Inflate6,Inflate1,Inflate8),2),4)," ")</f>
        <v xml:space="preserve"> </v>
      </c>
      <c r="J33" s="264" t="str">
        <f>IF(A33&lt;&gt;" ",ROUND(VLOOKUP(B33,CHOOSE(Sheet1!D$234,Inflate7,Inflate2,Inflate3,Inflate4,Inflate5,Inflate6,Inflate1,Inflate8),3),4)," ")</f>
        <v xml:space="preserve"> </v>
      </c>
      <c r="K33" s="265" t="str">
        <f>IF(AND(A33&lt;&gt;" ",Sheet1!D$192=1,Sheet1!D$195=1),ROUND((F33/I33)*J33,Sheet1!D$75),IF(AND(A33&lt;&gt;" ",Sheet1!D$195=1),ROUND((E33/I33)*J33,Sheet1!D$75)," "))</f>
        <v xml:space="preserve"> </v>
      </c>
      <c r="L33" s="254" t="str">
        <f>IF(Sheet1!D$192=1,IF(AND(AA33&gt;AJ$61,AA32&lt;=AJ$61),"&lt;-Payback"," ")," ")</f>
        <v xml:space="preserve"> </v>
      </c>
      <c r="M33" s="271" t="str">
        <f>IF(OR(Sheet1!D$192=1,Sheet1!D$195=1),IF(OR((A32&gt;=(Sheet1!D$148+$A$11)-1),AND(Sheet1!D$8=3,A32&gt;=6))," ",A32+1),NA())</f>
        <v xml:space="preserve"> </v>
      </c>
      <c r="N33" s="271" t="str">
        <f>IF(OR(Sheet1!D$192=1,Sheet1!D$195=1),IF(OR((B32&gt;=(Sheet1!D$148+$B$11)-1),AND(Sheet1!D$8=3,A32&gt;=6))," ",B32+1),NA())</f>
        <v xml:space="preserve"> </v>
      </c>
      <c r="O33" s="266" t="e">
        <f>IF(AND(Sheet1!D$8=3,M33=" ")," ",IF(OR(Sheet1!D$192=1,Sheet1!D$195=1),IF(O32&gt;0,IF(AND(OR(Sheet1!D$8=2,Sheet1!D$22=3),O32&gt;=10)," ",O32+1),IF(NOT(Sheet1!D$192=1),0,IF(ROUND(VLOOKUP(A33,StatusQuo!A$19:M$68,13),Sheet1!D$75)-ROUND(VLOOKUP(A33,AlternativeC!A$110:M$159,13),Sheet1!D$75)&gt;0,1,0)))," "))</f>
        <v>#VALUE!</v>
      </c>
      <c r="P33" s="263" t="str">
        <f>IF(AND(A33&lt;&gt;" ",Sheet1!D$192=1,Sheet1!D$195=1),IF(AND(OR(Sheet1!D$8=2,Sheet1!D$22=3),O33&gt;10),0,ROUND(VLOOKUP(A33,StatusQuo!A$19:M$68,13),Sheet1!D$75)),IF(NOT(Sheet1!D$192=1),"not feasible",IF(A33=" "," ", "Savings is  n/a=&gt;")))</f>
        <v xml:space="preserve"> </v>
      </c>
      <c r="Q33" s="263" t="str">
        <f>IF(AND(A33&lt;&gt;" ",Sheet1!D$192=1,Sheet1!D$195=1),IF(AND(OR(Sheet1!D$8=2,Sheet1!D$22=3),O33&gt;10),0,ROUND(VLOOKUP(A33,AlternativeC!A$110:M$159,13),Sheet1!D$75)),IF(NOT(Sheet1!D$195=1),"not feasible",IF(A33=" "," ","&lt;== Savings is n/a")))</f>
        <v>not feasible</v>
      </c>
      <c r="R33" s="263" t="str">
        <f>IF(AND(A33&lt;&gt;" ",Sheet1!D$192=1,Sheet1!D$195=1),IF(G$81&lt;&gt;" ","??????? ",P33-Q33)," ")</f>
        <v xml:space="preserve"> </v>
      </c>
      <c r="S33" s="263" t="str">
        <f>IF(AND(A33&lt;&gt;" ",Sheet1!D$192=1,Sheet1!D$195=1),ROUND(R33*G33,Sheet1!D$75)," ")</f>
        <v xml:space="preserve"> </v>
      </c>
      <c r="T33" s="263" t="str">
        <f>IF(AND(A33&lt;&gt;" ",Sheet1!D$192=1,Sheet1!D$195=1),ROUND((R33/I33)*J33,Sheet1!D$75)," ")</f>
        <v xml:space="preserve"> </v>
      </c>
      <c r="U33" s="265">
        <f>SUM(T$11:T33)</f>
        <v>0</v>
      </c>
      <c r="V33" s="254" t="str">
        <f t="shared" si="0"/>
        <v xml:space="preserve"> </v>
      </c>
      <c r="W33" s="268">
        <f t="shared" si="1"/>
        <v>23</v>
      </c>
      <c r="X33" s="171" t="str">
        <f t="shared" si="2"/>
        <v xml:space="preserve"> </v>
      </c>
      <c r="AA33" s="265">
        <f>SUM(K$11:K33)</f>
        <v>0</v>
      </c>
      <c r="AB33" s="271" t="str">
        <f>IF(OR(Sheet1!D$192=1,Sheet1!D$195=1),IF(OR((AB32&gt;=(Sheet1!D$148+$A$11)-1),AND(Sheet1!D$8=3,AB32&gt;=6))," ",AB32+1),NA())</f>
        <v xml:space="preserve"> </v>
      </c>
      <c r="AC33" s="271" t="str">
        <f>IF(OR(Sheet1!D$192=1,Sheet1!D$195=1),IF(OR((AC32&gt;=(Sheet1!D$148+$B$11)-1),AND(Sheet1!D$8=3,AB32&gt;=6))," ",AC32+1),NA())</f>
        <v xml:space="preserve"> </v>
      </c>
      <c r="AD33" s="262"/>
      <c r="AE33" s="263" t="str">
        <f>IF(AND(Sheet1!D$195=1,AB33&lt;&gt;" "),ROUND(VLOOKUP(AB33,AlternativeC!A$17:M$66,12),Sheet1!D$75),IF(Sheet1!D$195=1," ","Alt  'C'  not feasible"))</f>
        <v>Alt  'C'  not feasible</v>
      </c>
      <c r="AF33" s="264" t="str">
        <f>IF(AB33&lt;=Sheet1!D$148, (1/((1+AF$10)^(AB33-0.5)))," ")</f>
        <v xml:space="preserve"> </v>
      </c>
      <c r="AG33" s="263" t="str">
        <f>IF(AND(Sheet1!D$195=1,AB33&lt;&gt;" "),ROUND(+AE33*AF33,Sheet1!D$75)," ")</f>
        <v xml:space="preserve"> </v>
      </c>
      <c r="AH33" s="264" t="str">
        <f>IF(AB33&lt;&gt;" ",ROUND(VLOOKUP(Sheet1!E$82,CHOOSE(Sheet1!D$214,Inflate1,Inflate2,Inflate3,Inflate4,Inflate5,Inflate6,Inflate7,Inflate8),2),4)," ")</f>
        <v xml:space="preserve"> </v>
      </c>
      <c r="AI33" s="264" t="str">
        <f>IF(AB33&lt;&gt;" ",ROUND(VLOOKUP(AC33,CHOOSE(Sheet1!D$214,Inflate1,Inflate2,Inflate3,Inflate4,Inflate5,Inflate6,Inflate7,Inflate8),3),4)," ")</f>
        <v xml:space="preserve"> </v>
      </c>
      <c r="AJ33" s="263" t="b">
        <f>IF(AND(Sheet1!D$195=1,AB33&lt;&gt;" "),IF(AND(O33&lt;=10,OR(Sheet1!D$8=2,Sheet1!D$8=3,Sheet1!D$22=3)),ROUND((AE33/AH33)*AI33,Sheet1!D$75),IF(AND(Sheet1!D$8&lt;&gt;2,Sheet1!D$8&lt;&gt;3,Sheet1!D$22&lt;&gt;3),ROUND((AE33/AH33)*AI33,Sheet1!D$75)," ")))</f>
        <v>0</v>
      </c>
    </row>
    <row r="34" spans="1:36" ht="12" customHeight="1" x14ac:dyDescent="0.2">
      <c r="A34" s="271" t="str">
        <f>IF(OR(Sheet1!D$192=1,Sheet1!D$195=1),IF(OR((A33&gt;=(Sheet1!D$148+$A$11)-1),AND(Sheet1!D$8=3,A33&gt;=6))," ",A33+1),NA())</f>
        <v xml:space="preserve"> </v>
      </c>
      <c r="B34" s="271" t="str">
        <f>IF(OR(Sheet1!D$192=1,Sheet1!D$195=1),IF(OR((B33&gt;=(Sheet1!D$148+$B$11)-1),AND(Sheet1!D$8=3,A33&gt;=6))," ",B33+1),NA())</f>
        <v xml:space="preserve"> </v>
      </c>
      <c r="C34" s="262"/>
      <c r="D34" s="263" t="str">
        <f>IF(AND(Sheet1!D$192=1,A34&lt;&gt;" "),ROUND(VLOOKUP(A34,StatusQuo!A$19:M$68,12),Sheet1!D$75),IF(Sheet1!D$192=1," ","SQ not feasible "))</f>
        <v xml:space="preserve"> </v>
      </c>
      <c r="E34" s="263" t="str">
        <f>IF(AND(Sheet1!D$195=1,A34&lt;&gt;" "),ROUND(VLOOKUP(A34,AlternativeC!A$110:M$159,12),Sheet1!D$75),IF(Sheet1!D$195=1," ","Alt  'C'  not feasible"))</f>
        <v>Alt  'C'  not feasible</v>
      </c>
      <c r="F34" s="263" t="str">
        <f>IF(AND(A34&lt;&gt;" ",Sheet1!D$192=1,Sheet1!D$195=1),D34-E34,IF(AND(Sheet1!D$195=1,A34&lt;&gt;" ")," "," "))</f>
        <v xml:space="preserve"> </v>
      </c>
      <c r="G34" s="264" t="str">
        <f>IF(A34&lt;=Sheet1!D$148, (1/((1+G10)^(A34-0.5)))," ")</f>
        <v xml:space="preserve"> </v>
      </c>
      <c r="H34" s="263" t="str">
        <f>IF(AND(A34&lt;&gt;" ",Sheet1!D$192=1,Sheet1!D$195=1),ROUND(F34*G34,Sheet1!D$75),IF(AND(A34&lt;&gt;" ",Sheet1!D$195=1),ROUND(E34*G34,Sheet1!D$75)," "))</f>
        <v xml:space="preserve"> </v>
      </c>
      <c r="I34" s="264" t="str">
        <f>IF(A34&lt;&gt;" ",ROUND(VLOOKUP(Sheet1!E$82,CHOOSE(Sheet1!D$234,Inflate7,Inflate2,Inflate3,Inflate4,Inflate5,Inflate6,Inflate1,Inflate8),2),4)," ")</f>
        <v xml:space="preserve"> </v>
      </c>
      <c r="J34" s="264" t="str">
        <f>IF(A34&lt;&gt;" ",ROUND(VLOOKUP(B34,CHOOSE(Sheet1!D$234,Inflate7,Inflate2,Inflate3,Inflate4,Inflate5,Inflate6,Inflate1,Inflate8),3),4)," ")</f>
        <v xml:space="preserve"> </v>
      </c>
      <c r="K34" s="265" t="str">
        <f>IF(AND(A34&lt;&gt;" ",Sheet1!D$192=1,Sheet1!D$195=1),ROUND((F34/I34)*J34,Sheet1!D$75),IF(AND(A34&lt;&gt;" ",Sheet1!D$195=1),ROUND((E34/I34)*J34,Sheet1!D$75)," "))</f>
        <v xml:space="preserve"> </v>
      </c>
      <c r="L34" s="254" t="str">
        <f>IF(Sheet1!D$192=1,IF(AND(AA34&gt;AJ$61,AA33&lt;=AJ$61),"&lt;-Payback"," ")," ")</f>
        <v xml:space="preserve"> </v>
      </c>
      <c r="M34" s="271" t="str">
        <f>IF(OR(Sheet1!D$192=1,Sheet1!D$195=1),IF(OR((A33&gt;=(Sheet1!D$148+$A$11)-1),AND(Sheet1!D$8=3,A33&gt;=6))," ",A33+1),NA())</f>
        <v xml:space="preserve"> </v>
      </c>
      <c r="N34" s="271" t="str">
        <f>IF(OR(Sheet1!D$192=1,Sheet1!D$195=1),IF(OR((B33&gt;=(Sheet1!D$148+$B$11)-1),AND(Sheet1!D$8=3,A33&gt;=6))," ",B33+1),NA())</f>
        <v xml:space="preserve"> </v>
      </c>
      <c r="O34" s="266" t="e">
        <f>IF(AND(Sheet1!D$8=3,M34=" ")," ",IF(OR(Sheet1!D$192=1,Sheet1!D$195=1),IF(O33&gt;0,IF(AND(OR(Sheet1!D$8=2,Sheet1!D$22=3),O33&gt;=10)," ",O33+1),IF(NOT(Sheet1!D$192=1),0,IF(ROUND(VLOOKUP(A34,StatusQuo!A$19:M$68,13),Sheet1!D$75)-ROUND(VLOOKUP(A34,AlternativeC!A$110:M$159,13),Sheet1!D$75)&gt;0,1,0)))," "))</f>
        <v>#VALUE!</v>
      </c>
      <c r="P34" s="263" t="str">
        <f>IF(AND(A34&lt;&gt;" ",Sheet1!D$192=1,Sheet1!D$195=1),IF(AND(OR(Sheet1!D$8=2,Sheet1!D$22=3),O34&gt;10),0,ROUND(VLOOKUP(A34,StatusQuo!A$19:M$68,13),Sheet1!D$75)),IF(NOT(Sheet1!D$192=1),"not feasible",IF(A34=" "," ", "Savings is  n/a=&gt;")))</f>
        <v xml:space="preserve"> </v>
      </c>
      <c r="Q34" s="263" t="str">
        <f>IF(AND(A34&lt;&gt;" ",Sheet1!D$192=1,Sheet1!D$195=1),IF(AND(OR(Sheet1!D$8=2,Sheet1!D$22=3),O34&gt;10),0,ROUND(VLOOKUP(A34,AlternativeC!A$110:M$159,13),Sheet1!D$75)),IF(NOT(Sheet1!D$195=1),"not feasible",IF(A34=" "," ","&lt;== Savings is n/a")))</f>
        <v>not feasible</v>
      </c>
      <c r="R34" s="263" t="str">
        <f>IF(AND(A34&lt;&gt;" ",Sheet1!D$192=1,Sheet1!D$195=1),IF(G$81&lt;&gt;" ","??????? ",P34-Q34)," ")</f>
        <v xml:space="preserve"> </v>
      </c>
      <c r="S34" s="263" t="str">
        <f>IF(AND(A34&lt;&gt;" ",Sheet1!D$192=1,Sheet1!D$195=1),ROUND(R34*G34,Sheet1!D$75)," ")</f>
        <v xml:space="preserve"> </v>
      </c>
      <c r="T34" s="263" t="str">
        <f>IF(AND(A34&lt;&gt;" ",Sheet1!D$192=1,Sheet1!D$195=1),ROUND((R34/I34)*J34,Sheet1!D$75)," ")</f>
        <v xml:space="preserve"> </v>
      </c>
      <c r="U34" s="265">
        <f>SUM(T$11:T34)</f>
        <v>0</v>
      </c>
      <c r="V34" s="254" t="str">
        <f t="shared" si="0"/>
        <v xml:space="preserve"> </v>
      </c>
      <c r="W34" s="268">
        <f t="shared" si="1"/>
        <v>24</v>
      </c>
      <c r="X34" s="171" t="str">
        <f t="shared" si="2"/>
        <v xml:space="preserve"> </v>
      </c>
      <c r="AA34" s="265">
        <f>SUM(K$11:K34)</f>
        <v>0</v>
      </c>
      <c r="AB34" s="271" t="str">
        <f>IF(OR(Sheet1!D$192=1,Sheet1!D$195=1),IF(OR((AB33&gt;=(Sheet1!D$148+$A$11)-1),AND(Sheet1!D$8=3,AB33&gt;=6))," ",AB33+1),NA())</f>
        <v xml:space="preserve"> </v>
      </c>
      <c r="AC34" s="271" t="str">
        <f>IF(OR(Sheet1!D$192=1,Sheet1!D$195=1),IF(OR((AC33&gt;=(Sheet1!D$148+$B$11)-1),AND(Sheet1!D$8=3,AB33&gt;=6))," ",AC33+1),NA())</f>
        <v xml:space="preserve"> </v>
      </c>
      <c r="AD34" s="262"/>
      <c r="AE34" s="263" t="str">
        <f>IF(AND(Sheet1!D$195=1,AB34&lt;&gt;" "),ROUND(VLOOKUP(AB34,AlternativeC!A$17:M$66,12),Sheet1!D$75),IF(Sheet1!D$195=1," ","Alt  'C'  not feasible"))</f>
        <v>Alt  'C'  not feasible</v>
      </c>
      <c r="AF34" s="264" t="str">
        <f>IF(AB34&lt;=Sheet1!D$148, (1/((1+AF$10)^(AB34-0.5)))," ")</f>
        <v xml:space="preserve"> </v>
      </c>
      <c r="AG34" s="263" t="str">
        <f>IF(AND(Sheet1!D$195=1,AB34&lt;&gt;" "),ROUND(+AE34*AF34,Sheet1!D$75)," ")</f>
        <v xml:space="preserve"> </v>
      </c>
      <c r="AH34" s="264" t="str">
        <f>IF(AB34&lt;&gt;" ",ROUND(VLOOKUP(Sheet1!E$82,CHOOSE(Sheet1!D$214,Inflate1,Inflate2,Inflate3,Inflate4,Inflate5,Inflate6,Inflate7,Inflate8),2),4)," ")</f>
        <v xml:space="preserve"> </v>
      </c>
      <c r="AI34" s="264" t="str">
        <f>IF(AB34&lt;&gt;" ",ROUND(VLOOKUP(AC34,CHOOSE(Sheet1!D$214,Inflate1,Inflate2,Inflate3,Inflate4,Inflate5,Inflate6,Inflate7,Inflate8),3),4)," ")</f>
        <v xml:space="preserve"> </v>
      </c>
      <c r="AJ34" s="263" t="b">
        <f>IF(AND(Sheet1!D$195=1,AB34&lt;&gt;" "),IF(AND(O34&lt;=10,OR(Sheet1!D$8=2,Sheet1!D$8=3,Sheet1!D$22=3)),ROUND((AE34/AH34)*AI34,Sheet1!D$75),IF(AND(Sheet1!D$8&lt;&gt;2,Sheet1!D$8&lt;&gt;3,Sheet1!D$22&lt;&gt;3),ROUND((AE34/AH34)*AI34,Sheet1!D$75)," ")))</f>
        <v>0</v>
      </c>
    </row>
    <row r="35" spans="1:36" ht="12" customHeight="1" x14ac:dyDescent="0.2">
      <c r="A35" s="271" t="str">
        <f>IF(OR(Sheet1!D$192=1,Sheet1!D$195=1),IF(OR((A34&gt;=(Sheet1!D$148+$A$11)-1),AND(Sheet1!D$8=3,A34&gt;=6))," ",A34+1),NA())</f>
        <v xml:space="preserve"> </v>
      </c>
      <c r="B35" s="271" t="str">
        <f>IF(OR(Sheet1!D$192=1,Sheet1!D$195=1),IF(OR((B34&gt;=(Sheet1!D$148+$B$11)-1),AND(Sheet1!D$8=3,A34&gt;=6))," ",B34+1),NA())</f>
        <v xml:space="preserve"> </v>
      </c>
      <c r="C35" s="262"/>
      <c r="D35" s="263" t="str">
        <f>IF(AND(Sheet1!D$192=1,A35&lt;&gt;" "),ROUND(VLOOKUP(A35,StatusQuo!A$19:M$68,12),Sheet1!D$75),IF(Sheet1!D$192=1," ","SQ not feasible "))</f>
        <v xml:space="preserve"> </v>
      </c>
      <c r="E35" s="263" t="str">
        <f>IF(AND(Sheet1!D$195=1,A35&lt;&gt;" "),ROUND(VLOOKUP(A35,AlternativeC!A$110:M$159,12),Sheet1!D$75),IF(Sheet1!D$195=1," ","Alt  'C'  not feasible"))</f>
        <v>Alt  'C'  not feasible</v>
      </c>
      <c r="F35" s="263" t="str">
        <f>IF(AND(A35&lt;&gt;" ",Sheet1!D$192=1,Sheet1!D$195=1),D35-E35,IF(AND(Sheet1!D$195=1,A35&lt;&gt;" ")," "," "))</f>
        <v xml:space="preserve"> </v>
      </c>
      <c r="G35" s="264" t="str">
        <f>IF(A35&lt;=Sheet1!D$148, (1/((1+G10)^(A35-0.5)))," ")</f>
        <v xml:space="preserve"> </v>
      </c>
      <c r="H35" s="263" t="str">
        <f>IF(AND(A35&lt;&gt;" ",Sheet1!D$192=1,Sheet1!D$195=1),ROUND(F35*G35,Sheet1!D$75),IF(AND(A35&lt;&gt;" ",Sheet1!D$195=1),ROUND(E35*G35,Sheet1!D$75)," "))</f>
        <v xml:space="preserve"> </v>
      </c>
      <c r="I35" s="264" t="str">
        <f>IF(A35&lt;&gt;" ",ROUND(VLOOKUP(Sheet1!E$82,CHOOSE(Sheet1!D$234,Inflate7,Inflate2,Inflate3,Inflate4,Inflate5,Inflate6,Inflate1,Inflate8),2),4)," ")</f>
        <v xml:space="preserve"> </v>
      </c>
      <c r="J35" s="264" t="str">
        <f>IF(A35&lt;&gt;" ",ROUND(VLOOKUP(B35,CHOOSE(Sheet1!D$234,Inflate7,Inflate2,Inflate3,Inflate4,Inflate5,Inflate6,Inflate1,Inflate8),3),4)," ")</f>
        <v xml:space="preserve"> </v>
      </c>
      <c r="K35" s="265" t="str">
        <f>IF(AND(A35&lt;&gt;" ",Sheet1!D$192=1,Sheet1!D$195=1),ROUND((F35/I35)*J35,Sheet1!D$75),IF(AND(A35&lt;&gt;" ",Sheet1!D$195=1),ROUND((E35/I35)*J35,Sheet1!D$75)," "))</f>
        <v xml:space="preserve"> </v>
      </c>
      <c r="L35" s="254" t="str">
        <f>IF(Sheet1!D$192=1,IF(AND(AA35&gt;AJ$61,AA34&lt;=AJ$61),"&lt;-Payback"," ")," ")</f>
        <v xml:space="preserve"> </v>
      </c>
      <c r="M35" s="271" t="str">
        <f>IF(OR(Sheet1!D$192=1,Sheet1!D$195=1),IF(OR((A34&gt;=(Sheet1!D$148+$A$11)-1),AND(Sheet1!D$8=3,A34&gt;=6))," ",A34+1),NA())</f>
        <v xml:space="preserve"> </v>
      </c>
      <c r="N35" s="271" t="str">
        <f>IF(OR(Sheet1!D$192=1,Sheet1!D$195=1),IF(OR((B34&gt;=(Sheet1!D$148+$B$11)-1),AND(Sheet1!D$8=3,A34&gt;=6))," ",B34+1),NA())</f>
        <v xml:space="preserve"> </v>
      </c>
      <c r="O35" s="266" t="e">
        <f>IF(AND(Sheet1!D$8=3,M35=" ")," ",IF(OR(Sheet1!D$192=1,Sheet1!D$195=1),IF(O34&gt;0,IF(AND(OR(Sheet1!D$8=2,Sheet1!D$22=3),O34&gt;=10)," ",O34+1),IF(NOT(Sheet1!D$192=1),0,IF(ROUND(VLOOKUP(A35,StatusQuo!A$19:M$68,13),Sheet1!D$75)-ROUND(VLOOKUP(A35,AlternativeC!A$110:M$159,13),Sheet1!D$75)&gt;0,1,0)))," "))</f>
        <v>#VALUE!</v>
      </c>
      <c r="P35" s="263" t="str">
        <f>IF(AND(A35&lt;&gt;" ",Sheet1!D$192=1,Sheet1!D$195=1),IF(AND(OR(Sheet1!D$8=2,Sheet1!D$22=3),O35&gt;10),0,ROUND(VLOOKUP(A35,StatusQuo!A$19:M$68,13),Sheet1!D$75)),IF(NOT(Sheet1!D$192=1),"not feasible",IF(A35=" "," ", "Savings is  n/a=&gt;")))</f>
        <v xml:space="preserve"> </v>
      </c>
      <c r="Q35" s="263" t="str">
        <f>IF(AND(A35&lt;&gt;" ",Sheet1!D$192=1,Sheet1!D$195=1),IF(AND(OR(Sheet1!D$8=2,Sheet1!D$22=3),O35&gt;10),0,ROUND(VLOOKUP(A35,AlternativeC!A$110:M$159,13),Sheet1!D$75)),IF(NOT(Sheet1!D$195=1),"not feasible",IF(A35=" "," ","&lt;== Savings is n/a")))</f>
        <v>not feasible</v>
      </c>
      <c r="R35" s="263" t="str">
        <f>IF(AND(A35&lt;&gt;" ",Sheet1!D$192=1,Sheet1!D$195=1),IF(G$81&lt;&gt;" ","??????? ",P35-Q35)," ")</f>
        <v xml:space="preserve"> </v>
      </c>
      <c r="S35" s="263" t="str">
        <f>IF(AND(A35&lt;&gt;" ",Sheet1!D$192=1,Sheet1!D$195=1),ROUND(R35*G35,Sheet1!D$75)," ")</f>
        <v xml:space="preserve"> </v>
      </c>
      <c r="T35" s="263" t="str">
        <f>IF(AND(A35&lt;&gt;" ",Sheet1!D$192=1,Sheet1!D$195=1),ROUND((R35/I35)*J35,Sheet1!D$75)," ")</f>
        <v xml:space="preserve"> </v>
      </c>
      <c r="U35" s="265">
        <f>SUM(T$11:T35)</f>
        <v>0</v>
      </c>
      <c r="V35" s="254" t="str">
        <f t="shared" si="0"/>
        <v xml:space="preserve"> </v>
      </c>
      <c r="W35" s="268">
        <f t="shared" si="1"/>
        <v>25</v>
      </c>
      <c r="X35" s="171" t="str">
        <f t="shared" si="2"/>
        <v xml:space="preserve"> </v>
      </c>
      <c r="AA35" s="265">
        <f>SUM(K$11:K35)</f>
        <v>0</v>
      </c>
      <c r="AB35" s="271" t="str">
        <f>IF(OR(Sheet1!D$192=1,Sheet1!D$195=1),IF(OR((AB34&gt;=(Sheet1!D$148+$A$11)-1),AND(Sheet1!D$8=3,AB34&gt;=6))," ",AB34+1),NA())</f>
        <v xml:space="preserve"> </v>
      </c>
      <c r="AC35" s="271" t="str">
        <f>IF(OR(Sheet1!D$192=1,Sheet1!D$195=1),IF(OR((AC34&gt;=(Sheet1!D$148+$B$11)-1),AND(Sheet1!D$8=3,AB34&gt;=6))," ",AC34+1),NA())</f>
        <v xml:space="preserve"> </v>
      </c>
      <c r="AD35" s="262"/>
      <c r="AE35" s="263" t="str">
        <f>IF(AND(Sheet1!D$195=1,AB35&lt;&gt;" "),ROUND(VLOOKUP(AB35,AlternativeC!A$17:M$66,12),Sheet1!D$75),IF(Sheet1!D$195=1," ","Alt  'C'  not feasible"))</f>
        <v>Alt  'C'  not feasible</v>
      </c>
      <c r="AF35" s="264" t="str">
        <f>IF(AB35&lt;=Sheet1!D$148, (1/((1+AF$10)^(AB35-0.5)))," ")</f>
        <v xml:space="preserve"> </v>
      </c>
      <c r="AG35" s="263" t="str">
        <f>IF(AND(Sheet1!D$195=1,AB35&lt;&gt;" "),ROUND(+AE35*AF35,Sheet1!D$75)," ")</f>
        <v xml:space="preserve"> </v>
      </c>
      <c r="AH35" s="264" t="str">
        <f>IF(AB35&lt;&gt;" ",ROUND(VLOOKUP(Sheet1!E$82,CHOOSE(Sheet1!D$214,Inflate1,Inflate2,Inflate3,Inflate4,Inflate5,Inflate6,Inflate7,Inflate8),2),4)," ")</f>
        <v xml:space="preserve"> </v>
      </c>
      <c r="AI35" s="264" t="str">
        <f>IF(AB35&lt;&gt;" ",ROUND(VLOOKUP(AC35,CHOOSE(Sheet1!D$214,Inflate1,Inflate2,Inflate3,Inflate4,Inflate5,Inflate6,Inflate7,Inflate8),3),4)," ")</f>
        <v xml:space="preserve"> </v>
      </c>
      <c r="AJ35" s="263" t="b">
        <f>IF(AND(Sheet1!D$195=1,AB35&lt;&gt;" "),IF(AND(O35&lt;=10,OR(Sheet1!D$8=2,Sheet1!D$8=3,Sheet1!D$22=3)),ROUND((AE35/AH35)*AI35,Sheet1!D$75),IF(AND(Sheet1!D$8&lt;&gt;2,Sheet1!D$8&lt;&gt;3,Sheet1!D$22&lt;&gt;3),ROUND((AE35/AH35)*AI35,Sheet1!D$75)," ")))</f>
        <v>0</v>
      </c>
    </row>
    <row r="36" spans="1:36" ht="12" customHeight="1" x14ac:dyDescent="0.2">
      <c r="A36" s="271" t="str">
        <f>IF(OR(Sheet1!D$192=1,Sheet1!D$195=1),IF(OR((A35&gt;=(Sheet1!D$148+$A$11)-1),AND(Sheet1!D$8=3,A35&gt;=6))," ",A35+1),NA())</f>
        <v xml:space="preserve"> </v>
      </c>
      <c r="B36" s="271" t="str">
        <f>IF(OR(Sheet1!D$192=1,Sheet1!D$195=1),IF(OR((B35&gt;=(Sheet1!D$148+$B$11)-1),AND(Sheet1!D$8=3,A35&gt;=6))," ",B35+1),NA())</f>
        <v xml:space="preserve"> </v>
      </c>
      <c r="C36" s="262"/>
      <c r="D36" s="263" t="str">
        <f>IF(AND(Sheet1!D$192=1,A36&lt;&gt;" "),ROUND(VLOOKUP(A36,StatusQuo!A$19:M$68,12),Sheet1!D$75),IF(Sheet1!D$192=1," ","SQ not feasible "))</f>
        <v xml:space="preserve"> </v>
      </c>
      <c r="E36" s="263" t="str">
        <f>IF(AND(Sheet1!D$195=1,A36&lt;&gt;" "),ROUND(VLOOKUP(A36,AlternativeC!A$110:M$159,12),Sheet1!D$75),IF(Sheet1!D$195=1," ","Alt  'C'  not feasible"))</f>
        <v>Alt  'C'  not feasible</v>
      </c>
      <c r="F36" s="263" t="str">
        <f>IF(AND(A36&lt;&gt;" ",Sheet1!D$192=1,Sheet1!D$195=1),D36-E36,IF(AND(Sheet1!D$195=1,A36&lt;&gt;" ")," "," "))</f>
        <v xml:space="preserve"> </v>
      </c>
      <c r="G36" s="264" t="str">
        <f>IF(A36&lt;=Sheet1!D$148, (1/((1+G10)^(A36-0.5)))," ")</f>
        <v xml:space="preserve"> </v>
      </c>
      <c r="H36" s="263" t="str">
        <f>IF(AND(A36&lt;&gt;" ",Sheet1!D$192=1,Sheet1!D$195=1),ROUND(F36*G36,Sheet1!D$75),IF(AND(A36&lt;&gt;" ",Sheet1!D$195=1),ROUND(E36*G36,Sheet1!D$75)," "))</f>
        <v xml:space="preserve"> </v>
      </c>
      <c r="I36" s="264" t="str">
        <f>IF(A36&lt;&gt;" ",ROUND(VLOOKUP(Sheet1!E$82,CHOOSE(Sheet1!D$234,Inflate7,Inflate2,Inflate3,Inflate4,Inflate5,Inflate6,Inflate1,Inflate8),2),4)," ")</f>
        <v xml:space="preserve"> </v>
      </c>
      <c r="J36" s="264" t="str">
        <f>IF(A36&lt;&gt;" ",ROUND(VLOOKUP(B36,CHOOSE(Sheet1!D$234,Inflate7,Inflate2,Inflate3,Inflate4,Inflate5,Inflate6,Inflate1,Inflate8),3),4)," ")</f>
        <v xml:space="preserve"> </v>
      </c>
      <c r="K36" s="265" t="str">
        <f>IF(AND(A36&lt;&gt;" ",Sheet1!D$192=1,Sheet1!D$195=1),ROUND((F36/I36)*J36,Sheet1!D$75),IF(AND(A36&lt;&gt;" ",Sheet1!D$195=1),ROUND((E36/I36)*J36,Sheet1!D$75)," "))</f>
        <v xml:space="preserve"> </v>
      </c>
      <c r="L36" s="254" t="str">
        <f>IF(Sheet1!D$192=1,IF(AND(AA36&gt;AJ$61,AA35&lt;=AJ$61),"&lt;-Payback"," ")," ")</f>
        <v xml:space="preserve"> </v>
      </c>
      <c r="M36" s="271" t="str">
        <f>IF(OR(Sheet1!D$192=1,Sheet1!D$195=1),IF(OR((A35&gt;=(Sheet1!D$148+$A$11)-1),AND(Sheet1!D$8=3,A35&gt;=6))," ",A35+1),NA())</f>
        <v xml:space="preserve"> </v>
      </c>
      <c r="N36" s="271" t="str">
        <f>IF(OR(Sheet1!D$192=1,Sheet1!D$195=1),IF(OR((B35&gt;=(Sheet1!D$148+$B$11)-1),AND(Sheet1!D$8=3,A35&gt;=6))," ",B35+1),NA())</f>
        <v xml:space="preserve"> </v>
      </c>
      <c r="O36" s="266" t="e">
        <f>IF(AND(Sheet1!D$8=3,M36=" ")," ",IF(OR(Sheet1!D$192=1,Sheet1!D$195=1),IF(O35&gt;0,IF(AND(OR(Sheet1!D$8=2,Sheet1!D$22=3),O35&gt;=10)," ",O35+1),IF(NOT(Sheet1!D$192=1),0,IF(ROUND(VLOOKUP(A36,StatusQuo!A$19:M$68,13),Sheet1!D$75)-ROUND(VLOOKUP(A36,AlternativeC!A$110:M$159,13),Sheet1!D$75)&gt;0,1,0)))," "))</f>
        <v>#VALUE!</v>
      </c>
      <c r="P36" s="263" t="str">
        <f>IF(AND(A36&lt;&gt;" ",Sheet1!D$192=1,Sheet1!D$195=1),IF(AND(OR(Sheet1!D$8=2,Sheet1!D$22=3),O36&gt;10),0,ROUND(VLOOKUP(A36,StatusQuo!A$19:M$68,13),Sheet1!D$75)),IF(NOT(Sheet1!D$192=1),"not feasible",IF(A36=" "," ", "Savings is  n/a=&gt;")))</f>
        <v xml:space="preserve"> </v>
      </c>
      <c r="Q36" s="263" t="str">
        <f>IF(AND(A36&lt;&gt;" ",Sheet1!D$192=1,Sheet1!D$195=1),IF(AND(OR(Sheet1!D$8=2,Sheet1!D$22=3),O36&gt;10),0,ROUND(VLOOKUP(A36,AlternativeC!A$110:M$159,13),Sheet1!D$75)),IF(NOT(Sheet1!D$195=1),"not feasible",IF(A36=" "," ","&lt;== Savings is n/a")))</f>
        <v>not feasible</v>
      </c>
      <c r="R36" s="263" t="str">
        <f>IF(AND(A36&lt;&gt;" ",Sheet1!D$192=1,Sheet1!D$195=1),IF(G$81&lt;&gt;" ","??????? ",P36-Q36)," ")</f>
        <v xml:space="preserve"> </v>
      </c>
      <c r="S36" s="263" t="str">
        <f>IF(AND(A36&lt;&gt;" ",Sheet1!D$192=1,Sheet1!D$195=1),ROUND(R36*G36,Sheet1!D$75)," ")</f>
        <v xml:space="preserve"> </v>
      </c>
      <c r="T36" s="263" t="str">
        <f>IF(AND(A36&lt;&gt;" ",Sheet1!D$192=1,Sheet1!D$195=1),ROUND((R36/I36)*J36,Sheet1!D$75)," ")</f>
        <v xml:space="preserve"> </v>
      </c>
      <c r="U36" s="265">
        <f>SUM(T$11:T36)</f>
        <v>0</v>
      </c>
      <c r="V36" s="254" t="str">
        <f t="shared" si="0"/>
        <v xml:space="preserve"> </v>
      </c>
      <c r="W36" s="268">
        <f t="shared" si="1"/>
        <v>26</v>
      </c>
      <c r="X36" s="171" t="str">
        <f t="shared" si="2"/>
        <v xml:space="preserve"> </v>
      </c>
      <c r="AA36" s="265">
        <f>SUM(K$11:K36)</f>
        <v>0</v>
      </c>
      <c r="AB36" s="271" t="str">
        <f>IF(OR(Sheet1!D$192=1,Sheet1!D$195=1),IF(OR((AB35&gt;=(Sheet1!D$148+$A$11)-1),AND(Sheet1!D$8=3,AB35&gt;=6))," ",AB35+1),NA())</f>
        <v xml:space="preserve"> </v>
      </c>
      <c r="AC36" s="271" t="str">
        <f>IF(OR(Sheet1!D$192=1,Sheet1!D$195=1),IF(OR((AC35&gt;=(Sheet1!D$148+$B$11)-1),AND(Sheet1!D$8=3,AB35&gt;=6))," ",AC35+1),NA())</f>
        <v xml:space="preserve"> </v>
      </c>
      <c r="AD36" s="262"/>
      <c r="AE36" s="263" t="str">
        <f>IF(AND(Sheet1!D$195=1,AB36&lt;&gt;" "),ROUND(VLOOKUP(AB36,AlternativeC!A$17:M$66,12),Sheet1!D$75),IF(Sheet1!D$195=1," ","Alt  'C'  not feasible"))</f>
        <v>Alt  'C'  not feasible</v>
      </c>
      <c r="AF36" s="264" t="str">
        <f>IF(AB36&lt;=Sheet1!D$148, (1/((1+AF$10)^(AB36-0.5)))," ")</f>
        <v xml:space="preserve"> </v>
      </c>
      <c r="AG36" s="263" t="str">
        <f>IF(AND(Sheet1!D$195=1,AB36&lt;&gt;" "),ROUND(+AE36*AF36,Sheet1!D$75)," ")</f>
        <v xml:space="preserve"> </v>
      </c>
      <c r="AH36" s="264" t="str">
        <f>IF(AB36&lt;&gt;" ",ROUND(VLOOKUP(Sheet1!E$82,CHOOSE(Sheet1!D$214,Inflate1,Inflate2,Inflate3,Inflate4,Inflate5,Inflate6,Inflate7,Inflate8),2),4)," ")</f>
        <v xml:space="preserve"> </v>
      </c>
      <c r="AI36" s="264" t="str">
        <f>IF(AB36&lt;&gt;" ",ROUND(VLOOKUP(AC36,CHOOSE(Sheet1!D$214,Inflate1,Inflate2,Inflate3,Inflate4,Inflate5,Inflate6,Inflate7,Inflate8),3),4)," ")</f>
        <v xml:space="preserve"> </v>
      </c>
      <c r="AJ36" s="263" t="b">
        <f>IF(AND(Sheet1!D$195=1,AB36&lt;&gt;" "),IF(AND(O36&lt;=10,OR(Sheet1!D$8=2,Sheet1!D$8=3,Sheet1!D$22=3)),ROUND((AE36/AH36)*AI36,Sheet1!D$75),IF(AND(Sheet1!D$8&lt;&gt;2,Sheet1!D$8&lt;&gt;3,Sheet1!D$22&lt;&gt;3),ROUND((AE36/AH36)*AI36,Sheet1!D$75)," ")))</f>
        <v>0</v>
      </c>
    </row>
    <row r="37" spans="1:36" ht="12" customHeight="1" x14ac:dyDescent="0.2">
      <c r="A37" s="271" t="str">
        <f>IF(OR(Sheet1!D$192=1,Sheet1!D$195=1),IF(OR((A36&gt;=(Sheet1!D$148+$A$11)-1),AND(Sheet1!D$8=3,A36&gt;=6))," ",A36+1),NA())</f>
        <v xml:space="preserve"> </v>
      </c>
      <c r="B37" s="271" t="str">
        <f>IF(OR(Sheet1!D$192=1,Sheet1!D$195=1),IF(OR((B36&gt;=(Sheet1!D$148+$B$11)-1),AND(Sheet1!D$8=3,A36&gt;=6))," ",B36+1),NA())</f>
        <v xml:space="preserve"> </v>
      </c>
      <c r="C37" s="262"/>
      <c r="D37" s="263" t="str">
        <f>IF(AND(Sheet1!D$192=1,A37&lt;&gt;" "),ROUND(VLOOKUP(A37,StatusQuo!A$19:M$68,12),Sheet1!D$75),IF(Sheet1!D$192=1," ","SQ not feasible "))</f>
        <v xml:space="preserve"> </v>
      </c>
      <c r="E37" s="263" t="str">
        <f>IF(AND(Sheet1!D$195=1,A37&lt;&gt;" "),ROUND(VLOOKUP(A37,AlternativeC!A$110:M$159,12),Sheet1!D$75),IF(Sheet1!D$195=1," ","Alt  'C'  not feasible"))</f>
        <v>Alt  'C'  not feasible</v>
      </c>
      <c r="F37" s="263" t="str">
        <f>IF(AND(A37&lt;&gt;" ",Sheet1!D$192=1,Sheet1!D$195=1),D37-E37,IF(AND(Sheet1!D$195=1,A37&lt;&gt;" ")," "," "))</f>
        <v xml:space="preserve"> </v>
      </c>
      <c r="G37" s="264" t="str">
        <f>IF(A37&lt;=Sheet1!D$148, (1/((1+G10)^(A37-0.5)))," ")</f>
        <v xml:space="preserve"> </v>
      </c>
      <c r="H37" s="263" t="str">
        <f>IF(AND(A37&lt;&gt;" ",Sheet1!D$192=1,Sheet1!D$195=1),ROUND(F37*G37,Sheet1!D$75),IF(AND(A37&lt;&gt;" ",Sheet1!D$195=1),ROUND(E37*G37,Sheet1!D$75)," "))</f>
        <v xml:space="preserve"> </v>
      </c>
      <c r="I37" s="264" t="str">
        <f>IF(A37&lt;&gt;" ",ROUND(VLOOKUP(Sheet1!E$82,CHOOSE(Sheet1!D$234,Inflate7,Inflate2,Inflate3,Inflate4,Inflate5,Inflate6,Inflate1,Inflate8),2),4)," ")</f>
        <v xml:space="preserve"> </v>
      </c>
      <c r="J37" s="264" t="str">
        <f>IF(A37&lt;&gt;" ",ROUND(VLOOKUP(B37,CHOOSE(Sheet1!D$234,Inflate7,Inflate2,Inflate3,Inflate4,Inflate5,Inflate6,Inflate1,Inflate8),3),4)," ")</f>
        <v xml:space="preserve"> </v>
      </c>
      <c r="K37" s="265" t="str">
        <f>IF(AND(A37&lt;&gt;" ",Sheet1!D$192=1,Sheet1!D$195=1),ROUND((F37/I37)*J37,Sheet1!D$75),IF(AND(A37&lt;&gt;" ",Sheet1!D$195=1),ROUND((E37/I37)*J37,Sheet1!D$75)," "))</f>
        <v xml:space="preserve"> </v>
      </c>
      <c r="L37" s="254" t="str">
        <f>IF(Sheet1!D$192=1,IF(AND(AA37&gt;AJ$61,AA36&lt;=AJ$61),"&lt;-Payback"," ")," ")</f>
        <v xml:space="preserve"> </v>
      </c>
      <c r="M37" s="271" t="str">
        <f>IF(OR(Sheet1!D$192=1,Sheet1!D$195=1),IF(OR((A36&gt;=(Sheet1!D$148+$A$11)-1),AND(Sheet1!D$8=3,A36&gt;=6))," ",A36+1),NA())</f>
        <v xml:space="preserve"> </v>
      </c>
      <c r="N37" s="271" t="str">
        <f>IF(OR(Sheet1!D$192=1,Sheet1!D$195=1),IF(OR((B36&gt;=(Sheet1!D$148+$B$11)-1),AND(Sheet1!D$8=3,A36&gt;=6))," ",B36+1),NA())</f>
        <v xml:space="preserve"> </v>
      </c>
      <c r="O37" s="266" t="e">
        <f>IF(AND(Sheet1!D$8=3,M37=" ")," ",IF(OR(Sheet1!D$192=1,Sheet1!D$195=1),IF(O36&gt;0,IF(AND(OR(Sheet1!D$8=2,Sheet1!D$22=3),O36&gt;=10)," ",O36+1),IF(NOT(Sheet1!D$192=1),0,IF(ROUND(VLOOKUP(A37,StatusQuo!A$19:M$68,13),Sheet1!D$75)-ROUND(VLOOKUP(A37,AlternativeC!A$110:M$159,13),Sheet1!D$75)&gt;0,1,0)))," "))</f>
        <v>#VALUE!</v>
      </c>
      <c r="P37" s="263" t="str">
        <f>IF(AND(A37&lt;&gt;" ",Sheet1!D$192=1,Sheet1!D$195=1),IF(AND(OR(Sheet1!D$8=2,Sheet1!D$22=3),O37&gt;10),0,ROUND(VLOOKUP(A37,StatusQuo!A$19:M$68,13),Sheet1!D$75)),IF(NOT(Sheet1!D$192=1),"not feasible",IF(A37=" "," ", "Savings is  n/a=&gt;")))</f>
        <v xml:space="preserve"> </v>
      </c>
      <c r="Q37" s="263" t="str">
        <f>IF(AND(A37&lt;&gt;" ",Sheet1!D$192=1,Sheet1!D$195=1),IF(AND(OR(Sheet1!D$8=2,Sheet1!D$22=3),O37&gt;10),0,ROUND(VLOOKUP(A37,AlternativeC!A$110:M$159,13),Sheet1!D$75)),IF(NOT(Sheet1!D$195=1),"not feasible",IF(A37=" "," ","&lt;== Savings is n/a")))</f>
        <v>not feasible</v>
      </c>
      <c r="R37" s="263" t="str">
        <f>IF(AND(A37&lt;&gt;" ",Sheet1!D$192=1,Sheet1!D$195=1),IF(G$81&lt;&gt;" ","??????? ",P37-Q37)," ")</f>
        <v xml:space="preserve"> </v>
      </c>
      <c r="S37" s="263" t="str">
        <f>IF(AND(A37&lt;&gt;" ",Sheet1!D$192=1,Sheet1!D$195=1),ROUND(R37*G37,Sheet1!D$75)," ")</f>
        <v xml:space="preserve"> </v>
      </c>
      <c r="T37" s="263" t="str">
        <f>IF(AND(A37&lt;&gt;" ",Sheet1!D$192=1,Sheet1!D$195=1),ROUND((R37/I37)*J37,Sheet1!D$75)," ")</f>
        <v xml:space="preserve"> </v>
      </c>
      <c r="U37" s="265">
        <f>SUM(T$11:T37)</f>
        <v>0</v>
      </c>
      <c r="V37" s="254" t="str">
        <f t="shared" si="0"/>
        <v xml:space="preserve"> </v>
      </c>
      <c r="W37" s="268">
        <f t="shared" si="1"/>
        <v>27</v>
      </c>
      <c r="X37" s="171" t="str">
        <f t="shared" si="2"/>
        <v xml:space="preserve"> </v>
      </c>
      <c r="AA37" s="265">
        <f>SUM(K$11:K37)</f>
        <v>0</v>
      </c>
      <c r="AB37" s="271" t="str">
        <f>IF(OR(Sheet1!D$192=1,Sheet1!D$195=1),IF(OR((AB36&gt;=(Sheet1!D$148+$A$11)-1),AND(Sheet1!D$8=3,AB36&gt;=6))," ",AB36+1),NA())</f>
        <v xml:space="preserve"> </v>
      </c>
      <c r="AC37" s="271" t="str">
        <f>IF(OR(Sheet1!D$192=1,Sheet1!D$195=1),IF(OR((AC36&gt;=(Sheet1!D$148+$B$11)-1),AND(Sheet1!D$8=3,AB36&gt;=6))," ",AC36+1),NA())</f>
        <v xml:space="preserve"> </v>
      </c>
      <c r="AD37" s="262"/>
      <c r="AE37" s="263" t="str">
        <f>IF(AND(Sheet1!D$195=1,AB37&lt;&gt;" "),ROUND(VLOOKUP(AB37,AlternativeC!A$17:M$66,12),Sheet1!D$75),IF(Sheet1!D$195=1," ","Alt  'C'  not feasible"))</f>
        <v>Alt  'C'  not feasible</v>
      </c>
      <c r="AF37" s="264" t="str">
        <f>IF(AB37&lt;=Sheet1!D$148, (1/((1+AF$10)^(AB37-0.5)))," ")</f>
        <v xml:space="preserve"> </v>
      </c>
      <c r="AG37" s="263" t="str">
        <f>IF(AND(Sheet1!D$195=1,AB37&lt;&gt;" "),ROUND(+AE37*AF37,Sheet1!D$75)," ")</f>
        <v xml:space="preserve"> </v>
      </c>
      <c r="AH37" s="264" t="str">
        <f>IF(AB37&lt;&gt;" ",ROUND(VLOOKUP(Sheet1!E$82,CHOOSE(Sheet1!D$214,Inflate1,Inflate2,Inflate3,Inflate4,Inflate5,Inflate6,Inflate7,Inflate8),2),4)," ")</f>
        <v xml:space="preserve"> </v>
      </c>
      <c r="AI37" s="264" t="str">
        <f>IF(AB37&lt;&gt;" ",ROUND(VLOOKUP(AC37,CHOOSE(Sheet1!D$214,Inflate1,Inflate2,Inflate3,Inflate4,Inflate5,Inflate6,Inflate7,Inflate8),3),4)," ")</f>
        <v xml:space="preserve"> </v>
      </c>
      <c r="AJ37" s="263" t="b">
        <f>IF(AND(Sheet1!D$195=1,AB37&lt;&gt;" "),IF(AND(O37&lt;=10,OR(Sheet1!D$8=2,Sheet1!D$8=3,Sheet1!D$22=3)),ROUND((AE37/AH37)*AI37,Sheet1!D$75),IF(AND(Sheet1!D$8&lt;&gt;2,Sheet1!D$8&lt;&gt;3,Sheet1!D$22&lt;&gt;3),ROUND((AE37/AH37)*AI37,Sheet1!D$75)," ")))</f>
        <v>0</v>
      </c>
    </row>
    <row r="38" spans="1:36" ht="12" customHeight="1" x14ac:dyDescent="0.2">
      <c r="A38" s="271" t="str">
        <f>IF(OR(Sheet1!D$192=1,Sheet1!D$195=1),IF(OR((A37&gt;=(Sheet1!D$148+$A$11)-1),AND(Sheet1!D$8=3,A37&gt;=6))," ",A37+1),NA())</f>
        <v xml:space="preserve"> </v>
      </c>
      <c r="B38" s="271" t="str">
        <f>IF(OR(Sheet1!D$192=1,Sheet1!D$195=1),IF(OR((B37&gt;=(Sheet1!D$148+$B$11)-1),AND(Sheet1!D$8=3,A37&gt;=6))," ",B37+1),NA())</f>
        <v xml:space="preserve"> </v>
      </c>
      <c r="C38" s="262"/>
      <c r="D38" s="263" t="str">
        <f>IF(AND(Sheet1!D$192=1,A38&lt;&gt;" "),ROUND(VLOOKUP(A38,StatusQuo!A$19:M$68,12),Sheet1!D$75),IF(Sheet1!D$192=1," ","SQ not feasible "))</f>
        <v xml:space="preserve"> </v>
      </c>
      <c r="E38" s="263" t="str">
        <f>IF(AND(Sheet1!D$195=1,A38&lt;&gt;" "),ROUND(VLOOKUP(A38,AlternativeC!A$110:M$159,12),Sheet1!D$75),IF(Sheet1!D$195=1," ","Alt  'C'  not feasible"))</f>
        <v>Alt  'C'  not feasible</v>
      </c>
      <c r="F38" s="263" t="str">
        <f>IF(AND(A38&lt;&gt;" ",Sheet1!D$192=1,Sheet1!D$195=1),D38-E38,IF(AND(Sheet1!D$195=1,A38&lt;&gt;" ")," "," "))</f>
        <v xml:space="preserve"> </v>
      </c>
      <c r="G38" s="264" t="str">
        <f>IF(A38&lt;=Sheet1!D$148, (1/((1+G10)^(A38-0.5)))," ")</f>
        <v xml:space="preserve"> </v>
      </c>
      <c r="H38" s="263" t="str">
        <f>IF(AND(A38&lt;&gt;" ",Sheet1!D$192=1,Sheet1!D$195=1),ROUND(F38*G38,Sheet1!D$75),IF(AND(A38&lt;&gt;" ",Sheet1!D$195=1),ROUND(E38*G38,Sheet1!D$75)," "))</f>
        <v xml:space="preserve"> </v>
      </c>
      <c r="I38" s="264" t="str">
        <f>IF(A38&lt;&gt;" ",ROUND(VLOOKUP(Sheet1!E$82,CHOOSE(Sheet1!D$234,Inflate7,Inflate2,Inflate3,Inflate4,Inflate5,Inflate6,Inflate1,Inflate8),2),4)," ")</f>
        <v xml:space="preserve"> </v>
      </c>
      <c r="J38" s="264" t="str">
        <f>IF(A38&lt;&gt;" ",ROUND(VLOOKUP(B38,CHOOSE(Sheet1!D$234,Inflate7,Inflate2,Inflate3,Inflate4,Inflate5,Inflate6,Inflate1,Inflate8),3),4)," ")</f>
        <v xml:space="preserve"> </v>
      </c>
      <c r="K38" s="265" t="str">
        <f>IF(AND(A38&lt;&gt;" ",Sheet1!D$192=1,Sheet1!D$195=1),ROUND((F38/I38)*J38,Sheet1!D$75),IF(AND(A38&lt;&gt;" ",Sheet1!D$195=1),ROUND((E38/I38)*J38,Sheet1!D$75)," "))</f>
        <v xml:space="preserve"> </v>
      </c>
      <c r="L38" s="254" t="str">
        <f>IF(Sheet1!D$192=1,IF(AND(AA38&gt;AJ$61,AA37&lt;=AJ$61),"&lt;-Payback"," ")," ")</f>
        <v xml:space="preserve"> </v>
      </c>
      <c r="M38" s="271" t="str">
        <f>IF(OR(Sheet1!D$192=1,Sheet1!D$195=1),IF(OR((A37&gt;=(Sheet1!D$148+$A$11)-1),AND(Sheet1!D$8=3,A37&gt;=6))," ",A37+1),NA())</f>
        <v xml:space="preserve"> </v>
      </c>
      <c r="N38" s="271" t="str">
        <f>IF(OR(Sheet1!D$192=1,Sheet1!D$195=1),IF(OR((B37&gt;=(Sheet1!D$148+$B$11)-1),AND(Sheet1!D$8=3,A37&gt;=6))," ",B37+1),NA())</f>
        <v xml:space="preserve"> </v>
      </c>
      <c r="O38" s="266" t="e">
        <f>IF(AND(Sheet1!D$8=3,M38=" ")," ",IF(OR(Sheet1!D$192=1,Sheet1!D$195=1),IF(O37&gt;0,IF(AND(OR(Sheet1!D$8=2,Sheet1!D$22=3),O37&gt;=10)," ",O37+1),IF(NOT(Sheet1!D$192=1),0,IF(ROUND(VLOOKUP(A38,StatusQuo!A$19:M$68,13),Sheet1!D$75)-ROUND(VLOOKUP(A38,AlternativeC!A$110:M$159,13),Sheet1!D$75)&gt;0,1,0)))," "))</f>
        <v>#VALUE!</v>
      </c>
      <c r="P38" s="263" t="str">
        <f>IF(AND(A38&lt;&gt;" ",Sheet1!D$192=1,Sheet1!D$195=1),IF(AND(OR(Sheet1!D$8=2,Sheet1!D$22=3),O38&gt;10),0,ROUND(VLOOKUP(A38,StatusQuo!A$19:M$68,13),Sheet1!D$75)),IF(NOT(Sheet1!D$192=1),"not feasible",IF(A38=" "," ", "Savings is  n/a=&gt;")))</f>
        <v xml:space="preserve"> </v>
      </c>
      <c r="Q38" s="263" t="str">
        <f>IF(AND(A38&lt;&gt;" ",Sheet1!D$192=1,Sheet1!D$195=1),IF(AND(OR(Sheet1!D$8=2,Sheet1!D$22=3),O38&gt;10),0,ROUND(VLOOKUP(A38,AlternativeC!A$110:M$159,13),Sheet1!D$75)),IF(NOT(Sheet1!D$195=1),"not feasible",IF(A38=" "," ","&lt;== Savings is n/a")))</f>
        <v>not feasible</v>
      </c>
      <c r="R38" s="263" t="str">
        <f>IF(AND(A38&lt;&gt;" ",Sheet1!D$192=1,Sheet1!D$195=1),IF(G$81&lt;&gt;" ","??????? ",P38-Q38)," ")</f>
        <v xml:space="preserve"> </v>
      </c>
      <c r="S38" s="263" t="str">
        <f>IF(AND(A38&lt;&gt;" ",Sheet1!D$192=1,Sheet1!D$195=1),ROUND(R38*G38,Sheet1!D$75)," ")</f>
        <v xml:space="preserve"> </v>
      </c>
      <c r="T38" s="263" t="str">
        <f>IF(AND(A38&lt;&gt;" ",Sheet1!D$192=1,Sheet1!D$195=1),ROUND((R38/I38)*J38,Sheet1!D$75)," ")</f>
        <v xml:space="preserve"> </v>
      </c>
      <c r="U38" s="265">
        <f>SUM(T$11:T38)</f>
        <v>0</v>
      </c>
      <c r="V38" s="254" t="str">
        <f t="shared" si="0"/>
        <v xml:space="preserve"> </v>
      </c>
      <c r="W38" s="268">
        <f t="shared" si="1"/>
        <v>28</v>
      </c>
      <c r="X38" s="171" t="str">
        <f t="shared" si="2"/>
        <v xml:space="preserve"> </v>
      </c>
      <c r="AA38" s="265">
        <f>SUM(K$11:K38)</f>
        <v>0</v>
      </c>
      <c r="AB38" s="271" t="str">
        <f>IF(OR(Sheet1!D$192=1,Sheet1!D$195=1),IF(OR((AB37&gt;=(Sheet1!D$148+$A$11)-1),AND(Sheet1!D$8=3,AB37&gt;=6))," ",AB37+1),NA())</f>
        <v xml:space="preserve"> </v>
      </c>
      <c r="AC38" s="271" t="str">
        <f>IF(OR(Sheet1!D$192=1,Sheet1!D$195=1),IF(OR((AC37&gt;=(Sheet1!D$148+$B$11)-1),AND(Sheet1!D$8=3,AB37&gt;=6))," ",AC37+1),NA())</f>
        <v xml:space="preserve"> </v>
      </c>
      <c r="AD38" s="262"/>
      <c r="AE38" s="263" t="str">
        <f>IF(AND(Sheet1!D$195=1,AB38&lt;&gt;" "),ROUND(VLOOKUP(AB38,AlternativeC!A$17:M$66,12),Sheet1!D$75),IF(Sheet1!D$195=1," ","Alt  'C'  not feasible"))</f>
        <v>Alt  'C'  not feasible</v>
      </c>
      <c r="AF38" s="264" t="str">
        <f>IF(AB38&lt;=Sheet1!D$148, (1/((1+AF$10)^(AB38-0.5)))," ")</f>
        <v xml:space="preserve"> </v>
      </c>
      <c r="AG38" s="263" t="str">
        <f>IF(AND(Sheet1!D$195=1,AB38&lt;&gt;" "),ROUND(+AE38*AF38,Sheet1!D$75)," ")</f>
        <v xml:space="preserve"> </v>
      </c>
      <c r="AH38" s="264" t="str">
        <f>IF(AB38&lt;&gt;" ",ROUND(VLOOKUP(Sheet1!E$82,CHOOSE(Sheet1!D$214,Inflate1,Inflate2,Inflate3,Inflate4,Inflate5,Inflate6,Inflate7,Inflate8),2),4)," ")</f>
        <v xml:space="preserve"> </v>
      </c>
      <c r="AI38" s="264" t="str">
        <f>IF(AB38&lt;&gt;" ",ROUND(VLOOKUP(AC38,CHOOSE(Sheet1!D$214,Inflate1,Inflate2,Inflate3,Inflate4,Inflate5,Inflate6,Inflate7,Inflate8),3),4)," ")</f>
        <v xml:space="preserve"> </v>
      </c>
      <c r="AJ38" s="263" t="b">
        <f>IF(AND(Sheet1!D$195=1,AB38&lt;&gt;" "),IF(AND(O38&lt;=10,OR(Sheet1!D$8=2,Sheet1!D$8=3,Sheet1!D$22=3)),ROUND((AE38/AH38)*AI38,Sheet1!D$75),IF(AND(Sheet1!D$8&lt;&gt;2,Sheet1!D$8&lt;&gt;3,Sheet1!D$22&lt;&gt;3),ROUND((AE38/AH38)*AI38,Sheet1!D$75)," ")))</f>
        <v>0</v>
      </c>
    </row>
    <row r="39" spans="1:36" ht="12" customHeight="1" x14ac:dyDescent="0.2">
      <c r="A39" s="271" t="str">
        <f>IF(OR(Sheet1!D$192=1,Sheet1!D$195=1),IF(OR((A38&gt;=(Sheet1!D$148+$A$11)-1),AND(Sheet1!D$8=3,A38&gt;=6))," ",A38+1),NA())</f>
        <v xml:space="preserve"> </v>
      </c>
      <c r="B39" s="271" t="str">
        <f>IF(OR(Sheet1!D$192=1,Sheet1!D$195=1),IF(OR((B38&gt;=(Sheet1!D$148+$B$11)-1),AND(Sheet1!D$8=3,A38&gt;=6))," ",B38+1),NA())</f>
        <v xml:space="preserve"> </v>
      </c>
      <c r="C39" s="262"/>
      <c r="D39" s="263" t="str">
        <f>IF(AND(Sheet1!D$192=1,A39&lt;&gt;" "),ROUND(VLOOKUP(A39,StatusQuo!A$19:M$68,12),Sheet1!D$75),IF(Sheet1!D$192=1," ","SQ not feasible "))</f>
        <v xml:space="preserve"> </v>
      </c>
      <c r="E39" s="263" t="str">
        <f>IF(AND(Sheet1!D$195=1,A39&lt;&gt;" "),ROUND(VLOOKUP(A39,AlternativeC!A$110:M$159,12),Sheet1!D$75),IF(Sheet1!D$195=1," ","Alt  'C'  not feasible"))</f>
        <v>Alt  'C'  not feasible</v>
      </c>
      <c r="F39" s="263" t="str">
        <f>IF(AND(A39&lt;&gt;" ",Sheet1!D$192=1,Sheet1!D$195=1),D39-E39,IF(AND(Sheet1!D$195=1,A39&lt;&gt;" ")," "," "))</f>
        <v xml:space="preserve"> </v>
      </c>
      <c r="G39" s="264" t="str">
        <f>IF(A39&lt;=Sheet1!D$148, (1/((1+G10)^(A39-0.5)))," ")</f>
        <v xml:space="preserve"> </v>
      </c>
      <c r="H39" s="263" t="str">
        <f>IF(AND(A39&lt;&gt;" ",Sheet1!D$192=1,Sheet1!D$195=1),ROUND(F39*G39,Sheet1!D$75),IF(AND(A39&lt;&gt;" ",Sheet1!D$195=1),ROUND(E39*G39,Sheet1!D$75)," "))</f>
        <v xml:space="preserve"> </v>
      </c>
      <c r="I39" s="264" t="str">
        <f>IF(A39&lt;&gt;" ",ROUND(VLOOKUP(Sheet1!E$82,CHOOSE(Sheet1!D$234,Inflate7,Inflate2,Inflate3,Inflate4,Inflate5,Inflate6,Inflate1,Inflate8),2),4)," ")</f>
        <v xml:space="preserve"> </v>
      </c>
      <c r="J39" s="264" t="str">
        <f>IF(A39&lt;&gt;" ",ROUND(VLOOKUP(B39,CHOOSE(Sheet1!D$234,Inflate7,Inflate2,Inflate3,Inflate4,Inflate5,Inflate6,Inflate1,Inflate8),3),4)," ")</f>
        <v xml:space="preserve"> </v>
      </c>
      <c r="K39" s="265" t="str">
        <f>IF(AND(A39&lt;&gt;" ",Sheet1!D$192=1,Sheet1!D$195=1),ROUND((F39/I39)*J39,Sheet1!D$75),IF(AND(A39&lt;&gt;" ",Sheet1!D$195=1),ROUND((E39/I39)*J39,Sheet1!D$75)," "))</f>
        <v xml:space="preserve"> </v>
      </c>
      <c r="L39" s="254" t="str">
        <f>IF(Sheet1!D$192=1,IF(AND(AA39&gt;AJ$61,AA38&lt;=AJ$61),"&lt;-Payback"," ")," ")</f>
        <v xml:space="preserve"> </v>
      </c>
      <c r="M39" s="271" t="str">
        <f>IF(OR(Sheet1!D$192=1,Sheet1!D$195=1),IF(OR((A38&gt;=(Sheet1!D$148+$A$11)-1),AND(Sheet1!D$8=3,A38&gt;=6))," ",A38+1),NA())</f>
        <v xml:space="preserve"> </v>
      </c>
      <c r="N39" s="271" t="str">
        <f>IF(OR(Sheet1!D$192=1,Sheet1!D$195=1),IF(OR((B38&gt;=(Sheet1!D$148+$B$11)-1),AND(Sheet1!D$8=3,A38&gt;=6))," ",B38+1),NA())</f>
        <v xml:space="preserve"> </v>
      </c>
      <c r="O39" s="266" t="e">
        <f>IF(AND(Sheet1!D$8=3,M39=" ")," ",IF(OR(Sheet1!D$192=1,Sheet1!D$195=1),IF(O38&gt;0,IF(AND(OR(Sheet1!D$8=2,Sheet1!D$22=3),O38&gt;=10)," ",O38+1),IF(NOT(Sheet1!D$192=1),0,IF(ROUND(VLOOKUP(A39,StatusQuo!A$19:M$68,13),Sheet1!D$75)-ROUND(VLOOKUP(A39,AlternativeC!A$110:M$159,13),Sheet1!D$75)&gt;0,1,0)))," "))</f>
        <v>#VALUE!</v>
      </c>
      <c r="P39" s="263" t="str">
        <f>IF(AND(A39&lt;&gt;" ",Sheet1!D$192=1,Sheet1!D$195=1),IF(AND(OR(Sheet1!D$8=2,Sheet1!D$22=3),O39&gt;10),0,ROUND(VLOOKUP(A39,StatusQuo!A$19:M$68,13),Sheet1!D$75)),IF(NOT(Sheet1!D$192=1),"not feasible",IF(A39=" "," ", "Savings is  n/a=&gt;")))</f>
        <v xml:space="preserve"> </v>
      </c>
      <c r="Q39" s="263" t="str">
        <f>IF(AND(A39&lt;&gt;" ",Sheet1!D$192=1,Sheet1!D$195=1),IF(AND(OR(Sheet1!D$8=2,Sheet1!D$22=3),O39&gt;10),0,ROUND(VLOOKUP(A39,AlternativeC!A$110:M$159,13),Sheet1!D$75)),IF(NOT(Sheet1!D$195=1),"not feasible",IF(A39=" "," ","&lt;== Savings is n/a")))</f>
        <v>not feasible</v>
      </c>
      <c r="R39" s="263" t="str">
        <f>IF(AND(A39&lt;&gt;" ",Sheet1!D$192=1,Sheet1!D$195=1),IF(G$81&lt;&gt;" ","??????? ",P39-Q39)," ")</f>
        <v xml:space="preserve"> </v>
      </c>
      <c r="S39" s="263" t="str">
        <f>IF(AND(A39&lt;&gt;" ",Sheet1!D$192=1,Sheet1!D$195=1),ROUND(R39*G39,Sheet1!D$75)," ")</f>
        <v xml:space="preserve"> </v>
      </c>
      <c r="T39" s="263" t="str">
        <f>IF(AND(A39&lt;&gt;" ",Sheet1!D$192=1,Sheet1!D$195=1),ROUND((R39/I39)*J39,Sheet1!D$75)," ")</f>
        <v xml:space="preserve"> </v>
      </c>
      <c r="U39" s="265">
        <f>SUM(T$11:T39)</f>
        <v>0</v>
      </c>
      <c r="V39" s="254" t="str">
        <f t="shared" si="0"/>
        <v xml:space="preserve"> </v>
      </c>
      <c r="W39" s="268">
        <f t="shared" si="1"/>
        <v>29</v>
      </c>
      <c r="X39" s="171" t="str">
        <f t="shared" si="2"/>
        <v xml:space="preserve"> </v>
      </c>
      <c r="AA39" s="265">
        <f>SUM(K$11:K39)</f>
        <v>0</v>
      </c>
      <c r="AB39" s="271" t="str">
        <f>IF(OR(Sheet1!D$192=1,Sheet1!D$195=1),IF(OR((AB38&gt;=(Sheet1!D$148+$A$11)-1),AND(Sheet1!D$8=3,AB38&gt;=6))," ",AB38+1),NA())</f>
        <v xml:space="preserve"> </v>
      </c>
      <c r="AC39" s="271" t="str">
        <f>IF(OR(Sheet1!D$192=1,Sheet1!D$195=1),IF(OR((AC38&gt;=(Sheet1!D$148+$B$11)-1),AND(Sheet1!D$8=3,AB38&gt;=6))," ",AC38+1),NA())</f>
        <v xml:space="preserve"> </v>
      </c>
      <c r="AD39" s="262"/>
      <c r="AE39" s="263" t="str">
        <f>IF(AND(Sheet1!D$195=1,AB39&lt;&gt;" "),ROUND(VLOOKUP(AB39,AlternativeC!A$17:M$66,12),Sheet1!D$75),IF(Sheet1!D$195=1," ","Alt  'C'  not feasible"))</f>
        <v>Alt  'C'  not feasible</v>
      </c>
      <c r="AF39" s="264" t="str">
        <f>IF(AB39&lt;=Sheet1!D$148, (1/((1+AF$10)^(AB39-0.5)))," ")</f>
        <v xml:space="preserve"> </v>
      </c>
      <c r="AG39" s="263" t="str">
        <f>IF(AND(Sheet1!D$195=1,AB39&lt;&gt;" "),ROUND(+AE39*AF39,Sheet1!D$75)," ")</f>
        <v xml:space="preserve"> </v>
      </c>
      <c r="AH39" s="264" t="str">
        <f>IF(AB39&lt;&gt;" ",ROUND(VLOOKUP(Sheet1!E$82,CHOOSE(Sheet1!D$214,Inflate1,Inflate2,Inflate3,Inflate4,Inflate5,Inflate6,Inflate7,Inflate8),2),4)," ")</f>
        <v xml:space="preserve"> </v>
      </c>
      <c r="AI39" s="264" t="str">
        <f>IF(AB39&lt;&gt;" ",ROUND(VLOOKUP(AC39,CHOOSE(Sheet1!D$214,Inflate1,Inflate2,Inflate3,Inflate4,Inflate5,Inflate6,Inflate7,Inflate8),3),4)," ")</f>
        <v xml:space="preserve"> </v>
      </c>
      <c r="AJ39" s="263" t="b">
        <f>IF(AND(Sheet1!D$195=1,AB39&lt;&gt;" "),IF(AND(O39&lt;=10,OR(Sheet1!D$8=2,Sheet1!D$8=3,Sheet1!D$22=3)),ROUND((AE39/AH39)*AI39,Sheet1!D$75),IF(AND(Sheet1!D$8&lt;&gt;2,Sheet1!D$8&lt;&gt;3,Sheet1!D$22&lt;&gt;3),ROUND((AE39/AH39)*AI39,Sheet1!D$75)," ")))</f>
        <v>0</v>
      </c>
    </row>
    <row r="40" spans="1:36" ht="12" customHeight="1" x14ac:dyDescent="0.2">
      <c r="A40" s="271" t="str">
        <f>IF(OR(Sheet1!D$192=1,Sheet1!D$195=1),IF(OR((A39&gt;=(Sheet1!D$148+$A$11)-1),AND(Sheet1!D$8=3,A39&gt;=6))," ",A39+1),NA())</f>
        <v xml:space="preserve"> </v>
      </c>
      <c r="B40" s="271" t="str">
        <f>IF(OR(Sheet1!D$192=1,Sheet1!D$195=1),IF(OR((B39&gt;=(Sheet1!D$148+$B$11)-1),AND(Sheet1!D$8=3,A39&gt;=6))," ",B39+1),NA())</f>
        <v xml:space="preserve"> </v>
      </c>
      <c r="C40" s="262"/>
      <c r="D40" s="263" t="str">
        <f>IF(AND(Sheet1!D$192=1,A40&lt;&gt;" "),ROUND(VLOOKUP(A40,StatusQuo!A$19:M$68,12),Sheet1!D$75),IF(Sheet1!D$192=1," ","SQ not feasible "))</f>
        <v xml:space="preserve"> </v>
      </c>
      <c r="E40" s="263" t="str">
        <f>IF(AND(Sheet1!D$195=1,A40&lt;&gt;" "),ROUND(VLOOKUP(A40,AlternativeC!A$110:M$159,12),Sheet1!D$75),IF(Sheet1!D$195=1," ","Alt  'C'  not feasible"))</f>
        <v>Alt  'C'  not feasible</v>
      </c>
      <c r="F40" s="263" t="str">
        <f>IF(AND(A40&lt;&gt;" ",Sheet1!D$192=1,Sheet1!D$195=1),D40-E40,IF(AND(Sheet1!D$195=1,A40&lt;&gt;" ")," "," "))</f>
        <v xml:space="preserve"> </v>
      </c>
      <c r="G40" s="264" t="str">
        <f>IF(A40&lt;=Sheet1!D$148, (1/((1+G10)^(A40-0.5)))," ")</f>
        <v xml:space="preserve"> </v>
      </c>
      <c r="H40" s="263" t="str">
        <f>IF(AND(A40&lt;&gt;" ",Sheet1!D$192=1,Sheet1!D$195=1),ROUND(F40*G40,Sheet1!D$75),IF(AND(A40&lt;&gt;" ",Sheet1!D$195=1),ROUND(E40*G40,Sheet1!D$75)," "))</f>
        <v xml:space="preserve"> </v>
      </c>
      <c r="I40" s="264" t="str">
        <f>IF(A40&lt;&gt;" ",ROUND(VLOOKUP(Sheet1!E$82,CHOOSE(Sheet1!D$234,Inflate7,Inflate2,Inflate3,Inflate4,Inflate5,Inflate6,Inflate1,Inflate8),2),4)," ")</f>
        <v xml:space="preserve"> </v>
      </c>
      <c r="J40" s="264" t="str">
        <f>IF(A40&lt;&gt;" ",ROUND(VLOOKUP(B40,CHOOSE(Sheet1!D$234,Inflate7,Inflate2,Inflate3,Inflate4,Inflate5,Inflate6,Inflate1,Inflate8),3),4)," ")</f>
        <v xml:space="preserve"> </v>
      </c>
      <c r="K40" s="265" t="str">
        <f>IF(AND(A40&lt;&gt;" ",Sheet1!D$192=1,Sheet1!D$195=1),ROUND((F40/I40)*J40,Sheet1!D$75),IF(AND(A40&lt;&gt;" ",Sheet1!D$195=1),ROUND((E40/I40)*J40,Sheet1!D$75)," "))</f>
        <v xml:space="preserve"> </v>
      </c>
      <c r="L40" s="254" t="str">
        <f>IF(Sheet1!D$192=1,IF(AND(AA40&gt;AJ$61,AA39&lt;=AJ$61),"&lt;-Payback"," ")," ")</f>
        <v xml:space="preserve"> </v>
      </c>
      <c r="M40" s="271" t="str">
        <f>IF(OR(Sheet1!D$192=1,Sheet1!D$195=1),IF(OR((A39&gt;=(Sheet1!D$148+$A$11)-1),AND(Sheet1!D$8=3,A39&gt;=6))," ",A39+1),NA())</f>
        <v xml:space="preserve"> </v>
      </c>
      <c r="N40" s="271" t="str">
        <f>IF(OR(Sheet1!D$192=1,Sheet1!D$195=1),IF(OR((B39&gt;=(Sheet1!D$148+$B$11)-1),AND(Sheet1!D$8=3,A39&gt;=6))," ",B39+1),NA())</f>
        <v xml:space="preserve"> </v>
      </c>
      <c r="O40" s="266" t="e">
        <f>IF(AND(Sheet1!D$8=3,M40=" ")," ",IF(OR(Sheet1!D$192=1,Sheet1!D$195=1),IF(O39&gt;0,IF(AND(OR(Sheet1!D$8=2,Sheet1!D$22=3),O39&gt;=10)," ",O39+1),IF(NOT(Sheet1!D$192=1),0,IF(ROUND(VLOOKUP(A40,StatusQuo!A$19:M$68,13),Sheet1!D$75)-ROUND(VLOOKUP(A40,AlternativeC!A$110:M$159,13),Sheet1!D$75)&gt;0,1,0)))," "))</f>
        <v>#VALUE!</v>
      </c>
      <c r="P40" s="263" t="str">
        <f>IF(AND(A40&lt;&gt;" ",Sheet1!D$192=1,Sheet1!D$195=1),IF(AND(OR(Sheet1!D$8=2,Sheet1!D$22=3),O40&gt;10),0,ROUND(VLOOKUP(A40,StatusQuo!A$19:M$68,13),Sheet1!D$75)),IF(NOT(Sheet1!D$192=1),"not feasible",IF(A40=" "," ", "Savings is  n/a=&gt;")))</f>
        <v xml:space="preserve"> </v>
      </c>
      <c r="Q40" s="263" t="str">
        <f>IF(AND(A40&lt;&gt;" ",Sheet1!D$192=1,Sheet1!D$195=1),IF(AND(OR(Sheet1!D$8=2,Sheet1!D$22=3),O40&gt;10),0,ROUND(VLOOKUP(A40,AlternativeC!A$110:M$159,13),Sheet1!D$75)),IF(NOT(Sheet1!D$195=1),"not feasible",IF(A40=" "," ","&lt;== Savings is n/a")))</f>
        <v>not feasible</v>
      </c>
      <c r="R40" s="263" t="str">
        <f>IF(AND(A40&lt;&gt;" ",Sheet1!D$192=1,Sheet1!D$195=1),IF(G$81&lt;&gt;" ","??????? ",P40-Q40)," ")</f>
        <v xml:space="preserve"> </v>
      </c>
      <c r="S40" s="263" t="str">
        <f>IF(AND(A40&lt;&gt;" ",Sheet1!D$192=1,Sheet1!D$195=1),ROUND(R40*G40,Sheet1!D$75)," ")</f>
        <v xml:space="preserve"> </v>
      </c>
      <c r="T40" s="263" t="str">
        <f>IF(AND(A40&lt;&gt;" ",Sheet1!D$192=1,Sheet1!D$195=1),ROUND((R40/I40)*J40,Sheet1!D$75)," ")</f>
        <v xml:space="preserve"> </v>
      </c>
      <c r="U40" s="265">
        <f>SUM(T$11:T40)</f>
        <v>0</v>
      </c>
      <c r="V40" s="254" t="str">
        <f t="shared" si="0"/>
        <v xml:space="preserve"> </v>
      </c>
      <c r="W40" s="268">
        <f t="shared" si="1"/>
        <v>30</v>
      </c>
      <c r="X40" s="171" t="str">
        <f t="shared" si="2"/>
        <v xml:space="preserve"> </v>
      </c>
      <c r="AA40" s="265">
        <f>SUM(K$11:K40)</f>
        <v>0</v>
      </c>
      <c r="AB40" s="271" t="str">
        <f>IF(OR(Sheet1!D$192=1,Sheet1!D$195=1),IF(OR((AB39&gt;=(Sheet1!D$148+$A$11)-1),AND(Sheet1!D$8=3,AB39&gt;=6))," ",AB39+1),NA())</f>
        <v xml:space="preserve"> </v>
      </c>
      <c r="AC40" s="271" t="str">
        <f>IF(OR(Sheet1!D$192=1,Sheet1!D$195=1),IF(OR((AC39&gt;=(Sheet1!D$148+$B$11)-1),AND(Sheet1!D$8=3,AB39&gt;=6))," ",AC39+1),NA())</f>
        <v xml:space="preserve"> </v>
      </c>
      <c r="AD40" s="262"/>
      <c r="AE40" s="263" t="str">
        <f>IF(AND(Sheet1!D$195=1,AB40&lt;&gt;" "),ROUND(VLOOKUP(AB40,AlternativeC!A$17:M$66,12),Sheet1!D$75),IF(Sheet1!D$195=1," ","Alt  'C'  not feasible"))</f>
        <v>Alt  'C'  not feasible</v>
      </c>
      <c r="AF40" s="264" t="str">
        <f>IF(AB40&lt;=Sheet1!D$148, (1/((1+AF$10)^(AB40-0.5)))," ")</f>
        <v xml:space="preserve"> </v>
      </c>
      <c r="AG40" s="263" t="str">
        <f>IF(AND(Sheet1!D$195=1,AB40&lt;&gt;" "),ROUND(+AE40*AF40,Sheet1!D$75)," ")</f>
        <v xml:space="preserve"> </v>
      </c>
      <c r="AH40" s="264" t="str">
        <f>IF(AB40&lt;&gt;" ",ROUND(VLOOKUP(Sheet1!E$82,CHOOSE(Sheet1!D$214,Inflate1,Inflate2,Inflate3,Inflate4,Inflate5,Inflate6,Inflate7,Inflate8),2),4)," ")</f>
        <v xml:space="preserve"> </v>
      </c>
      <c r="AI40" s="264" t="str">
        <f>IF(AB40&lt;&gt;" ",ROUND(VLOOKUP(AC40,CHOOSE(Sheet1!D$214,Inflate1,Inflate2,Inflate3,Inflate4,Inflate5,Inflate6,Inflate7,Inflate8),3),4)," ")</f>
        <v xml:space="preserve"> </v>
      </c>
      <c r="AJ40" s="263" t="b">
        <f>IF(AND(Sheet1!D$195=1,AB40&lt;&gt;" "),IF(AND(O40&lt;=10,OR(Sheet1!D$8=2,Sheet1!D$8=3,Sheet1!D$22=3)),ROUND((AE40/AH40)*AI40,Sheet1!D$75),IF(AND(Sheet1!D$8&lt;&gt;2,Sheet1!D$8&lt;&gt;3,Sheet1!D$22&lt;&gt;3),ROUND((AE40/AH40)*AI40,Sheet1!D$75)," ")))</f>
        <v>0</v>
      </c>
    </row>
    <row r="41" spans="1:36" ht="12" customHeight="1" x14ac:dyDescent="0.2">
      <c r="A41" s="271" t="str">
        <f>IF(OR(Sheet1!D$192=1,Sheet1!D$195=1),IF(OR((A40&gt;=(Sheet1!D$148+$A$11)-1),AND(Sheet1!D$8=3,A40&gt;=6))," ",A40+1),NA())</f>
        <v xml:space="preserve"> </v>
      </c>
      <c r="B41" s="271" t="str">
        <f>IF(OR(Sheet1!D$192=1,Sheet1!D$195=1),IF(OR((B40&gt;=(Sheet1!D$148+$B$11)-1),AND(Sheet1!D$8=3,A40&gt;=6))," ",B40+1),NA())</f>
        <v xml:space="preserve"> </v>
      </c>
      <c r="C41" s="262"/>
      <c r="D41" s="263" t="str">
        <f>IF(AND(Sheet1!D$192=1,A41&lt;&gt;" "),ROUND(VLOOKUP(A41,StatusQuo!A$19:M$68,12),Sheet1!D$75),IF(Sheet1!D$192=1," ","SQ not feasible "))</f>
        <v xml:space="preserve"> </v>
      </c>
      <c r="E41" s="263" t="str">
        <f>IF(AND(Sheet1!D$195=1,A41&lt;&gt;" "),ROUND(VLOOKUP(A41,AlternativeC!A$110:M$159,12),Sheet1!D$75),IF(Sheet1!D$195=1," ","Alt  'C'  not feasible"))</f>
        <v>Alt  'C'  not feasible</v>
      </c>
      <c r="F41" s="263" t="str">
        <f>IF(AND(A41&lt;&gt;" ",Sheet1!D$192=1,Sheet1!D$195=1),D41-E41,IF(AND(Sheet1!D$195=1,A41&lt;&gt;" ")," "," "))</f>
        <v xml:space="preserve"> </v>
      </c>
      <c r="G41" s="264" t="str">
        <f>IF(A41&lt;=Sheet1!D$148, (1/((1+G10)^(A41-0.5)))," ")</f>
        <v xml:space="preserve"> </v>
      </c>
      <c r="H41" s="263" t="str">
        <f>IF(AND(A41&lt;&gt;" ",Sheet1!D$192=1,Sheet1!D$195=1),ROUND(F41*G41,Sheet1!D$75),IF(AND(A41&lt;&gt;" ",Sheet1!D$195=1),ROUND(E41*G41,Sheet1!D$75)," "))</f>
        <v xml:space="preserve"> </v>
      </c>
      <c r="I41" s="264" t="str">
        <f>IF(A41&lt;&gt;" ",ROUND(VLOOKUP(Sheet1!E$82,CHOOSE(Sheet1!D$234,Inflate7,Inflate2,Inflate3,Inflate4,Inflate5,Inflate6,Inflate1,Inflate8),2),4)," ")</f>
        <v xml:space="preserve"> </v>
      </c>
      <c r="J41" s="264" t="str">
        <f>IF(A41&lt;&gt;" ",ROUND(VLOOKUP(B41,CHOOSE(Sheet1!D$234,Inflate7,Inflate2,Inflate3,Inflate4,Inflate5,Inflate6,Inflate1,Inflate8),3),4)," ")</f>
        <v xml:space="preserve"> </v>
      </c>
      <c r="K41" s="265" t="str">
        <f>IF(AND(A41&lt;&gt;" ",Sheet1!D$192=1,Sheet1!D$195=1),ROUND((F41/I41)*J41,Sheet1!D$75),IF(AND(A41&lt;&gt;" ",Sheet1!D$195=1),ROUND((E41/I41)*J41,Sheet1!D$75)," "))</f>
        <v xml:space="preserve"> </v>
      </c>
      <c r="L41" s="254" t="str">
        <f>IF(Sheet1!D$192=1,IF(AND(AA41&gt;AJ$61,AA40&lt;=AJ$61),"&lt;-Payback"," ")," ")</f>
        <v xml:space="preserve"> </v>
      </c>
      <c r="M41" s="271" t="str">
        <f>IF(OR(Sheet1!D$192=1,Sheet1!D$195=1),IF(OR((A40&gt;=(Sheet1!D$148+$A$11)-1),AND(Sheet1!D$8=3,A40&gt;=6))," ",A40+1),NA())</f>
        <v xml:space="preserve"> </v>
      </c>
      <c r="N41" s="271" t="str">
        <f>IF(OR(Sheet1!D$192=1,Sheet1!D$195=1),IF(OR((B40&gt;=(Sheet1!D$148+$B$11)-1),AND(Sheet1!D$8=3,A40&gt;=6))," ",B40+1),NA())</f>
        <v xml:space="preserve"> </v>
      </c>
      <c r="O41" s="266" t="e">
        <f>IF(AND(Sheet1!D$8=3,M41=" ")," ",IF(OR(Sheet1!D$192=1,Sheet1!D$195=1),IF(O40&gt;0,IF(AND(OR(Sheet1!D$8=2,Sheet1!D$22=3),O40&gt;=10)," ",O40+1),IF(NOT(Sheet1!D$192=1),0,IF(ROUND(VLOOKUP(A41,StatusQuo!A$19:M$68,13),Sheet1!D$75)-ROUND(VLOOKUP(A41,AlternativeC!A$110:M$159,13),Sheet1!D$75)&gt;0,1,0)))," "))</f>
        <v>#VALUE!</v>
      </c>
      <c r="P41" s="263" t="str">
        <f>IF(AND(A41&lt;&gt;" ",Sheet1!D$192=1,Sheet1!D$195=1),IF(AND(OR(Sheet1!D$8=2,Sheet1!D$22=3),O41&gt;10),0,ROUND(VLOOKUP(A41,StatusQuo!A$19:M$68,13),Sheet1!D$75)),IF(NOT(Sheet1!D$192=1),"not feasible",IF(A41=" "," ", "Savings is  n/a=&gt;")))</f>
        <v xml:space="preserve"> </v>
      </c>
      <c r="Q41" s="263" t="str">
        <f>IF(AND(A41&lt;&gt;" ",Sheet1!D$192=1,Sheet1!D$195=1),IF(AND(OR(Sheet1!D$8=2,Sheet1!D$22=3),O41&gt;10),0,ROUND(VLOOKUP(A41,AlternativeC!A$110:M$159,13),Sheet1!D$75)),IF(NOT(Sheet1!D$195=1),"not feasible",IF(A41=" "," ","&lt;== Savings is n/a")))</f>
        <v>not feasible</v>
      </c>
      <c r="R41" s="263" t="str">
        <f>IF(AND(A41&lt;&gt;" ",Sheet1!D$192=1,Sheet1!D$195=1),IF(G$81&lt;&gt;" ","??????? ",P41-Q41)," ")</f>
        <v xml:space="preserve"> </v>
      </c>
      <c r="S41" s="263" t="str">
        <f>IF(AND(A41&lt;&gt;" ",Sheet1!D$192=1,Sheet1!D$195=1),ROUND(R41*G41,Sheet1!D$75)," ")</f>
        <v xml:space="preserve"> </v>
      </c>
      <c r="T41" s="263" t="str">
        <f>IF(AND(A41&lt;&gt;" ",Sheet1!D$192=1,Sheet1!D$195=1),ROUND((R41/I41)*J41,Sheet1!D$75)," ")</f>
        <v xml:space="preserve"> </v>
      </c>
      <c r="U41" s="265">
        <f>SUM(T$11:T41)</f>
        <v>0</v>
      </c>
      <c r="V41" s="254" t="str">
        <f t="shared" si="0"/>
        <v xml:space="preserve"> </v>
      </c>
      <c r="W41" s="268">
        <f t="shared" si="1"/>
        <v>31</v>
      </c>
      <c r="X41" s="171" t="str">
        <f t="shared" si="2"/>
        <v xml:space="preserve"> </v>
      </c>
      <c r="AA41" s="265">
        <f>SUM(K$11:K41)</f>
        <v>0</v>
      </c>
      <c r="AB41" s="271" t="str">
        <f>IF(OR(Sheet1!D$192=1,Sheet1!D$195=1),IF(OR((AB40&gt;=(Sheet1!D$148+$A$11)-1),AND(Sheet1!D$8=3,AB40&gt;=6))," ",AB40+1),NA())</f>
        <v xml:space="preserve"> </v>
      </c>
      <c r="AC41" s="271" t="str">
        <f>IF(OR(Sheet1!D$192=1,Sheet1!D$195=1),IF(OR((AC40&gt;=(Sheet1!D$148+$B$11)-1),AND(Sheet1!D$8=3,AB40&gt;=6))," ",AC40+1),NA())</f>
        <v xml:space="preserve"> </v>
      </c>
      <c r="AD41" s="262"/>
      <c r="AE41" s="263" t="str">
        <f>IF(AND(Sheet1!D$195=1,AB41&lt;&gt;" "),ROUND(VLOOKUP(AB41,AlternativeC!A$17:M$66,12),Sheet1!D$75),IF(Sheet1!D$195=1," ","Alt  'C'  not feasible"))</f>
        <v>Alt  'C'  not feasible</v>
      </c>
      <c r="AF41" s="264" t="str">
        <f>IF(AB41&lt;=Sheet1!D$148, (1/((1+AF$10)^(AB41-0.5)))," ")</f>
        <v xml:space="preserve"> </v>
      </c>
      <c r="AG41" s="263" t="str">
        <f>IF(AND(Sheet1!D$195=1,AB41&lt;&gt;" "),ROUND(+AE41*AF41,Sheet1!D$75)," ")</f>
        <v xml:space="preserve"> </v>
      </c>
      <c r="AH41" s="264" t="str">
        <f>IF(AB41&lt;&gt;" ",ROUND(VLOOKUP(Sheet1!E$82,CHOOSE(Sheet1!D$214,Inflate1,Inflate2,Inflate3,Inflate4,Inflate5,Inflate6,Inflate7,Inflate8),2),4)," ")</f>
        <v xml:space="preserve"> </v>
      </c>
      <c r="AI41" s="264" t="str">
        <f>IF(AB41&lt;&gt;" ",ROUND(VLOOKUP(AC41,CHOOSE(Sheet1!D$214,Inflate1,Inflate2,Inflate3,Inflate4,Inflate5,Inflate6,Inflate7,Inflate8),3),4)," ")</f>
        <v xml:space="preserve"> </v>
      </c>
      <c r="AJ41" s="263" t="b">
        <f>IF(AND(Sheet1!D$195=1,AB41&lt;&gt;" "),IF(AND(O41&lt;=10,OR(Sheet1!D$8=2,Sheet1!D$8=3,Sheet1!D$22=3)),ROUND((AE41/AH41)*AI41,Sheet1!D$75),IF(AND(Sheet1!D$8&lt;&gt;2,Sheet1!D$8&lt;&gt;3,Sheet1!D$22&lt;&gt;3),ROUND((AE41/AH41)*AI41,Sheet1!D$75)," ")))</f>
        <v>0</v>
      </c>
    </row>
    <row r="42" spans="1:36" ht="12" customHeight="1" x14ac:dyDescent="0.2">
      <c r="A42" s="271" t="str">
        <f>IF(OR(Sheet1!D$192=1,Sheet1!D$195=1),IF(OR((A41&gt;=(Sheet1!D$148+$A$11)-1),AND(Sheet1!D$8=3,A41&gt;=6))," ",A41+1),NA())</f>
        <v xml:space="preserve"> </v>
      </c>
      <c r="B42" s="271" t="str">
        <f>IF(OR(Sheet1!D$192=1,Sheet1!D$195=1),IF(OR((B41&gt;=(Sheet1!D$148+$B$11)-1),AND(Sheet1!D$8=3,A41&gt;=6))," ",B41+1),NA())</f>
        <v xml:space="preserve"> </v>
      </c>
      <c r="C42" s="262"/>
      <c r="D42" s="263" t="str">
        <f>IF(AND(Sheet1!D$192=1,A42&lt;&gt;" "),ROUND(VLOOKUP(A42,StatusQuo!A$19:M$68,12),Sheet1!D$75),IF(Sheet1!D$192=1," ","SQ not feasible "))</f>
        <v xml:space="preserve"> </v>
      </c>
      <c r="E42" s="263" t="str">
        <f>IF(AND(Sheet1!D$195=1,A42&lt;&gt;" "),ROUND(VLOOKUP(A42,AlternativeC!A$110:M$159,12),Sheet1!D$75),IF(Sheet1!D$195=1," ","Alt  'C'  not feasible"))</f>
        <v>Alt  'C'  not feasible</v>
      </c>
      <c r="F42" s="263" t="str">
        <f>IF(AND(A42&lt;&gt;" ",Sheet1!D$192=1,Sheet1!D$195=1),D42-E42,IF(AND(Sheet1!D$195=1,A42&lt;&gt;" ")," "," "))</f>
        <v xml:space="preserve"> </v>
      </c>
      <c r="G42" s="264" t="str">
        <f>IF(A42&lt;=Sheet1!D$148, (1/((1+G10)^(A42-0.5)))," ")</f>
        <v xml:space="preserve"> </v>
      </c>
      <c r="H42" s="263" t="str">
        <f>IF(AND(A42&lt;&gt;" ",Sheet1!D$192=1,Sheet1!D$195=1),ROUND(F42*G42,Sheet1!D$75),IF(AND(A42&lt;&gt;" ",Sheet1!D$195=1),ROUND(E42*G42,Sheet1!D$75)," "))</f>
        <v xml:space="preserve"> </v>
      </c>
      <c r="I42" s="264" t="str">
        <f>IF(A42&lt;&gt;" ",ROUND(VLOOKUP(Sheet1!E$82,CHOOSE(Sheet1!D$234,Inflate7,Inflate2,Inflate3,Inflate4,Inflate5,Inflate6,Inflate1,Inflate8),2),4)," ")</f>
        <v xml:space="preserve"> </v>
      </c>
      <c r="J42" s="264" t="str">
        <f>IF(A42&lt;&gt;" ",ROUND(VLOOKUP(B42,CHOOSE(Sheet1!D$234,Inflate7,Inflate2,Inflate3,Inflate4,Inflate5,Inflate6,Inflate1,Inflate8),3),4)," ")</f>
        <v xml:space="preserve"> </v>
      </c>
      <c r="K42" s="265" t="str">
        <f>IF(AND(A42&lt;&gt;" ",Sheet1!D$192=1,Sheet1!D$195=1),ROUND((F42/I42)*J42,Sheet1!D$75),IF(AND(A42&lt;&gt;" ",Sheet1!D$195=1),ROUND((E42/I42)*J42,Sheet1!D$75)," "))</f>
        <v xml:space="preserve"> </v>
      </c>
      <c r="L42" s="254" t="str">
        <f>IF(Sheet1!D$192=1,IF(AND(AA42&gt;AJ$61,AA41&lt;=AJ$61),"&lt;-Payback"," ")," ")</f>
        <v xml:space="preserve"> </v>
      </c>
      <c r="M42" s="271" t="str">
        <f>IF(OR(Sheet1!D$192=1,Sheet1!D$195=1),IF(OR((A41&gt;=(Sheet1!D$148+$A$11)-1),AND(Sheet1!D$8=3,A41&gt;=6))," ",A41+1),NA())</f>
        <v xml:space="preserve"> </v>
      </c>
      <c r="N42" s="271" t="str">
        <f>IF(OR(Sheet1!D$192=1,Sheet1!D$195=1),IF(OR((B41&gt;=(Sheet1!D$148+$B$11)-1),AND(Sheet1!D$8=3,A41&gt;=6))," ",B41+1),NA())</f>
        <v xml:space="preserve"> </v>
      </c>
      <c r="O42" s="266" t="e">
        <f>IF(AND(Sheet1!D$8=3,M42=" ")," ",IF(OR(Sheet1!D$192=1,Sheet1!D$195=1),IF(O41&gt;0,IF(AND(OR(Sheet1!D$8=2,Sheet1!D$22=3),O41&gt;=10)," ",O41+1),IF(NOT(Sheet1!D$192=1),0,IF(ROUND(VLOOKUP(A42,StatusQuo!A$19:M$68,13),Sheet1!D$75)-ROUND(VLOOKUP(A42,AlternativeC!A$110:M$159,13),Sheet1!D$75)&gt;0,1,0)))," "))</f>
        <v>#VALUE!</v>
      </c>
      <c r="P42" s="263" t="str">
        <f>IF(AND(A42&lt;&gt;" ",Sheet1!D$192=1,Sheet1!D$195=1),IF(AND(OR(Sheet1!D$8=2,Sheet1!D$22=3),O42&gt;10),0,ROUND(VLOOKUP(A42,StatusQuo!A$19:M$68,13),Sheet1!D$75)),IF(NOT(Sheet1!D$192=1),"not feasible",IF(A42=" "," ", "Savings is  n/a=&gt;")))</f>
        <v xml:space="preserve"> </v>
      </c>
      <c r="Q42" s="263" t="str">
        <f>IF(AND(A42&lt;&gt;" ",Sheet1!D$192=1,Sheet1!D$195=1),IF(AND(OR(Sheet1!D$8=2,Sheet1!D$22=3),O42&gt;10),0,ROUND(VLOOKUP(A42,AlternativeC!A$110:M$159,13),Sheet1!D$75)),IF(NOT(Sheet1!D$195=1),"not feasible",IF(A42=" "," ","&lt;== Savings is n/a")))</f>
        <v>not feasible</v>
      </c>
      <c r="R42" s="263" t="str">
        <f>IF(AND(A42&lt;&gt;" ",Sheet1!D$192=1,Sheet1!D$195=1),IF(G$81&lt;&gt;" ","??????? ",P42-Q42)," ")</f>
        <v xml:space="preserve"> </v>
      </c>
      <c r="S42" s="263" t="str">
        <f>IF(AND(A42&lt;&gt;" ",Sheet1!D$192=1,Sheet1!D$195=1),ROUND(R42*G42,Sheet1!D$75)," ")</f>
        <v xml:space="preserve"> </v>
      </c>
      <c r="T42" s="263" t="str">
        <f>IF(AND(A42&lt;&gt;" ",Sheet1!D$192=1,Sheet1!D$195=1),ROUND((R42/I42)*J42,Sheet1!D$75)," ")</f>
        <v xml:space="preserve"> </v>
      </c>
      <c r="U42" s="265">
        <f>SUM(T$11:T42)</f>
        <v>0</v>
      </c>
      <c r="V42" s="254" t="str">
        <f t="shared" si="0"/>
        <v xml:space="preserve"> </v>
      </c>
      <c r="W42" s="268">
        <f t="shared" si="1"/>
        <v>32</v>
      </c>
      <c r="X42" s="171" t="str">
        <f t="shared" si="2"/>
        <v xml:space="preserve"> </v>
      </c>
      <c r="AA42" s="265">
        <f>SUM(K$11:K42)</f>
        <v>0</v>
      </c>
      <c r="AB42" s="271" t="str">
        <f>IF(OR(Sheet1!D$192=1,Sheet1!D$195=1),IF(OR((AB41&gt;=(Sheet1!D$148+$A$11)-1),AND(Sheet1!D$8=3,AB41&gt;=6))," ",AB41+1),NA())</f>
        <v xml:space="preserve"> </v>
      </c>
      <c r="AC42" s="271" t="str">
        <f>IF(OR(Sheet1!D$192=1,Sheet1!D$195=1),IF(OR((AC41&gt;=(Sheet1!D$148+$B$11)-1),AND(Sheet1!D$8=3,AB41&gt;=6))," ",AC41+1),NA())</f>
        <v xml:space="preserve"> </v>
      </c>
      <c r="AD42" s="262"/>
      <c r="AE42" s="263" t="str">
        <f>IF(AND(Sheet1!D$195=1,AB42&lt;&gt;" "),ROUND(VLOOKUP(AB42,AlternativeC!A$17:M$66,12),Sheet1!D$75),IF(Sheet1!D$195=1," ","Alt  'C'  not feasible"))</f>
        <v>Alt  'C'  not feasible</v>
      </c>
      <c r="AF42" s="264" t="str">
        <f>IF(AB42&lt;=Sheet1!D$148, (1/((1+AF$10)^(AB42-0.5)))," ")</f>
        <v xml:space="preserve"> </v>
      </c>
      <c r="AG42" s="263" t="str">
        <f>IF(AND(Sheet1!D$195=1,AB42&lt;&gt;" "),ROUND(+AE42*AF42,Sheet1!D$75)," ")</f>
        <v xml:space="preserve"> </v>
      </c>
      <c r="AH42" s="264" t="str">
        <f>IF(AB42&lt;&gt;" ",ROUND(VLOOKUP(Sheet1!E$82,CHOOSE(Sheet1!D$214,Inflate1,Inflate2,Inflate3,Inflate4,Inflate5,Inflate6,Inflate7,Inflate8),2),4)," ")</f>
        <v xml:space="preserve"> </v>
      </c>
      <c r="AI42" s="264" t="str">
        <f>IF(AB42&lt;&gt;" ",ROUND(VLOOKUP(AC42,CHOOSE(Sheet1!D$214,Inflate1,Inflate2,Inflate3,Inflate4,Inflate5,Inflate6,Inflate7,Inflate8),3),4)," ")</f>
        <v xml:space="preserve"> </v>
      </c>
      <c r="AJ42" s="263" t="b">
        <f>IF(AND(Sheet1!D$195=1,AB42&lt;&gt;" "),IF(AND(O42&lt;=10,OR(Sheet1!D$8=2,Sheet1!D$8=3,Sheet1!D$22=3)),ROUND((AE42/AH42)*AI42,Sheet1!D$75),IF(AND(Sheet1!D$8&lt;&gt;2,Sheet1!D$8&lt;&gt;3,Sheet1!D$22&lt;&gt;3),ROUND((AE42/AH42)*AI42,Sheet1!D$75)," ")))</f>
        <v>0</v>
      </c>
    </row>
    <row r="43" spans="1:36" ht="12" customHeight="1" x14ac:dyDescent="0.2">
      <c r="A43" s="271" t="str">
        <f>IF(OR(Sheet1!D$192=1,Sheet1!D$195=1),IF(OR((A42&gt;=(Sheet1!D$148+$A$11)-1),AND(Sheet1!D$8=3,A42&gt;=6))," ",A42+1),NA())</f>
        <v xml:space="preserve"> </v>
      </c>
      <c r="B43" s="271" t="str">
        <f>IF(OR(Sheet1!D$192=1,Sheet1!D$195=1),IF(OR((B42&gt;=(Sheet1!D$148+$B$11)-1),AND(Sheet1!D$8=3,A42&gt;=6))," ",B42+1),NA())</f>
        <v xml:space="preserve"> </v>
      </c>
      <c r="C43" s="262"/>
      <c r="D43" s="263" t="str">
        <f>IF(AND(Sheet1!D$192=1,A43&lt;&gt;" "),ROUND(VLOOKUP(A43,StatusQuo!A$19:M$68,12),Sheet1!D$75),IF(Sheet1!D$192=1," ","SQ not feasible "))</f>
        <v xml:space="preserve"> </v>
      </c>
      <c r="E43" s="263" t="str">
        <f>IF(AND(Sheet1!D$195=1,A43&lt;&gt;" "),ROUND(VLOOKUP(A43,AlternativeC!A$110:M$159,12),Sheet1!D$75),IF(Sheet1!D$195=1," ","Alt  'C'  not feasible"))</f>
        <v>Alt  'C'  not feasible</v>
      </c>
      <c r="F43" s="263" t="str">
        <f>IF(AND(A43&lt;&gt;" ",Sheet1!D$192=1,Sheet1!D$195=1),D43-E43,IF(AND(Sheet1!D$195=1,A43&lt;&gt;" ")," "," "))</f>
        <v xml:space="preserve"> </v>
      </c>
      <c r="G43" s="264" t="str">
        <f>IF(A43&lt;=Sheet1!D$148, (1/((1+G10)^(A43-0.5)))," ")</f>
        <v xml:space="preserve"> </v>
      </c>
      <c r="H43" s="263" t="str">
        <f>IF(AND(A43&lt;&gt;" ",Sheet1!D$192=1,Sheet1!D$195=1),ROUND(F43*G43,Sheet1!D$75),IF(AND(A43&lt;&gt;" ",Sheet1!D$195=1),ROUND(E43*G43,Sheet1!D$75)," "))</f>
        <v xml:space="preserve"> </v>
      </c>
      <c r="I43" s="264" t="str">
        <f>IF(A43&lt;&gt;" ",ROUND(VLOOKUP(Sheet1!E$82,CHOOSE(Sheet1!D$234,Inflate7,Inflate2,Inflate3,Inflate4,Inflate5,Inflate6,Inflate1,Inflate8),2),4)," ")</f>
        <v xml:space="preserve"> </v>
      </c>
      <c r="J43" s="264" t="str">
        <f>IF(A43&lt;&gt;" ",ROUND(VLOOKUP(B43,CHOOSE(Sheet1!D$234,Inflate7,Inflate2,Inflate3,Inflate4,Inflate5,Inflate6,Inflate1,Inflate8),3),4)," ")</f>
        <v xml:space="preserve"> </v>
      </c>
      <c r="K43" s="265" t="str">
        <f>IF(AND(A43&lt;&gt;" ",Sheet1!D$192=1,Sheet1!D$195=1),ROUND((F43/I43)*J43,Sheet1!D$75),IF(AND(A43&lt;&gt;" ",Sheet1!D$195=1),ROUND((E43/I43)*J43,Sheet1!D$75)," "))</f>
        <v xml:space="preserve"> </v>
      </c>
      <c r="L43" s="254" t="str">
        <f>IF(Sheet1!D$192=1,IF(AND(AA43&gt;AJ$61,AA42&lt;=AJ$61),"&lt;-Payback"," ")," ")</f>
        <v xml:space="preserve"> </v>
      </c>
      <c r="M43" s="271" t="str">
        <f>IF(OR(Sheet1!D$192=1,Sheet1!D$195=1),IF(OR((A42&gt;=(Sheet1!D$148+$A$11)-1),AND(Sheet1!D$8=3,A42&gt;=6))," ",A42+1),NA())</f>
        <v xml:space="preserve"> </v>
      </c>
      <c r="N43" s="271" t="str">
        <f>IF(OR(Sheet1!D$192=1,Sheet1!D$195=1),IF(OR((B42&gt;=(Sheet1!D$148+$B$11)-1),AND(Sheet1!D$8=3,A42&gt;=6))," ",B42+1),NA())</f>
        <v xml:space="preserve"> </v>
      </c>
      <c r="O43" s="266" t="e">
        <f>IF(AND(Sheet1!D$8=3,M43=" ")," ",IF(OR(Sheet1!D$192=1,Sheet1!D$195=1),IF(O42&gt;0,IF(AND(OR(Sheet1!D$8=2,Sheet1!D$22=3),O42&gt;=10)," ",O42+1),IF(NOT(Sheet1!D$192=1),0,IF(ROUND(VLOOKUP(A43,StatusQuo!A$19:M$68,13),Sheet1!D$75)-ROUND(VLOOKUP(A43,AlternativeC!A$110:M$159,13),Sheet1!D$75)&gt;0,1,0)))," "))</f>
        <v>#VALUE!</v>
      </c>
      <c r="P43" s="263" t="str">
        <f>IF(AND(A43&lt;&gt;" ",Sheet1!D$192=1,Sheet1!D$195=1),IF(AND(OR(Sheet1!D$8=2,Sheet1!D$22=3),O43&gt;10),0,ROUND(VLOOKUP(A43,StatusQuo!A$19:M$68,13),Sheet1!D$75)),IF(NOT(Sheet1!D$192=1),"not feasible",IF(A43=" "," ", "Savings is  n/a=&gt;")))</f>
        <v xml:space="preserve"> </v>
      </c>
      <c r="Q43" s="263" t="str">
        <f>IF(AND(A43&lt;&gt;" ",Sheet1!D$192=1,Sheet1!D$195=1),IF(AND(OR(Sheet1!D$8=2,Sheet1!D$22=3),O43&gt;10),0,ROUND(VLOOKUP(A43,AlternativeC!A$110:M$159,13),Sheet1!D$75)),IF(NOT(Sheet1!D$195=1),"not feasible",IF(A43=" "," ","&lt;== Savings is n/a")))</f>
        <v>not feasible</v>
      </c>
      <c r="R43" s="263" t="str">
        <f>IF(AND(A43&lt;&gt;" ",Sheet1!D$192=1,Sheet1!D$195=1),IF(G$81&lt;&gt;" ","??????? ",P43-Q43)," ")</f>
        <v xml:space="preserve"> </v>
      </c>
      <c r="S43" s="263" t="str">
        <f>IF(AND(A43&lt;&gt;" ",Sheet1!D$192=1,Sheet1!D$195=1),ROUND(R43*G43,Sheet1!D$75)," ")</f>
        <v xml:space="preserve"> </v>
      </c>
      <c r="T43" s="263" t="str">
        <f>IF(AND(A43&lt;&gt;" ",Sheet1!D$192=1,Sheet1!D$195=1),ROUND((R43/I43)*J43,Sheet1!D$75)," ")</f>
        <v xml:space="preserve"> </v>
      </c>
      <c r="U43" s="265">
        <f>SUM(T$11:T43)</f>
        <v>0</v>
      </c>
      <c r="V43" s="254" t="str">
        <f t="shared" si="0"/>
        <v xml:space="preserve"> </v>
      </c>
      <c r="W43" s="268"/>
      <c r="AA43" s="260"/>
      <c r="AB43" s="271" t="str">
        <f>IF(OR(Sheet1!D$192=1,Sheet1!D$195=1),IF(OR((AB42&gt;=(Sheet1!D$148+$A$11)-1),AND(Sheet1!D$8=3,AB42&gt;=6))," ",AB42+1),NA())</f>
        <v xml:space="preserve"> </v>
      </c>
      <c r="AC43" s="271" t="str">
        <f>IF(OR(Sheet1!D$192=1,Sheet1!D$195=1),IF(OR((AC42&gt;=(Sheet1!D$148+$B$11)-1),AND(Sheet1!D$8=3,AB42&gt;=6))," ",AC42+1),NA())</f>
        <v xml:space="preserve"> </v>
      </c>
      <c r="AD43" s="272"/>
      <c r="AE43" s="263" t="str">
        <f>IF(AND(Sheet1!D$195=1,AB43&lt;&gt;" "),ROUND(VLOOKUP(AB43,AlternativeC!A$17:M$66,12),Sheet1!D$75),IF(Sheet1!D$195=1," ","Alt  'C'  not feasible"))</f>
        <v>Alt  'C'  not feasible</v>
      </c>
      <c r="AF43" s="264" t="str">
        <f>IF(AB43&lt;=Sheet1!D$148, (1/((1+AF$10)^(AB43-0.5)))," ")</f>
        <v xml:space="preserve"> </v>
      </c>
      <c r="AG43" s="263" t="str">
        <f>IF(AND(Sheet1!D$195=1,AB43&lt;&gt;" "),ROUND(+AE43*AF43,Sheet1!D$75)," ")</f>
        <v xml:space="preserve"> </v>
      </c>
      <c r="AH43" s="264" t="str">
        <f>IF(AB43&lt;&gt;" ",ROUND(VLOOKUP(Sheet1!E$82,CHOOSE(Sheet1!D$214,Inflate1,Inflate2,Inflate3,Inflate4,Inflate5,Inflate6,Inflate7,Inflate8),2),4)," ")</f>
        <v xml:space="preserve"> </v>
      </c>
      <c r="AI43" s="264" t="str">
        <f>IF(AB43&lt;&gt;" ",ROUND(VLOOKUP(AC43,CHOOSE(Sheet1!D$214,Inflate1,Inflate2,Inflate3,Inflate4,Inflate5,Inflate6,Inflate7,Inflate8),3),4)," ")</f>
        <v xml:space="preserve"> </v>
      </c>
      <c r="AJ43" s="263" t="b">
        <f>IF(AND(Sheet1!D$195=1,AB43&lt;&gt;" "),IF(AND(O43&lt;=10,OR(Sheet1!D$8=2,Sheet1!D$8=3,Sheet1!D$22=3)),ROUND((AE43/AH43)*AI43,Sheet1!D$75),IF(AND(Sheet1!D$8&lt;&gt;2,Sheet1!D$8&lt;&gt;3,Sheet1!D$22&lt;&gt;3),ROUND((AE43/AH43)*AI43,Sheet1!D$75)," ")))</f>
        <v>0</v>
      </c>
    </row>
    <row r="44" spans="1:36" ht="12" customHeight="1" x14ac:dyDescent="0.2">
      <c r="A44" s="271" t="str">
        <f>IF(OR(Sheet1!D$192=1,Sheet1!D$195=1),IF(OR((A43&gt;=(Sheet1!D$148+$A$11)-1),AND(Sheet1!D$8=3,A43&gt;=6))," ",A43+1),NA())</f>
        <v xml:space="preserve"> </v>
      </c>
      <c r="B44" s="271" t="str">
        <f>IF(OR(Sheet1!D$192=1,Sheet1!D$195=1),IF(OR((B43&gt;=(Sheet1!D$148+$B$11)-1),AND(Sheet1!D$8=3,A43&gt;=6))," ",B43+1),NA())</f>
        <v xml:space="preserve"> </v>
      </c>
      <c r="C44" s="262"/>
      <c r="D44" s="263" t="str">
        <f>IF(AND(Sheet1!D$192=1,A44&lt;&gt;" "),ROUND(VLOOKUP(A44,StatusQuo!A$19:M$68,12),Sheet1!D$75),IF(Sheet1!D$192=1," ","SQ not feasible "))</f>
        <v xml:space="preserve"> </v>
      </c>
      <c r="E44" s="263" t="str">
        <f>IF(AND(Sheet1!D$195=1,A44&lt;&gt;" "),ROUND(VLOOKUP(A44,AlternativeC!A$110:M$159,12),Sheet1!D$75),IF(Sheet1!D$195=1," ","Alt  'C'  not feasible"))</f>
        <v>Alt  'C'  not feasible</v>
      </c>
      <c r="F44" s="263" t="str">
        <f>IF(AND(A44&lt;&gt;" ",Sheet1!D$192=1,Sheet1!D$195=1),D44-E44,IF(AND(Sheet1!D$195=1,A44&lt;&gt;" ")," "," "))</f>
        <v xml:space="preserve"> </v>
      </c>
      <c r="G44" s="264" t="str">
        <f>IF(A44&lt;=Sheet1!D$148, (1/((1+G10)^(A44-0.5)))," ")</f>
        <v xml:space="preserve"> </v>
      </c>
      <c r="H44" s="263" t="str">
        <f>IF(AND(A44&lt;&gt;" ",Sheet1!D$192=1,Sheet1!D$195=1),ROUND(F44*G44,Sheet1!D$75),IF(AND(A44&lt;&gt;" ",Sheet1!D$195=1),ROUND(E44*G44,Sheet1!D$75)," "))</f>
        <v xml:space="preserve"> </v>
      </c>
      <c r="I44" s="264" t="str">
        <f>IF(A44&lt;&gt;" ",ROUND(VLOOKUP(Sheet1!E$82,CHOOSE(Sheet1!D$234,Inflate7,Inflate2,Inflate3,Inflate4,Inflate5,Inflate6,Inflate1,Inflate8),2),4)," ")</f>
        <v xml:space="preserve"> </v>
      </c>
      <c r="J44" s="264" t="str">
        <f>IF(A44&lt;&gt;" ",ROUND(VLOOKUP(B44,CHOOSE(Sheet1!D$234,Inflate7,Inflate2,Inflate3,Inflate4,Inflate5,Inflate6,Inflate1,Inflate8),3),4)," ")</f>
        <v xml:space="preserve"> </v>
      </c>
      <c r="K44" s="265" t="str">
        <f>IF(AND(A44&lt;&gt;" ",Sheet1!D$192=1,Sheet1!D$195=1),ROUND((F44/I44)*J44,Sheet1!D$75),IF(AND(A44&lt;&gt;" ",Sheet1!D$195=1),ROUND((E44/I44)*J44,Sheet1!D$75)," "))</f>
        <v xml:space="preserve"> </v>
      </c>
      <c r="L44" s="254" t="str">
        <f>IF(Sheet1!D$192=1,IF(AND(AA44&gt;AJ$61,AA43&lt;=AJ$61),"&lt;-Payback"," ")," ")</f>
        <v xml:space="preserve"> </v>
      </c>
      <c r="M44" s="271" t="str">
        <f>IF(OR(Sheet1!D$192=1,Sheet1!D$195=1),IF(OR((A43&gt;=(Sheet1!D$148+$A$11)-1),AND(Sheet1!D$8=3,A43&gt;=6))," ",A43+1),NA())</f>
        <v xml:space="preserve"> </v>
      </c>
      <c r="N44" s="271" t="str">
        <f>IF(OR(Sheet1!D$192=1,Sheet1!D$195=1),IF(OR((B43&gt;=(Sheet1!D$148+$B$11)-1),AND(Sheet1!D$8=3,A43&gt;=6))," ",B43+1),NA())</f>
        <v xml:space="preserve"> </v>
      </c>
      <c r="O44" s="266" t="e">
        <f>IF(AND(Sheet1!D$8=3,M44=" ")," ",IF(OR(Sheet1!D$192=1,Sheet1!D$195=1),IF(O43&gt;0,IF(AND(OR(Sheet1!D$8=2,Sheet1!D$22=3),O43&gt;=10)," ",O43+1),IF(NOT(Sheet1!D$192=1),0,IF(ROUND(VLOOKUP(A44,StatusQuo!A$19:M$68,13),Sheet1!D$75)-ROUND(VLOOKUP(A44,AlternativeC!A$110:M$159,13),Sheet1!D$75)&gt;0,1,0)))," "))</f>
        <v>#VALUE!</v>
      </c>
      <c r="P44" s="263" t="str">
        <f>IF(AND(A44&lt;&gt;" ",Sheet1!D$192=1,Sheet1!D$195=1),IF(AND(OR(Sheet1!D$8=2,Sheet1!D$22=3),O44&gt;10),0,ROUND(VLOOKUP(A44,StatusQuo!A$19:M$68,13),Sheet1!D$75)),IF(NOT(Sheet1!D$192=1),"not feasible",IF(A44=" "," ", "Savings is  n/a=&gt;")))</f>
        <v xml:space="preserve"> </v>
      </c>
      <c r="Q44" s="263" t="str">
        <f>IF(AND(A44&lt;&gt;" ",Sheet1!D$192=1,Sheet1!D$195=1),IF(AND(OR(Sheet1!D$8=2,Sheet1!D$22=3),O44&gt;10),0,ROUND(VLOOKUP(A44,AlternativeC!A$110:M$159,13),Sheet1!D$75)),IF(NOT(Sheet1!D$195=1),"not feasible",IF(A44=" "," ","&lt;== Savings is n/a")))</f>
        <v>not feasible</v>
      </c>
      <c r="R44" s="263" t="str">
        <f>IF(AND(A44&lt;&gt;" ",Sheet1!D$192=1,Sheet1!D$195=1),IF(G$81&lt;&gt;" ","??????? ",P44-Q44)," ")</f>
        <v xml:space="preserve"> </v>
      </c>
      <c r="S44" s="263" t="str">
        <f>IF(AND(A44&lt;&gt;" ",Sheet1!D$192=1,Sheet1!D$195=1),ROUND(R44*G44,Sheet1!D$75)," ")</f>
        <v xml:space="preserve"> </v>
      </c>
      <c r="T44" s="263" t="str">
        <f>IF(AND(A44&lt;&gt;" ",Sheet1!D$192=1,Sheet1!D$195=1),ROUND((R44/I44)*J44,Sheet1!D$75)," ")</f>
        <v xml:space="preserve"> </v>
      </c>
      <c r="U44" s="265">
        <f>SUM(T$11:T44)</f>
        <v>0</v>
      </c>
      <c r="V44" s="254" t="str">
        <f t="shared" si="0"/>
        <v xml:space="preserve"> </v>
      </c>
      <c r="W44" s="268"/>
      <c r="AA44" s="260"/>
      <c r="AB44" s="271" t="str">
        <f>IF(OR(Sheet1!D$192=1,Sheet1!D$195=1),IF(OR((AB43&gt;=(Sheet1!D$148+$A$11)-1),AND(Sheet1!D$8=3,AB43&gt;=6))," ",AB43+1),NA())</f>
        <v xml:space="preserve"> </v>
      </c>
      <c r="AC44" s="271" t="str">
        <f>IF(OR(Sheet1!D$192=1,Sheet1!D$195=1),IF(OR((AC43&gt;=(Sheet1!D$148+$B$11)-1),AND(Sheet1!D$8=3,AB43&gt;=6))," ",AC43+1),NA())</f>
        <v xml:space="preserve"> </v>
      </c>
      <c r="AD44" s="272"/>
      <c r="AE44" s="263" t="str">
        <f>IF(AND(Sheet1!D$195=1,AB44&lt;&gt;" "),ROUND(VLOOKUP(AB44,AlternativeC!A$17:M$66,12),Sheet1!D$75),IF(Sheet1!D$195=1," ","Alt  'C'  not feasible"))</f>
        <v>Alt  'C'  not feasible</v>
      </c>
      <c r="AF44" s="264" t="str">
        <f>IF(AB44&lt;=Sheet1!D$148, (1/((1+AF$10)^(AB44-0.5)))," ")</f>
        <v xml:space="preserve"> </v>
      </c>
      <c r="AG44" s="263" t="str">
        <f>IF(AND(Sheet1!D$195=1,AB44&lt;&gt;" "),ROUND(+AE44*AF44,Sheet1!D$75)," ")</f>
        <v xml:space="preserve"> </v>
      </c>
      <c r="AH44" s="264" t="str">
        <f>IF(AB44&lt;&gt;" ",ROUND(VLOOKUP(Sheet1!E$82,CHOOSE(Sheet1!D$214,Inflate1,Inflate2,Inflate3,Inflate4,Inflate5,Inflate6,Inflate7,Inflate8),2),4)," ")</f>
        <v xml:space="preserve"> </v>
      </c>
      <c r="AI44" s="264" t="str">
        <f>IF(AB44&lt;&gt;" ",ROUND(VLOOKUP(AC44,CHOOSE(Sheet1!D$214,Inflate1,Inflate2,Inflate3,Inflate4,Inflate5,Inflate6,Inflate7,Inflate8),3),4)," ")</f>
        <v xml:space="preserve"> </v>
      </c>
      <c r="AJ44" s="263" t="b">
        <f>IF(AND(Sheet1!D$195=1,AB44&lt;&gt;" "),IF(AND(O44&lt;=10,OR(Sheet1!D$8=2,Sheet1!D$8=3,Sheet1!D$22=3)),ROUND((AE44/AH44)*AI44,Sheet1!D$75),IF(AND(Sheet1!D$8&lt;&gt;2,Sheet1!D$8&lt;&gt;3,Sheet1!D$22&lt;&gt;3),ROUND((AE44/AH44)*AI44,Sheet1!D$75)," ")))</f>
        <v>0</v>
      </c>
    </row>
    <row r="45" spans="1:36" ht="12" customHeight="1" x14ac:dyDescent="0.2">
      <c r="A45" s="271" t="str">
        <f>IF(OR(Sheet1!D$192=1,Sheet1!D$195=1),IF(OR((A44&gt;=(Sheet1!D$148+$A$11)-1),AND(Sheet1!D$8=3,A44&gt;=6))," ",A44+1),NA())</f>
        <v xml:space="preserve"> </v>
      </c>
      <c r="B45" s="271" t="str">
        <f>IF(OR(Sheet1!D$192=1,Sheet1!D$195=1),IF(OR((B44&gt;=(Sheet1!D$148+$B$11)-1),AND(Sheet1!D$8=3,A44&gt;=6))," ",B44+1),NA())</f>
        <v xml:space="preserve"> </v>
      </c>
      <c r="C45" s="262"/>
      <c r="D45" s="263" t="str">
        <f>IF(AND(Sheet1!D$192=1,A45&lt;&gt;" "),ROUND(VLOOKUP(A45,StatusQuo!A$19:M$68,12),Sheet1!D$75),IF(Sheet1!D$192=1," ","SQ not feasible "))</f>
        <v xml:space="preserve"> </v>
      </c>
      <c r="E45" s="263" t="str">
        <f>IF(AND(Sheet1!D$195=1,A45&lt;&gt;" "),ROUND(VLOOKUP(A45,AlternativeC!A$110:M$159,12),Sheet1!D$75),IF(Sheet1!D$195=1," ","Alt  'C'  not feasible"))</f>
        <v>Alt  'C'  not feasible</v>
      </c>
      <c r="F45" s="263" t="str">
        <f>IF(AND(A45&lt;&gt;" ",Sheet1!D$192=1,Sheet1!D$195=1),D45-E45,IF(AND(Sheet1!D$195=1,A45&lt;&gt;" ")," "," "))</f>
        <v xml:space="preserve"> </v>
      </c>
      <c r="G45" s="264" t="str">
        <f>IF(A45&lt;=Sheet1!D$148, (1/((1+G10)^(A45-0.5)))," ")</f>
        <v xml:space="preserve"> </v>
      </c>
      <c r="H45" s="263" t="str">
        <f>IF(AND(A45&lt;&gt;" ",Sheet1!D$192=1,Sheet1!D$195=1),ROUND(F45*G45,Sheet1!D$75),IF(AND(A45&lt;&gt;" ",Sheet1!D$195=1),ROUND(E45*G45,Sheet1!D$75)," "))</f>
        <v xml:space="preserve"> </v>
      </c>
      <c r="I45" s="264" t="str">
        <f>IF(A45&lt;&gt;" ",ROUND(VLOOKUP(Sheet1!E$82,CHOOSE(Sheet1!D$234,Inflate7,Inflate2,Inflate3,Inflate4,Inflate5,Inflate6,Inflate1,Inflate8),2),4)," ")</f>
        <v xml:space="preserve"> </v>
      </c>
      <c r="J45" s="264" t="str">
        <f>IF(A45&lt;&gt;" ",ROUND(VLOOKUP(B45,CHOOSE(Sheet1!D$234,Inflate7,Inflate2,Inflate3,Inflate4,Inflate5,Inflate6,Inflate1,Inflate8),3),4)," ")</f>
        <v xml:space="preserve"> </v>
      </c>
      <c r="K45" s="265" t="str">
        <f>IF(AND(A45&lt;&gt;" ",Sheet1!D$192=1,Sheet1!D$195=1),ROUND((F45/I45)*J45,Sheet1!D$75),IF(AND(A45&lt;&gt;" ",Sheet1!D$195=1),ROUND((E45/I45)*J45,Sheet1!D$75)," "))</f>
        <v xml:space="preserve"> </v>
      </c>
      <c r="L45" s="254" t="str">
        <f>IF(Sheet1!D$192=1,IF(AND(AA45&gt;AJ$61,AA44&lt;=AJ$61),"&lt;-Payback"," ")," ")</f>
        <v xml:space="preserve"> </v>
      </c>
      <c r="M45" s="271" t="str">
        <f>IF(OR(Sheet1!D$192=1,Sheet1!D$195=1),IF(OR((A44&gt;=(Sheet1!D$148+$A$11)-1),AND(Sheet1!D$8=3,A44&gt;=6))," ",A44+1),NA())</f>
        <v xml:space="preserve"> </v>
      </c>
      <c r="N45" s="271" t="str">
        <f>IF(OR(Sheet1!D$192=1,Sheet1!D$195=1),IF(OR((B44&gt;=(Sheet1!D$148+$B$11)-1),AND(Sheet1!D$8=3,A44&gt;=6))," ",B44+1),NA())</f>
        <v xml:space="preserve"> </v>
      </c>
      <c r="O45" s="266" t="e">
        <f>IF(AND(Sheet1!D$8=3,M45=" ")," ",IF(OR(Sheet1!D$192=1,Sheet1!D$195=1),IF(O44&gt;0,IF(AND(OR(Sheet1!D$8=2,Sheet1!D$22=3),O44&gt;=10)," ",O44+1),IF(NOT(Sheet1!D$192=1),0,IF(ROUND(VLOOKUP(A45,StatusQuo!A$19:M$68,13),Sheet1!D$75)-ROUND(VLOOKUP(A45,AlternativeC!A$110:M$159,13),Sheet1!D$75)&gt;0,1,0)))," "))</f>
        <v>#VALUE!</v>
      </c>
      <c r="P45" s="263" t="str">
        <f>IF(AND(A45&lt;&gt;" ",Sheet1!D$192=1,Sheet1!D$195=1),IF(AND(OR(Sheet1!D$8=2,Sheet1!D$22=3),O45&gt;10),0,ROUND(VLOOKUP(A45,StatusQuo!A$19:M$68,13),Sheet1!D$75)),IF(NOT(Sheet1!D$192=1),"not feasible",IF(A45=" "," ", "Savings is  n/a=&gt;")))</f>
        <v xml:space="preserve"> </v>
      </c>
      <c r="Q45" s="263" t="str">
        <f>IF(AND(A45&lt;&gt;" ",Sheet1!D$192=1,Sheet1!D$195=1),IF(AND(OR(Sheet1!D$8=2,Sheet1!D$22=3),O45&gt;10),0,ROUND(VLOOKUP(A45,AlternativeC!A$110:M$159,13),Sheet1!D$75)),IF(NOT(Sheet1!D$195=1),"not feasible",IF(A45=" "," ","&lt;== Savings is n/a")))</f>
        <v>not feasible</v>
      </c>
      <c r="R45" s="263" t="str">
        <f>IF(AND(A45&lt;&gt;" ",Sheet1!D$192=1,Sheet1!D$195=1),IF(G$81&lt;&gt;" ","??????? ",P45-Q45)," ")</f>
        <v xml:space="preserve"> </v>
      </c>
      <c r="S45" s="263" t="str">
        <f>IF(AND(A45&lt;&gt;" ",Sheet1!D$192=1,Sheet1!D$195=1),ROUND(R45*G45,Sheet1!D$75)," ")</f>
        <v xml:space="preserve"> </v>
      </c>
      <c r="T45" s="263" t="str">
        <f>IF(AND(A45&lt;&gt;" ",Sheet1!D$192=1,Sheet1!D$195=1),ROUND((R45/I45)*J45,Sheet1!D$75)," ")</f>
        <v xml:space="preserve"> </v>
      </c>
      <c r="U45" s="265">
        <f>SUM(T$11:T45)</f>
        <v>0</v>
      </c>
      <c r="V45" s="254" t="str">
        <f t="shared" si="0"/>
        <v xml:space="preserve"> </v>
      </c>
      <c r="W45" s="268"/>
      <c r="AA45" s="260"/>
      <c r="AB45" s="271" t="str">
        <f>IF(OR(Sheet1!D$192=1,Sheet1!D$195=1),IF(OR((AB44&gt;=(Sheet1!D$148+$A$11)-1),AND(Sheet1!D$8=3,AB44&gt;=6))," ",AB44+1),NA())</f>
        <v xml:space="preserve"> </v>
      </c>
      <c r="AC45" s="271" t="str">
        <f>IF(OR(Sheet1!D$192=1,Sheet1!D$195=1),IF(OR((AC44&gt;=(Sheet1!D$148+$B$11)-1),AND(Sheet1!D$8=3,AB44&gt;=6))," ",AC44+1),NA())</f>
        <v xml:space="preserve"> </v>
      </c>
      <c r="AD45" s="272"/>
      <c r="AE45" s="263" t="str">
        <f>IF(AND(Sheet1!D$195=1,AB45&lt;&gt;" "),ROUND(VLOOKUP(AB45,AlternativeC!A$17:M$66,12),Sheet1!D$75),IF(Sheet1!D$195=1," ","Alt  'C'  not feasible"))</f>
        <v>Alt  'C'  not feasible</v>
      </c>
      <c r="AF45" s="264" t="str">
        <f>IF(AB45&lt;=Sheet1!D$148, (1/((1+AF$10)^(AB45-0.5)))," ")</f>
        <v xml:space="preserve"> </v>
      </c>
      <c r="AG45" s="263" t="str">
        <f>IF(AND(Sheet1!D$195=1,AB45&lt;&gt;" "),ROUND(+AE45*AF45,Sheet1!D$75)," ")</f>
        <v xml:space="preserve"> </v>
      </c>
      <c r="AH45" s="264" t="str">
        <f>IF(AB45&lt;&gt;" ",ROUND(VLOOKUP(Sheet1!E$82,CHOOSE(Sheet1!D$214,Inflate1,Inflate2,Inflate3,Inflate4,Inflate5,Inflate6,Inflate7,Inflate8),2),4)," ")</f>
        <v xml:space="preserve"> </v>
      </c>
      <c r="AI45" s="264" t="str">
        <f>IF(AB45&lt;&gt;" ",ROUND(VLOOKUP(AC45,CHOOSE(Sheet1!D$214,Inflate1,Inflate2,Inflate3,Inflate4,Inflate5,Inflate6,Inflate7,Inflate8),3),4)," ")</f>
        <v xml:space="preserve"> </v>
      </c>
      <c r="AJ45" s="263" t="b">
        <f>IF(AND(Sheet1!D$195=1,AB45&lt;&gt;" "),IF(AND(O45&lt;=10,OR(Sheet1!D$8=2,Sheet1!D$8=3,Sheet1!D$22=3)),ROUND((AE45/AH45)*AI45,Sheet1!D$75),IF(AND(Sheet1!D$8&lt;&gt;2,Sheet1!D$8&lt;&gt;3,Sheet1!D$22&lt;&gt;3),ROUND((AE45/AH45)*AI45,Sheet1!D$75)," ")))</f>
        <v>0</v>
      </c>
    </row>
    <row r="46" spans="1:36" ht="12" customHeight="1" x14ac:dyDescent="0.2">
      <c r="A46" s="271" t="str">
        <f>IF(OR(Sheet1!D$192=1,Sheet1!D$195=1),IF(OR((A45&gt;=(Sheet1!D$148+$A$11)-1),AND(Sheet1!D$8=3,A45&gt;=6))," ",A45+1),NA())</f>
        <v xml:space="preserve"> </v>
      </c>
      <c r="B46" s="271" t="str">
        <f>IF(OR(Sheet1!D$192=1,Sheet1!D$195=1),IF(OR((B45&gt;=(Sheet1!D$148+$B$11)-1),AND(Sheet1!D$8=3,A45&gt;=6))," ",B45+1),NA())</f>
        <v xml:space="preserve"> </v>
      </c>
      <c r="C46" s="262"/>
      <c r="D46" s="263" t="str">
        <f>IF(AND(Sheet1!D$192=1,A46&lt;&gt;" "),ROUND(VLOOKUP(A46,StatusQuo!A$19:M$68,12),Sheet1!D$75),IF(Sheet1!D$192=1," ","SQ not feasible "))</f>
        <v xml:space="preserve"> </v>
      </c>
      <c r="E46" s="263" t="str">
        <f>IF(AND(Sheet1!D$195=1,A46&lt;&gt;" "),ROUND(VLOOKUP(A46,AlternativeC!A$110:M$159,12),Sheet1!D$75),IF(Sheet1!D$195=1," ","Alt  'C'  not feasible"))</f>
        <v>Alt  'C'  not feasible</v>
      </c>
      <c r="F46" s="263" t="str">
        <f>IF(AND(A46&lt;&gt;" ",Sheet1!D$192=1,Sheet1!D$195=1),D46-E46,IF(AND(Sheet1!D$195=1,A46&lt;&gt;" ")," "," "))</f>
        <v xml:space="preserve"> </v>
      </c>
      <c r="G46" s="264" t="str">
        <f>IF(A46&lt;=Sheet1!D$148, (1/((1+G10)^(A46-0.5)))," ")</f>
        <v xml:space="preserve"> </v>
      </c>
      <c r="H46" s="263" t="str">
        <f>IF(AND(A46&lt;&gt;" ",Sheet1!D$192=1,Sheet1!D$195=1),ROUND(F46*G46,Sheet1!D$75),IF(AND(A46&lt;&gt;" ",Sheet1!D$195=1),ROUND(E46*G46,Sheet1!D$75)," "))</f>
        <v xml:space="preserve"> </v>
      </c>
      <c r="I46" s="264" t="str">
        <f>IF(A46&lt;&gt;" ",ROUND(VLOOKUP(Sheet1!E$82,CHOOSE(Sheet1!D$234,Inflate7,Inflate2,Inflate3,Inflate4,Inflate5,Inflate6,Inflate1,Inflate8),2),4)," ")</f>
        <v xml:space="preserve"> </v>
      </c>
      <c r="J46" s="264" t="str">
        <f>IF(A46&lt;&gt;" ",ROUND(VLOOKUP(B46,CHOOSE(Sheet1!D$234,Inflate7,Inflate2,Inflate3,Inflate4,Inflate5,Inflate6,Inflate1,Inflate8),3),4)," ")</f>
        <v xml:space="preserve"> </v>
      </c>
      <c r="K46" s="265" t="str">
        <f>IF(AND(A46&lt;&gt;" ",Sheet1!D$192=1,Sheet1!D$195=1),ROUND((F46/I46)*J46,Sheet1!D$75),IF(AND(A46&lt;&gt;" ",Sheet1!D$195=1),ROUND((E46/I46)*J46,Sheet1!D$75)," "))</f>
        <v xml:space="preserve"> </v>
      </c>
      <c r="L46" s="254" t="str">
        <f>IF(Sheet1!D$192=1,IF(AND(AA46&gt;AJ$61,AA45&lt;=AJ$61),"&lt;-Payback"," ")," ")</f>
        <v xml:space="preserve"> </v>
      </c>
      <c r="M46" s="271" t="str">
        <f>IF(OR(Sheet1!D$192=1,Sheet1!D$195=1),IF(OR((A45&gt;=(Sheet1!D$148+$A$11)-1),AND(Sheet1!D$8=3,A45&gt;=6))," ",A45+1),NA())</f>
        <v xml:space="preserve"> </v>
      </c>
      <c r="N46" s="271" t="str">
        <f>IF(OR(Sheet1!D$192=1,Sheet1!D$195=1),IF(OR((B45&gt;=(Sheet1!D$148+$B$11)-1),AND(Sheet1!D$8=3,A45&gt;=6))," ",B45+1),NA())</f>
        <v xml:space="preserve"> </v>
      </c>
      <c r="O46" s="266" t="e">
        <f>IF(AND(Sheet1!D$8=3,M46=" ")," ",IF(OR(Sheet1!D$192=1,Sheet1!D$195=1),IF(O45&gt;0,IF(AND(OR(Sheet1!D$8=2,Sheet1!D$22=3),O45&gt;=10)," ",O45+1),IF(NOT(Sheet1!D$192=1),0,IF(ROUND(VLOOKUP(A46,StatusQuo!A$19:M$68,13),Sheet1!D$75)-ROUND(VLOOKUP(A46,AlternativeC!A$110:M$159,13),Sheet1!D$75)&gt;0,1,0)))," "))</f>
        <v>#VALUE!</v>
      </c>
      <c r="P46" s="263" t="str">
        <f>IF(AND(A46&lt;&gt;" ",Sheet1!D$192=1,Sheet1!D$195=1),IF(AND(OR(Sheet1!D$8=2,Sheet1!D$22=3),O46&gt;10),0,ROUND(VLOOKUP(A46,StatusQuo!A$19:M$68,13),Sheet1!D$75)),IF(NOT(Sheet1!D$192=1),"not feasible",IF(A46=" "," ", "Savings is  n/a=&gt;")))</f>
        <v xml:space="preserve"> </v>
      </c>
      <c r="Q46" s="263" t="str">
        <f>IF(AND(A46&lt;&gt;" ",Sheet1!D$192=1,Sheet1!D$195=1),IF(AND(OR(Sheet1!D$8=2,Sheet1!D$22=3),O46&gt;10),0,ROUND(VLOOKUP(A46,AlternativeC!A$110:M$159,13),Sheet1!D$75)),IF(NOT(Sheet1!D$195=1),"not feasible",IF(A46=" "," ","&lt;== Savings is n/a")))</f>
        <v>not feasible</v>
      </c>
      <c r="R46" s="263" t="str">
        <f>IF(AND(A46&lt;&gt;" ",Sheet1!D$192=1,Sheet1!D$195=1),IF(G$81&lt;&gt;" ","??????? ",P46-Q46)," ")</f>
        <v xml:space="preserve"> </v>
      </c>
      <c r="S46" s="263" t="str">
        <f>IF(AND(A46&lt;&gt;" ",Sheet1!D$192=1,Sheet1!D$195=1),ROUND(R46*G46,Sheet1!D$75)," ")</f>
        <v xml:space="preserve"> </v>
      </c>
      <c r="T46" s="263" t="str">
        <f>IF(AND(A46&lt;&gt;" ",Sheet1!D$192=1,Sheet1!D$195=1),ROUND((R46/I46)*J46,Sheet1!D$75)," ")</f>
        <v xml:space="preserve"> </v>
      </c>
      <c r="U46" s="265">
        <f>SUM(T$11:T46)</f>
        <v>0</v>
      </c>
      <c r="V46" s="254" t="str">
        <f t="shared" si="0"/>
        <v xml:space="preserve"> </v>
      </c>
      <c r="W46" s="268"/>
      <c r="AA46" s="260"/>
      <c r="AB46" s="271" t="str">
        <f>IF(OR(Sheet1!D$192=1,Sheet1!D$195=1),IF(OR((AB45&gt;=(Sheet1!D$148+$A$11)-1),AND(Sheet1!D$8=3,AB45&gt;=6))," ",AB45+1),NA())</f>
        <v xml:space="preserve"> </v>
      </c>
      <c r="AC46" s="271" t="str">
        <f>IF(OR(Sheet1!D$192=1,Sheet1!D$195=1),IF(OR((AC45&gt;=(Sheet1!D$148+$B$11)-1),AND(Sheet1!D$8=3,AB45&gt;=6))," ",AC45+1),NA())</f>
        <v xml:space="preserve"> </v>
      </c>
      <c r="AD46" s="272"/>
      <c r="AE46" s="263" t="str">
        <f>IF(AND(Sheet1!D$195=1,AB46&lt;&gt;" "),ROUND(VLOOKUP(AB46,AlternativeC!A$17:M$66,12),Sheet1!D$75),IF(Sheet1!D$195=1," ","Alt  'C'  not feasible"))</f>
        <v>Alt  'C'  not feasible</v>
      </c>
      <c r="AF46" s="264" t="str">
        <f>IF(AB46&lt;=Sheet1!D$148, (1/((1+AF$10)^(AB46-0.5)))," ")</f>
        <v xml:space="preserve"> </v>
      </c>
      <c r="AG46" s="263" t="str">
        <f>IF(AND(Sheet1!D$195=1,AB46&lt;&gt;" "),ROUND(+AE46*AF46,Sheet1!D$75)," ")</f>
        <v xml:space="preserve"> </v>
      </c>
      <c r="AH46" s="264" t="str">
        <f>IF(AB46&lt;&gt;" ",ROUND(VLOOKUP(Sheet1!E$82,CHOOSE(Sheet1!D$214,Inflate1,Inflate2,Inflate3,Inflate4,Inflate5,Inflate6,Inflate7,Inflate8),2),4)," ")</f>
        <v xml:space="preserve"> </v>
      </c>
      <c r="AI46" s="264" t="str">
        <f>IF(AB46&lt;&gt;" ",ROUND(VLOOKUP(AC46,CHOOSE(Sheet1!D$214,Inflate1,Inflate2,Inflate3,Inflate4,Inflate5,Inflate6,Inflate7,Inflate8),3),4)," ")</f>
        <v xml:space="preserve"> </v>
      </c>
      <c r="AJ46" s="263" t="b">
        <f>IF(AND(Sheet1!D$195=1,AB46&lt;&gt;" "),IF(AND(O46&lt;=10,OR(Sheet1!D$8=2,Sheet1!D$8=3,Sheet1!D$22=3)),ROUND((AE46/AH46)*AI46,Sheet1!D$75),IF(AND(Sheet1!D$8&lt;&gt;2,Sheet1!D$8&lt;&gt;3,Sheet1!D$22&lt;&gt;3),ROUND((AE46/AH46)*AI46,Sheet1!D$75)," ")))</f>
        <v>0</v>
      </c>
    </row>
    <row r="47" spans="1:36" ht="12" customHeight="1" x14ac:dyDescent="0.2">
      <c r="A47" s="271" t="str">
        <f>IF(OR(Sheet1!D$192=1,Sheet1!D$195=1),IF(OR((A46&gt;=(Sheet1!D$148+$A$11)-1),AND(Sheet1!D$8=3,A46&gt;=6))," ",A46+1),NA())</f>
        <v xml:space="preserve"> </v>
      </c>
      <c r="B47" s="271" t="str">
        <f>IF(OR(Sheet1!D$192=1,Sheet1!D$195=1),IF(OR((B46&gt;=(Sheet1!D$148+$B$11)-1),AND(Sheet1!D$8=3,A46&gt;=6))," ",B46+1),NA())</f>
        <v xml:space="preserve"> </v>
      </c>
      <c r="C47" s="262"/>
      <c r="D47" s="263" t="str">
        <f>IF(AND(Sheet1!D$192=1,A47&lt;&gt;" "),ROUND(VLOOKUP(A47,StatusQuo!A$19:M$68,12),Sheet1!D$75),IF(Sheet1!D$192=1," ","SQ not feasible "))</f>
        <v xml:space="preserve"> </v>
      </c>
      <c r="E47" s="263" t="str">
        <f>IF(AND(Sheet1!D$195=1,A47&lt;&gt;" "),ROUND(VLOOKUP(A47,AlternativeC!A$110:M$159,12),Sheet1!D$75),IF(Sheet1!D$195=1," ","Alt  'C'  not feasible"))</f>
        <v>Alt  'C'  not feasible</v>
      </c>
      <c r="F47" s="263" t="str">
        <f>IF(AND(A47&lt;&gt;" ",Sheet1!D$192=1,Sheet1!D$195=1),D47-E47,IF(AND(Sheet1!D$195=1,A47&lt;&gt;" ")," "," "))</f>
        <v xml:space="preserve"> </v>
      </c>
      <c r="G47" s="264" t="str">
        <f>IF(A47&lt;=Sheet1!D$148, (1/((1+G10)^(A47-0.5)))," ")</f>
        <v xml:space="preserve"> </v>
      </c>
      <c r="H47" s="263" t="str">
        <f>IF(AND(A47&lt;&gt;" ",Sheet1!D$192=1,Sheet1!D$195=1),ROUND(F47*G47,Sheet1!D$75),IF(AND(A47&lt;&gt;" ",Sheet1!D$195=1),ROUND(E47*G47,Sheet1!D$75)," "))</f>
        <v xml:space="preserve"> </v>
      </c>
      <c r="I47" s="264" t="str">
        <f>IF(A47&lt;&gt;" ",ROUND(VLOOKUP(Sheet1!E$82,CHOOSE(Sheet1!D$234,Inflate7,Inflate2,Inflate3,Inflate4,Inflate5,Inflate6,Inflate1,Inflate8),2),4)," ")</f>
        <v xml:space="preserve"> </v>
      </c>
      <c r="J47" s="264" t="str">
        <f>IF(A47&lt;&gt;" ",ROUND(VLOOKUP(B47,CHOOSE(Sheet1!D$234,Inflate7,Inflate2,Inflate3,Inflate4,Inflate5,Inflate6,Inflate1,Inflate8),3),4)," ")</f>
        <v xml:space="preserve"> </v>
      </c>
      <c r="K47" s="265" t="str">
        <f>IF(AND(A47&lt;&gt;" ",Sheet1!D$192=1,Sheet1!D$195=1),ROUND((F47/I47)*J47,Sheet1!D$75),IF(AND(A47&lt;&gt;" ",Sheet1!D$195=1),ROUND((E47/I47)*J47,Sheet1!D$75)," "))</f>
        <v xml:space="preserve"> </v>
      </c>
      <c r="L47" s="254" t="str">
        <f>IF(Sheet1!D$192=1,IF(AND(AA47&gt;AJ$61,AA46&lt;=AJ$61),"&lt;-Payback"," ")," ")</f>
        <v xml:space="preserve"> </v>
      </c>
      <c r="M47" s="271" t="str">
        <f>IF(OR(Sheet1!D$192=1,Sheet1!D$195=1),IF(OR((A46&gt;=(Sheet1!D$148+$A$11)-1),AND(Sheet1!D$8=3,A46&gt;=6))," ",A46+1),NA())</f>
        <v xml:space="preserve"> </v>
      </c>
      <c r="N47" s="271" t="str">
        <f>IF(OR(Sheet1!D$192=1,Sheet1!D$195=1),IF(OR((B46&gt;=(Sheet1!D$148+$B$11)-1),AND(Sheet1!D$8=3,A46&gt;=6))," ",B46+1),NA())</f>
        <v xml:space="preserve"> </v>
      </c>
      <c r="O47" s="266" t="e">
        <f>IF(AND(Sheet1!D$8=3,M47=" ")," ",IF(OR(Sheet1!D$192=1,Sheet1!D$195=1),IF(O46&gt;0,IF(AND(OR(Sheet1!D$8=2,Sheet1!D$22=3),O46&gt;=10)," ",O46+1),IF(NOT(Sheet1!D$192=1),0,IF(ROUND(VLOOKUP(A47,StatusQuo!A$19:M$68,13),Sheet1!D$75)-ROUND(VLOOKUP(A47,AlternativeC!A$110:M$159,13),Sheet1!D$75)&gt;0,1,0)))," "))</f>
        <v>#VALUE!</v>
      </c>
      <c r="P47" s="263" t="str">
        <f>IF(AND(A47&lt;&gt;" ",Sheet1!D$192=1,Sheet1!D$195=1),IF(AND(OR(Sheet1!D$8=2,Sheet1!D$22=3),O47&gt;10),0,ROUND(VLOOKUP(A47,StatusQuo!A$19:M$68,13),Sheet1!D$75)),IF(NOT(Sheet1!D$192=1),"not feasible",IF(A47=" "," ", "Savings is  n/a=&gt;")))</f>
        <v xml:space="preserve"> </v>
      </c>
      <c r="Q47" s="263" t="str">
        <f>IF(AND(A47&lt;&gt;" ",Sheet1!D$192=1,Sheet1!D$195=1),IF(AND(OR(Sheet1!D$8=2,Sheet1!D$22=3),O47&gt;10),0,ROUND(VLOOKUP(A47,AlternativeC!A$110:M$159,13),Sheet1!D$75)),IF(NOT(Sheet1!D$195=1),"not feasible",IF(A47=" "," ","&lt;== Savings is n/a")))</f>
        <v>not feasible</v>
      </c>
      <c r="R47" s="263" t="str">
        <f>IF(AND(A47&lt;&gt;" ",Sheet1!D$192=1,Sheet1!D$195=1),IF(G$81&lt;&gt;" ","??????? ",P47-Q47)," ")</f>
        <v xml:space="preserve"> </v>
      </c>
      <c r="S47" s="263" t="str">
        <f>IF(AND(A47&lt;&gt;" ",Sheet1!D$192=1,Sheet1!D$195=1),ROUND(R47*G47,Sheet1!D$75)," ")</f>
        <v xml:space="preserve"> </v>
      </c>
      <c r="T47" s="263" t="str">
        <f>IF(AND(A47&lt;&gt;" ",Sheet1!D$192=1,Sheet1!D$195=1),ROUND((R47/I47)*J47,Sheet1!D$75)," ")</f>
        <v xml:space="preserve"> </v>
      </c>
      <c r="U47" s="265">
        <f>SUM(T$11:T47)</f>
        <v>0</v>
      </c>
      <c r="V47" s="254" t="str">
        <f t="shared" si="0"/>
        <v xml:space="preserve"> </v>
      </c>
      <c r="W47" s="268"/>
      <c r="AA47" s="260"/>
      <c r="AB47" s="271" t="str">
        <f>IF(OR(Sheet1!D$192=1,Sheet1!D$195=1),IF(OR((AB46&gt;=(Sheet1!D$148+$A$11)-1),AND(Sheet1!D$8=3,AB46&gt;=6))," ",AB46+1),NA())</f>
        <v xml:space="preserve"> </v>
      </c>
      <c r="AC47" s="271" t="str">
        <f>IF(OR(Sheet1!D$192=1,Sheet1!D$195=1),IF(OR((AC46&gt;=(Sheet1!D$148+$B$11)-1),AND(Sheet1!D$8=3,AB46&gt;=6))," ",AC46+1),NA())</f>
        <v xml:space="preserve"> </v>
      </c>
      <c r="AD47" s="272"/>
      <c r="AE47" s="263" t="str">
        <f>IF(AND(Sheet1!D$195=1,AB47&lt;&gt;" "),ROUND(VLOOKUP(AB47,AlternativeC!A$17:M$66,12),Sheet1!D$75),IF(Sheet1!D$195=1," ","Alt  'C'  not feasible"))</f>
        <v>Alt  'C'  not feasible</v>
      </c>
      <c r="AF47" s="264" t="str">
        <f>IF(AB47&lt;=Sheet1!D$148, (1/((1+AF$10)^(AB47-0.5)))," ")</f>
        <v xml:space="preserve"> </v>
      </c>
      <c r="AG47" s="263" t="str">
        <f>IF(AND(Sheet1!D$195=1,AB47&lt;&gt;" "),ROUND(+AE47*AF47,Sheet1!D$75)," ")</f>
        <v xml:space="preserve"> </v>
      </c>
      <c r="AH47" s="264" t="str">
        <f>IF(AB47&lt;&gt;" ",ROUND(VLOOKUP(Sheet1!E$82,CHOOSE(Sheet1!D$214,Inflate1,Inflate2,Inflate3,Inflate4,Inflate5,Inflate6,Inflate7,Inflate8),2),4)," ")</f>
        <v xml:space="preserve"> </v>
      </c>
      <c r="AI47" s="264" t="str">
        <f>IF(AB47&lt;&gt;" ",ROUND(VLOOKUP(AC47,CHOOSE(Sheet1!D$214,Inflate1,Inflate2,Inflate3,Inflate4,Inflate5,Inflate6,Inflate7,Inflate8),3),4)," ")</f>
        <v xml:space="preserve"> </v>
      </c>
      <c r="AJ47" s="263" t="b">
        <f>IF(AND(Sheet1!D$195=1,AB47&lt;&gt;" "),IF(AND(O47&lt;=10,OR(Sheet1!D$8=2,Sheet1!D$8=3,Sheet1!D$22=3)),ROUND((AE47/AH47)*AI47,Sheet1!D$75),IF(AND(Sheet1!D$8&lt;&gt;2,Sheet1!D$8&lt;&gt;3,Sheet1!D$22&lt;&gt;3),ROUND((AE47/AH47)*AI47,Sheet1!D$75)," ")))</f>
        <v>0</v>
      </c>
    </row>
    <row r="48" spans="1:36" ht="12" customHeight="1" x14ac:dyDescent="0.2">
      <c r="A48" s="271" t="str">
        <f>IF(OR(Sheet1!D$192=1,Sheet1!D$195=1),IF(OR((A47&gt;=(Sheet1!D$148+$A$11)-1),AND(Sheet1!D$8=3,A47&gt;=6))," ",A47+1),NA())</f>
        <v xml:space="preserve"> </v>
      </c>
      <c r="B48" s="271" t="str">
        <f>IF(OR(Sheet1!D$192=1,Sheet1!D$195=1),IF(OR((B47&gt;=(Sheet1!D$148+$B$11)-1),AND(Sheet1!D$8=3,A47&gt;=6))," ",B47+1),NA())</f>
        <v xml:space="preserve"> </v>
      </c>
      <c r="C48" s="262"/>
      <c r="D48" s="263" t="str">
        <f>IF(AND(Sheet1!D$192=1,A48&lt;&gt;" "),ROUND(VLOOKUP(A48,StatusQuo!A$19:M$68,12),Sheet1!D$75),IF(Sheet1!D$192=1," ","SQ not feasible "))</f>
        <v xml:space="preserve"> </v>
      </c>
      <c r="E48" s="263" t="str">
        <f>IF(AND(Sheet1!D$195=1,A48&lt;&gt;" "),ROUND(VLOOKUP(A48,AlternativeC!A$110:M$159,12),Sheet1!D$75),IF(Sheet1!D$195=1," ","Alt  'C'  not feasible"))</f>
        <v>Alt  'C'  not feasible</v>
      </c>
      <c r="F48" s="263" t="str">
        <f>IF(AND(A48&lt;&gt;" ",Sheet1!D$192=1,Sheet1!D$195=1),D48-E48,IF(AND(Sheet1!D$195=1,A48&lt;&gt;" ")," "," "))</f>
        <v xml:space="preserve"> </v>
      </c>
      <c r="G48" s="264" t="str">
        <f>IF(A48&lt;=Sheet1!D$148, (1/((1+G10)^(A48-0.5)))," ")</f>
        <v xml:space="preserve"> </v>
      </c>
      <c r="H48" s="263" t="str">
        <f>IF(AND(A48&lt;&gt;" ",Sheet1!D$192=1,Sheet1!D$195=1),ROUND(F48*G48,Sheet1!D$75),IF(AND(A48&lt;&gt;" ",Sheet1!D$195=1),ROUND(E48*G48,Sheet1!D$75)," "))</f>
        <v xml:space="preserve"> </v>
      </c>
      <c r="I48" s="264" t="str">
        <f>IF(A48&lt;&gt;" ",ROUND(VLOOKUP(Sheet1!E$82,CHOOSE(Sheet1!D$234,Inflate7,Inflate2,Inflate3,Inflate4,Inflate5,Inflate6,Inflate1,Inflate8),2),4)," ")</f>
        <v xml:space="preserve"> </v>
      </c>
      <c r="J48" s="264" t="str">
        <f>IF(A48&lt;&gt;" ",ROUND(VLOOKUP(B48,CHOOSE(Sheet1!D$234,Inflate7,Inflate2,Inflate3,Inflate4,Inflate5,Inflate6,Inflate1,Inflate8),3),4)," ")</f>
        <v xml:space="preserve"> </v>
      </c>
      <c r="K48" s="265" t="str">
        <f>IF(AND(A48&lt;&gt;" ",Sheet1!D$192=1,Sheet1!D$195=1),ROUND((F48/I48)*J48,Sheet1!D$75),IF(AND(A48&lt;&gt;" ",Sheet1!D$195=1),ROUND((E48/I48)*J48,Sheet1!D$75)," "))</f>
        <v xml:space="preserve"> </v>
      </c>
      <c r="L48" s="254" t="str">
        <f>IF(Sheet1!D$192=1,IF(AND(AA48&gt;AJ$61,AA47&lt;=AJ$61),"&lt;-Payback"," ")," ")</f>
        <v xml:space="preserve"> </v>
      </c>
      <c r="M48" s="271" t="str">
        <f>IF(OR(Sheet1!D$192=1,Sheet1!D$195=1),IF(OR((A47&gt;=(Sheet1!D$148+$A$11)-1),AND(Sheet1!D$8=3,A47&gt;=6))," ",A47+1),NA())</f>
        <v xml:space="preserve"> </v>
      </c>
      <c r="N48" s="271" t="str">
        <f>IF(OR(Sheet1!D$192=1,Sheet1!D$195=1),IF(OR((B47&gt;=(Sheet1!D$148+$B$11)-1),AND(Sheet1!D$8=3,A47&gt;=6))," ",B47+1),NA())</f>
        <v xml:space="preserve"> </v>
      </c>
      <c r="O48" s="266" t="e">
        <f>IF(AND(Sheet1!D$8=3,M48=" ")," ",IF(OR(Sheet1!D$192=1,Sheet1!D$195=1),IF(O47&gt;0,IF(AND(OR(Sheet1!D$8=2,Sheet1!D$22=3),O47&gt;=10)," ",O47+1),IF(NOT(Sheet1!D$192=1),0,IF(ROUND(VLOOKUP(A48,StatusQuo!A$19:M$68,13),Sheet1!D$75)-ROUND(VLOOKUP(A48,AlternativeC!A$110:M$159,13),Sheet1!D$75)&gt;0,1,0)))," "))</f>
        <v>#VALUE!</v>
      </c>
      <c r="P48" s="263" t="str">
        <f>IF(AND(A48&lt;&gt;" ",Sheet1!D$192=1,Sheet1!D$195=1),IF(AND(OR(Sheet1!D$8=2,Sheet1!D$22=3),O48&gt;10),0,ROUND(VLOOKUP(A48,StatusQuo!A$19:M$68,13),Sheet1!D$75)),IF(NOT(Sheet1!D$192=1),"not feasible",IF(A48=" "," ", "Savings is  n/a=&gt;")))</f>
        <v xml:space="preserve"> </v>
      </c>
      <c r="Q48" s="263" t="str">
        <f>IF(AND(A48&lt;&gt;" ",Sheet1!D$192=1,Sheet1!D$195=1),IF(AND(OR(Sheet1!D$8=2,Sheet1!D$22=3),O48&gt;10),0,ROUND(VLOOKUP(A48,AlternativeC!A$110:M$159,13),Sheet1!D$75)),IF(NOT(Sheet1!D$195=1),"not feasible",IF(A48=" "," ","&lt;== Savings is n/a")))</f>
        <v>not feasible</v>
      </c>
      <c r="R48" s="263" t="str">
        <f>IF(AND(A48&lt;&gt;" ",Sheet1!D$192=1,Sheet1!D$195=1),IF(G$81&lt;&gt;" ","??????? ",P48-Q48)," ")</f>
        <v xml:space="preserve"> </v>
      </c>
      <c r="S48" s="263" t="str">
        <f>IF(AND(A48&lt;&gt;" ",Sheet1!D$192=1,Sheet1!D$195=1),ROUND(R48*G48,Sheet1!D$75)," ")</f>
        <v xml:space="preserve"> </v>
      </c>
      <c r="T48" s="263" t="str">
        <f>IF(AND(A48&lt;&gt;" ",Sheet1!D$192=1,Sheet1!D$195=1),ROUND((R48/I48)*J48,Sheet1!D$75)," ")</f>
        <v xml:space="preserve"> </v>
      </c>
      <c r="U48" s="265">
        <f>SUM(T$11:T48)</f>
        <v>0</v>
      </c>
      <c r="V48" s="254" t="str">
        <f t="shared" si="0"/>
        <v xml:space="preserve"> </v>
      </c>
      <c r="W48" s="268"/>
      <c r="AA48" s="260"/>
      <c r="AB48" s="271" t="str">
        <f>IF(OR(Sheet1!D$192=1,Sheet1!D$195=1),IF(OR((AB47&gt;=(Sheet1!D$148+$A$11)-1),AND(Sheet1!D$8=3,AB47&gt;=6))," ",AB47+1),NA())</f>
        <v xml:space="preserve"> </v>
      </c>
      <c r="AC48" s="271" t="str">
        <f>IF(OR(Sheet1!D$192=1,Sheet1!D$195=1),IF(OR((AC47&gt;=(Sheet1!D$148+$B$11)-1),AND(Sheet1!D$8=3,AB47&gt;=6))," ",AC47+1),NA())</f>
        <v xml:space="preserve"> </v>
      </c>
      <c r="AD48" s="272"/>
      <c r="AE48" s="263" t="str">
        <f>IF(AND(Sheet1!D$195=1,AB48&lt;&gt;" "),ROUND(VLOOKUP(AB48,AlternativeC!A$17:M$66,12),Sheet1!D$75),IF(Sheet1!D$195=1," ","Alt  'C'  not feasible"))</f>
        <v>Alt  'C'  not feasible</v>
      </c>
      <c r="AF48" s="264" t="str">
        <f>IF(AB48&lt;=Sheet1!D$148, (1/((1+AF$10)^(AB48-0.5)))," ")</f>
        <v xml:space="preserve"> </v>
      </c>
      <c r="AG48" s="263" t="str">
        <f>IF(AND(Sheet1!D$195=1,AB48&lt;&gt;" "),ROUND(+AE48*AF48,Sheet1!D$75)," ")</f>
        <v xml:space="preserve"> </v>
      </c>
      <c r="AH48" s="264" t="str">
        <f>IF(AB48&lt;&gt;" ",ROUND(VLOOKUP(Sheet1!E$82,CHOOSE(Sheet1!D$214,Inflate1,Inflate2,Inflate3,Inflate4,Inflate5,Inflate6,Inflate7,Inflate8),2),4)," ")</f>
        <v xml:space="preserve"> </v>
      </c>
      <c r="AI48" s="264" t="str">
        <f>IF(AB48&lt;&gt;" ",ROUND(VLOOKUP(AC48,CHOOSE(Sheet1!D$214,Inflate1,Inflate2,Inflate3,Inflate4,Inflate5,Inflate6,Inflate7,Inflate8),3),4)," ")</f>
        <v xml:space="preserve"> </v>
      </c>
      <c r="AJ48" s="263" t="b">
        <f>IF(AND(Sheet1!D$195=1,AB48&lt;&gt;" "),IF(AND(O48&lt;=10,OR(Sheet1!D$8=2,Sheet1!D$8=3,Sheet1!D$22=3)),ROUND((AE48/AH48)*AI48,Sheet1!D$75),IF(AND(Sheet1!D$8&lt;&gt;2,Sheet1!D$8&lt;&gt;3,Sheet1!D$22&lt;&gt;3),ROUND((AE48/AH48)*AI48,Sheet1!D$75)," ")))</f>
        <v>0</v>
      </c>
    </row>
    <row r="49" spans="1:36" ht="12" customHeight="1" x14ac:dyDescent="0.2">
      <c r="A49" s="271" t="str">
        <f>IF(OR(Sheet1!D$192=1,Sheet1!D$195=1),IF(OR((A48&gt;=(Sheet1!D$148+$A$11)-1),AND(Sheet1!D$8=3,A48&gt;=6))," ",A48+1),NA())</f>
        <v xml:space="preserve"> </v>
      </c>
      <c r="B49" s="271" t="str">
        <f>IF(OR(Sheet1!D$192=1,Sheet1!D$195=1),IF(OR((B48&gt;=(Sheet1!D$148+$B$11)-1),AND(Sheet1!D$8=3,A48&gt;=6))," ",B48+1),NA())</f>
        <v xml:space="preserve"> </v>
      </c>
      <c r="C49" s="262"/>
      <c r="D49" s="263" t="str">
        <f>IF(AND(Sheet1!D$192=1,A49&lt;&gt;" "),ROUND(VLOOKUP(A49,StatusQuo!A$19:M$68,12),Sheet1!D$75),IF(Sheet1!D$192=1," ","SQ not feasible "))</f>
        <v xml:space="preserve"> </v>
      </c>
      <c r="E49" s="263" t="str">
        <f>IF(AND(Sheet1!D$195=1,A49&lt;&gt;" "),ROUND(VLOOKUP(A49,AlternativeC!A$110:M$159,12),Sheet1!D$75),IF(Sheet1!D$195=1," ","Alt  'C'  not feasible"))</f>
        <v>Alt  'C'  not feasible</v>
      </c>
      <c r="F49" s="263" t="str">
        <f>IF(AND(A49&lt;&gt;" ",Sheet1!D$192=1,Sheet1!D$195=1),D49-E49,IF(AND(Sheet1!D$195=1,A49&lt;&gt;" ")," "," "))</f>
        <v xml:space="preserve"> </v>
      </c>
      <c r="G49" s="264" t="str">
        <f>IF(A49&lt;=Sheet1!D$148, (1/((1+G10)^(A49-0.5)))," ")</f>
        <v xml:space="preserve"> </v>
      </c>
      <c r="H49" s="263" t="str">
        <f>IF(AND(A49&lt;&gt;" ",Sheet1!D$192=1,Sheet1!D$195=1),ROUND(F49*G49,Sheet1!D$75),IF(AND(A49&lt;&gt;" ",Sheet1!D$195=1),ROUND(E49*G49,Sheet1!D$75)," "))</f>
        <v xml:space="preserve"> </v>
      </c>
      <c r="I49" s="264" t="str">
        <f>IF(A49&lt;&gt;" ",ROUND(VLOOKUP(Sheet1!E$82,CHOOSE(Sheet1!D$234,Inflate7,Inflate2,Inflate3,Inflate4,Inflate5,Inflate6,Inflate1,Inflate8),2),4)," ")</f>
        <v xml:space="preserve"> </v>
      </c>
      <c r="J49" s="264" t="str">
        <f>IF(A49&lt;&gt;" ",ROUND(VLOOKUP(B49,CHOOSE(Sheet1!D$234,Inflate7,Inflate2,Inflate3,Inflate4,Inflate5,Inflate6,Inflate1,Inflate8),3),4)," ")</f>
        <v xml:space="preserve"> </v>
      </c>
      <c r="K49" s="265" t="str">
        <f>IF(AND(A49&lt;&gt;" ",Sheet1!D$192=1,Sheet1!D$195=1),ROUND((F49/I49)*J49,Sheet1!D$75),IF(AND(A49&lt;&gt;" ",Sheet1!D$195=1),ROUND((E49/I49)*J49,Sheet1!D$75)," "))</f>
        <v xml:space="preserve"> </v>
      </c>
      <c r="L49" s="254" t="str">
        <f>IF(Sheet1!D$192=1,IF(AND(AA49&gt;AJ$61,AA48&lt;=AJ$61),"&lt;-Payback"," ")," ")</f>
        <v xml:space="preserve"> </v>
      </c>
      <c r="M49" s="271" t="str">
        <f>IF(OR(Sheet1!D$192=1,Sheet1!D$195=1),IF(OR((A48&gt;=(Sheet1!D$148+$A$11)-1),AND(Sheet1!D$8=3,A48&gt;=6))," ",A48+1),NA())</f>
        <v xml:space="preserve"> </v>
      </c>
      <c r="N49" s="271" t="str">
        <f>IF(OR(Sheet1!D$192=1,Sheet1!D$195=1),IF(OR((B48&gt;=(Sheet1!D$148+$B$11)-1),AND(Sheet1!D$8=3,A48&gt;=6))," ",B48+1),NA())</f>
        <v xml:space="preserve"> </v>
      </c>
      <c r="O49" s="266" t="e">
        <f>IF(AND(Sheet1!D$8=3,M49=" ")," ",IF(OR(Sheet1!D$192=1,Sheet1!D$195=1),IF(O48&gt;0,IF(AND(OR(Sheet1!D$8=2,Sheet1!D$22=3),O48&gt;=10)," ",O48+1),IF(NOT(Sheet1!D$192=1),0,IF(ROUND(VLOOKUP(A49,StatusQuo!A$19:M$68,13),Sheet1!D$75)-ROUND(VLOOKUP(A49,AlternativeC!A$110:M$159,13),Sheet1!D$75)&gt;0,1,0)))," "))</f>
        <v>#VALUE!</v>
      </c>
      <c r="P49" s="263" t="str">
        <f>IF(AND(A49&lt;&gt;" ",Sheet1!D$192=1,Sheet1!D$195=1),IF(AND(OR(Sheet1!D$8=2,Sheet1!D$22=3),O49&gt;10),0,ROUND(VLOOKUP(A49,StatusQuo!A$19:M$68,13),Sheet1!D$75)),IF(NOT(Sheet1!D$192=1),"not feasible",IF(A49=" "," ", "Savings is  n/a=&gt;")))</f>
        <v xml:space="preserve"> </v>
      </c>
      <c r="Q49" s="263" t="str">
        <f>IF(AND(A49&lt;&gt;" ",Sheet1!D$192=1,Sheet1!D$195=1),IF(AND(OR(Sheet1!D$8=2,Sheet1!D$22=3),O49&gt;10),0,ROUND(VLOOKUP(A49,AlternativeC!A$110:M$159,13),Sheet1!D$75)),IF(NOT(Sheet1!D$195=1),"not feasible",IF(A49=" "," ","&lt;== Savings is n/a")))</f>
        <v>not feasible</v>
      </c>
      <c r="R49" s="263" t="str">
        <f>IF(AND(A49&lt;&gt;" ",Sheet1!D$192=1,Sheet1!D$195=1),IF(G$81&lt;&gt;" ","??????? ",P49-Q49)," ")</f>
        <v xml:space="preserve"> </v>
      </c>
      <c r="S49" s="263" t="str">
        <f>IF(AND(A49&lt;&gt;" ",Sheet1!D$192=1,Sheet1!D$195=1),ROUND(R49*G49,Sheet1!D$75)," ")</f>
        <v xml:space="preserve"> </v>
      </c>
      <c r="T49" s="263" t="str">
        <f>IF(AND(A49&lt;&gt;" ",Sheet1!D$192=1,Sheet1!D$195=1),ROUND((R49/I49)*J49,Sheet1!D$75)," ")</f>
        <v xml:space="preserve"> </v>
      </c>
      <c r="U49" s="265">
        <f>SUM(T$11:T49)</f>
        <v>0</v>
      </c>
      <c r="V49" s="254" t="str">
        <f t="shared" si="0"/>
        <v xml:space="preserve"> </v>
      </c>
      <c r="W49" s="268"/>
      <c r="AA49" s="260"/>
      <c r="AB49" s="271" t="str">
        <f>IF(OR(Sheet1!D$192=1,Sheet1!D$195=1),IF(OR((AB48&gt;=(Sheet1!D$148+$A$11)-1),AND(Sheet1!D$8=3,AB48&gt;=6))," ",AB48+1),NA())</f>
        <v xml:space="preserve"> </v>
      </c>
      <c r="AC49" s="271" t="str">
        <f>IF(OR(Sheet1!D$192=1,Sheet1!D$195=1),IF(OR((AC48&gt;=(Sheet1!D$148+$B$11)-1),AND(Sheet1!D$8=3,AB48&gt;=6))," ",AC48+1),NA())</f>
        <v xml:space="preserve"> </v>
      </c>
      <c r="AD49" s="272"/>
      <c r="AE49" s="263" t="str">
        <f>IF(AND(Sheet1!D$195=1,AB49&lt;&gt;" "),ROUND(VLOOKUP(AB49,AlternativeC!A$17:M$66,12),Sheet1!D$75),IF(Sheet1!D$195=1," ","Alt  'C'  not feasible"))</f>
        <v>Alt  'C'  not feasible</v>
      </c>
      <c r="AF49" s="264" t="str">
        <f>IF(AB49&lt;=Sheet1!D$148, (1/((1+AF$10)^(AB49-0.5)))," ")</f>
        <v xml:space="preserve"> </v>
      </c>
      <c r="AG49" s="263" t="str">
        <f>IF(AND(Sheet1!D$195=1,AB49&lt;&gt;" "),ROUND(+AE49*AF49,Sheet1!D$75)," ")</f>
        <v xml:space="preserve"> </v>
      </c>
      <c r="AH49" s="264" t="str">
        <f>IF(AB49&lt;&gt;" ",ROUND(VLOOKUP(Sheet1!E$82,CHOOSE(Sheet1!D$214,Inflate1,Inflate2,Inflate3,Inflate4,Inflate5,Inflate6,Inflate7,Inflate8),2),4)," ")</f>
        <v xml:space="preserve"> </v>
      </c>
      <c r="AI49" s="264" t="str">
        <f>IF(AB49&lt;&gt;" ",ROUND(VLOOKUP(AC49,CHOOSE(Sheet1!D$214,Inflate1,Inflate2,Inflate3,Inflate4,Inflate5,Inflate6,Inflate7,Inflate8),3),4)," ")</f>
        <v xml:space="preserve"> </v>
      </c>
      <c r="AJ49" s="263" t="b">
        <f>IF(AND(Sheet1!D$195=1,AB49&lt;&gt;" "),IF(AND(O49&lt;=10,OR(Sheet1!D$8=2,Sheet1!D$8=3,Sheet1!D$22=3)),ROUND((AE49/AH49)*AI49,Sheet1!D$75),IF(AND(Sheet1!D$8&lt;&gt;2,Sheet1!D$8&lt;&gt;3,Sheet1!D$22&lt;&gt;3),ROUND((AE49/AH49)*AI49,Sheet1!D$75)," ")))</f>
        <v>0</v>
      </c>
    </row>
    <row r="50" spans="1:36" ht="12" customHeight="1" x14ac:dyDescent="0.2">
      <c r="A50" s="271" t="str">
        <f>IF(OR(Sheet1!D$192=1,Sheet1!D$195=1),IF(OR((A49&gt;=(Sheet1!D$148+$A$11)-1),AND(Sheet1!D$8=3,A49&gt;=6))," ",A49+1),NA())</f>
        <v xml:space="preserve"> </v>
      </c>
      <c r="B50" s="271" t="str">
        <f>IF(OR(Sheet1!D$192=1,Sheet1!D$195=1),IF(OR((B49&gt;=(Sheet1!D$148+$B$11)-1),AND(Sheet1!D$8=3,A49&gt;=6))," ",B49+1),NA())</f>
        <v xml:space="preserve"> </v>
      </c>
      <c r="C50" s="262"/>
      <c r="D50" s="263" t="str">
        <f>IF(AND(Sheet1!D$192=1,A50&lt;&gt;" "),ROUND(VLOOKUP(A50,StatusQuo!A$19:M$68,12),Sheet1!D$75),IF(Sheet1!D$192=1," ","SQ not feasible "))</f>
        <v xml:space="preserve"> </v>
      </c>
      <c r="E50" s="263" t="str">
        <f>IF(AND(Sheet1!D$195=1,A50&lt;&gt;" "),ROUND(VLOOKUP(A50,AlternativeC!A$110:M$159,12),Sheet1!D$75),IF(Sheet1!D$195=1," ","Alt  'C'  not feasible"))</f>
        <v>Alt  'C'  not feasible</v>
      </c>
      <c r="F50" s="263" t="str">
        <f>IF(AND(A50&lt;&gt;" ",Sheet1!D$192=1,Sheet1!D$195=1),D50-E50,IF(AND(Sheet1!D$195=1,A50&lt;&gt;" ")," "," "))</f>
        <v xml:space="preserve"> </v>
      </c>
      <c r="G50" s="264" t="str">
        <f>IF(A50&lt;=Sheet1!D$148, (1/((1+G10)^(A50-0.5)))," ")</f>
        <v xml:space="preserve"> </v>
      </c>
      <c r="H50" s="263" t="str">
        <f>IF(AND(A50&lt;&gt;" ",Sheet1!D$192=1,Sheet1!D$195=1),ROUND(F50*G50,Sheet1!D$75),IF(AND(A50&lt;&gt;" ",Sheet1!D$195=1),ROUND(E50*G50,Sheet1!D$75)," "))</f>
        <v xml:space="preserve"> </v>
      </c>
      <c r="I50" s="264" t="str">
        <f>IF(A50&lt;&gt;" ",ROUND(VLOOKUP(Sheet1!E$82,CHOOSE(Sheet1!D$234,Inflate7,Inflate2,Inflate3,Inflate4,Inflate5,Inflate6,Inflate1,Inflate8),2),4)," ")</f>
        <v xml:space="preserve"> </v>
      </c>
      <c r="J50" s="264" t="str">
        <f>IF(A50&lt;&gt;" ",ROUND(VLOOKUP(B50,CHOOSE(Sheet1!D$234,Inflate7,Inflate2,Inflate3,Inflate4,Inflate5,Inflate6,Inflate1,Inflate8),3),4)," ")</f>
        <v xml:space="preserve"> </v>
      </c>
      <c r="K50" s="265" t="str">
        <f>IF(AND(A50&lt;&gt;" ",Sheet1!D$192=1,Sheet1!D$195=1),ROUND((F50/I50)*J50,Sheet1!D$75),IF(AND(A50&lt;&gt;" ",Sheet1!D$195=1),ROUND((E50/I50)*J50,Sheet1!D$75)," "))</f>
        <v xml:space="preserve"> </v>
      </c>
      <c r="L50" s="254" t="str">
        <f>IF(Sheet1!D$192=1,IF(AND(AA50&gt;AJ$61,AA49&lt;=AJ$61),"&lt;-Payback"," ")," ")</f>
        <v xml:space="preserve"> </v>
      </c>
      <c r="M50" s="271" t="str">
        <f>IF(OR(Sheet1!D$192=1,Sheet1!D$195=1),IF(OR((A49&gt;=(Sheet1!D$148+$A$11)-1),AND(Sheet1!D$8=3,A49&gt;=6))," ",A49+1),NA())</f>
        <v xml:space="preserve"> </v>
      </c>
      <c r="N50" s="271" t="str">
        <f>IF(OR(Sheet1!D$192=1,Sheet1!D$195=1),IF(OR((B49&gt;=(Sheet1!D$148+$B$11)-1),AND(Sheet1!D$8=3,A49&gt;=6))," ",B49+1),NA())</f>
        <v xml:space="preserve"> </v>
      </c>
      <c r="O50" s="266" t="e">
        <f>IF(AND(Sheet1!D$8=3,M50=" ")," ",IF(OR(Sheet1!D$192=1,Sheet1!D$195=1),IF(O49&gt;0,IF(AND(OR(Sheet1!D$8=2,Sheet1!D$22=3),O49&gt;=10)," ",O49+1),IF(NOT(Sheet1!D$192=1),0,IF(ROUND(VLOOKUP(A50,StatusQuo!A$19:M$68,13),Sheet1!D$75)-ROUND(VLOOKUP(A50,AlternativeC!A$110:M$159,13),Sheet1!D$75)&gt;0,1,0)))," "))</f>
        <v>#VALUE!</v>
      </c>
      <c r="P50" s="263" t="str">
        <f>IF(AND(A50&lt;&gt;" ",Sheet1!D$192=1,Sheet1!D$195=1),IF(AND(OR(Sheet1!D$8=2,Sheet1!D$22=3),O50&gt;10),0,ROUND(VLOOKUP(A50,StatusQuo!A$19:M$68,13),Sheet1!D$75)),IF(NOT(Sheet1!D$192=1),"not feasible",IF(A50=" "," ", "Savings is  n/a=&gt;")))</f>
        <v xml:space="preserve"> </v>
      </c>
      <c r="Q50" s="263" t="str">
        <f>IF(AND(A50&lt;&gt;" ",Sheet1!D$192=1,Sheet1!D$195=1),IF(AND(OR(Sheet1!D$8=2,Sheet1!D$22=3),O50&gt;10),0,ROUND(VLOOKUP(A50,AlternativeC!A$110:M$159,13),Sheet1!D$75)),IF(NOT(Sheet1!D$195=1),"not feasible",IF(A50=" "," ","&lt;== Savings is n/a")))</f>
        <v>not feasible</v>
      </c>
      <c r="R50" s="263" t="str">
        <f>IF(AND(A50&lt;&gt;" ",Sheet1!D$192=1,Sheet1!D$195=1),IF(G$81&lt;&gt;" ","??????? ",P50-Q50)," ")</f>
        <v xml:space="preserve"> </v>
      </c>
      <c r="S50" s="263" t="str">
        <f>IF(AND(A50&lt;&gt;" ",Sheet1!D$192=1,Sheet1!D$195=1),ROUND(R50*G50,Sheet1!D$75)," ")</f>
        <v xml:space="preserve"> </v>
      </c>
      <c r="T50" s="263" t="str">
        <f>IF(AND(A50&lt;&gt;" ",Sheet1!D$192=1,Sheet1!D$195=1),ROUND((R50/I50)*J50,Sheet1!D$75)," ")</f>
        <v xml:space="preserve"> </v>
      </c>
      <c r="U50" s="265">
        <f>SUM(T$11:T50)</f>
        <v>0</v>
      </c>
      <c r="V50" s="254" t="str">
        <f t="shared" si="0"/>
        <v xml:space="preserve"> </v>
      </c>
      <c r="W50" s="268"/>
      <c r="AA50" s="260"/>
      <c r="AB50" s="271" t="str">
        <f>IF(OR(Sheet1!D$192=1,Sheet1!D$195=1),IF(OR((AB49&gt;=(Sheet1!D$148+$A$11)-1),AND(Sheet1!D$8=3,AB49&gt;=6))," ",AB49+1),NA())</f>
        <v xml:space="preserve"> </v>
      </c>
      <c r="AC50" s="271" t="str">
        <f>IF(OR(Sheet1!D$192=1,Sheet1!D$195=1),IF(OR((AC49&gt;=(Sheet1!D$148+$B$11)-1),AND(Sheet1!D$8=3,AB49&gt;=6))," ",AC49+1),NA())</f>
        <v xml:space="preserve"> </v>
      </c>
      <c r="AD50" s="272"/>
      <c r="AE50" s="263" t="str">
        <f>IF(AND(Sheet1!D$195=1,AB50&lt;&gt;" "),ROUND(VLOOKUP(AB50,AlternativeC!A$17:M$66,12),Sheet1!D$75),IF(Sheet1!D$195=1," ","Alt  'C'  not feasible"))</f>
        <v>Alt  'C'  not feasible</v>
      </c>
      <c r="AF50" s="264" t="str">
        <f>IF(AB50&lt;=Sheet1!D$148, (1/((1+AF$10)^(AB50-0.5)))," ")</f>
        <v xml:space="preserve"> </v>
      </c>
      <c r="AG50" s="263" t="str">
        <f>IF(AND(Sheet1!D$195=1,AB50&lt;&gt;" "),ROUND(+AE50*AF50,Sheet1!D$75)," ")</f>
        <v xml:space="preserve"> </v>
      </c>
      <c r="AH50" s="264" t="str">
        <f>IF(AB50&lt;&gt;" ",ROUND(VLOOKUP(Sheet1!E$82,CHOOSE(Sheet1!D$214,Inflate1,Inflate2,Inflate3,Inflate4,Inflate5,Inflate6,Inflate7,Inflate8),2),4)," ")</f>
        <v xml:space="preserve"> </v>
      </c>
      <c r="AI50" s="264" t="str">
        <f>IF(AB50&lt;&gt;" ",ROUND(VLOOKUP(AC50,CHOOSE(Sheet1!D$214,Inflate1,Inflate2,Inflate3,Inflate4,Inflate5,Inflate6,Inflate7,Inflate8),3),4)," ")</f>
        <v xml:space="preserve"> </v>
      </c>
      <c r="AJ50" s="263" t="b">
        <f>IF(AND(Sheet1!D$195=1,AB50&lt;&gt;" "),IF(AND(O50&lt;=10,OR(Sheet1!D$8=2,Sheet1!D$8=3,Sheet1!D$22=3)),ROUND((AE50/AH50)*AI50,Sheet1!D$75),IF(AND(Sheet1!D$8&lt;&gt;2,Sheet1!D$8&lt;&gt;3,Sheet1!D$22&lt;&gt;3),ROUND((AE50/AH50)*AI50,Sheet1!D$75)," ")))</f>
        <v>0</v>
      </c>
    </row>
    <row r="51" spans="1:36" ht="12" customHeight="1" x14ac:dyDescent="0.2">
      <c r="A51" s="271" t="str">
        <f>IF(OR(Sheet1!D$192=1,Sheet1!D$195=1),IF(OR((A50&gt;=(Sheet1!D$148+$A$11)-1),AND(Sheet1!D$8=3,A50&gt;=6))," ",A50+1),NA())</f>
        <v xml:space="preserve"> </v>
      </c>
      <c r="B51" s="271" t="str">
        <f>IF(OR(Sheet1!D$192=1,Sheet1!D$195=1),IF(OR((B50&gt;=(Sheet1!D$148+$B$11)-1),AND(Sheet1!D$8=3,A50&gt;=6))," ",B50+1),NA())</f>
        <v xml:space="preserve"> </v>
      </c>
      <c r="C51" s="262"/>
      <c r="D51" s="263" t="str">
        <f>IF(AND(Sheet1!D$192=1,A51&lt;&gt;" "),ROUND(VLOOKUP(A51,StatusQuo!A$19:M$68,12),Sheet1!D$75),IF(Sheet1!D$192=1," ","SQ not feasible "))</f>
        <v xml:space="preserve"> </v>
      </c>
      <c r="E51" s="263" t="str">
        <f>IF(AND(Sheet1!D$195=1,A51&lt;&gt;" "),ROUND(VLOOKUP(A51,AlternativeC!A$110:M$159,12),Sheet1!D$75),IF(Sheet1!D$195=1," ","Alt  'C'  not feasible"))</f>
        <v>Alt  'C'  not feasible</v>
      </c>
      <c r="F51" s="263" t="str">
        <f>IF(AND(A51&lt;&gt;" ",Sheet1!D$192=1,Sheet1!D$195=1),D51-E51,IF(AND(Sheet1!D$195=1,A51&lt;&gt;" ")," "," "))</f>
        <v xml:space="preserve"> </v>
      </c>
      <c r="G51" s="264" t="str">
        <f>IF(A51&lt;=Sheet1!D$148, (1/((1+G10)^(A51-0.5)))," ")</f>
        <v xml:space="preserve"> </v>
      </c>
      <c r="H51" s="263" t="str">
        <f>IF(AND(A51&lt;&gt;" ",Sheet1!D$192=1,Sheet1!D$195=1),ROUND(F51*G51,Sheet1!D$75),IF(AND(A51&lt;&gt;" ",Sheet1!D$195=1),ROUND(E51*G51,Sheet1!D$75)," "))</f>
        <v xml:space="preserve"> </v>
      </c>
      <c r="I51" s="264" t="str">
        <f>IF(A51&lt;&gt;" ",ROUND(VLOOKUP(Sheet1!E$82,CHOOSE(Sheet1!D$234,Inflate7,Inflate2,Inflate3,Inflate4,Inflate5,Inflate6,Inflate1,Inflate8),2),4)," ")</f>
        <v xml:space="preserve"> </v>
      </c>
      <c r="J51" s="264" t="str">
        <f>IF(A51&lt;&gt;" ",ROUND(VLOOKUP(B51,CHOOSE(Sheet1!D$234,Inflate7,Inflate2,Inflate3,Inflate4,Inflate5,Inflate6,Inflate1,Inflate8),3),4)," ")</f>
        <v xml:space="preserve"> </v>
      </c>
      <c r="K51" s="265" t="str">
        <f>IF(AND(A51&lt;&gt;" ",Sheet1!D$192=1,Sheet1!D$195=1),ROUND((F51/I51)*J51,Sheet1!D$75),IF(AND(A51&lt;&gt;" ",Sheet1!D$195=1),ROUND((E51/I51)*J51,Sheet1!D$75)," "))</f>
        <v xml:space="preserve"> </v>
      </c>
      <c r="L51" s="254" t="str">
        <f>IF(Sheet1!D$192=1,IF(AND(AA51&gt;AJ$61,AA50&lt;=AJ$61),"&lt;-Payback"," ")," ")</f>
        <v xml:space="preserve"> </v>
      </c>
      <c r="M51" s="271" t="str">
        <f>IF(OR(Sheet1!D$192=1,Sheet1!D$195=1),IF(OR((A50&gt;=(Sheet1!D$148+$A$11)-1),AND(Sheet1!D$8=3,A50&gt;=6))," ",A50+1),NA())</f>
        <v xml:space="preserve"> </v>
      </c>
      <c r="N51" s="271" t="str">
        <f>IF(OR(Sheet1!D$192=1,Sheet1!D$195=1),IF(OR((B50&gt;=(Sheet1!D$148+$B$11)-1),AND(Sheet1!D$8=3,A50&gt;=6))," ",B50+1),NA())</f>
        <v xml:space="preserve"> </v>
      </c>
      <c r="O51" s="266" t="e">
        <f>IF(AND(Sheet1!D$8=3,M51=" ")," ",IF(OR(Sheet1!D$192=1,Sheet1!D$195=1),IF(O50&gt;0,IF(AND(OR(Sheet1!D$8=2,Sheet1!D$22=3),O50&gt;=10)," ",O50+1),IF(NOT(Sheet1!D$192=1),0,IF(ROUND(VLOOKUP(A51,StatusQuo!A$19:M$68,13),Sheet1!D$75)-ROUND(VLOOKUP(A51,AlternativeC!A$110:M$159,13),Sheet1!D$75)&gt;0,1,0)))," "))</f>
        <v>#VALUE!</v>
      </c>
      <c r="P51" s="263" t="str">
        <f>IF(AND(A51&lt;&gt;" ",Sheet1!D$192=1,Sheet1!D$195=1),IF(AND(OR(Sheet1!D$8=2,Sheet1!D$22=3),O51&gt;10),0,ROUND(VLOOKUP(A51,StatusQuo!A$19:M$68,13),Sheet1!D$75)),IF(NOT(Sheet1!D$192=1),"not feasible",IF(A51=" "," ", "Savings is  n/a=&gt;")))</f>
        <v xml:space="preserve"> </v>
      </c>
      <c r="Q51" s="263" t="str">
        <f>IF(AND(A51&lt;&gt;" ",Sheet1!D$192=1,Sheet1!D$195=1),IF(AND(OR(Sheet1!D$8=2,Sheet1!D$22=3),O51&gt;10),0,ROUND(VLOOKUP(A51,AlternativeC!A$110:M$159,13),Sheet1!D$75)),IF(NOT(Sheet1!D$195=1),"not feasible",IF(A51=" "," ","&lt;== Savings is n/a")))</f>
        <v>not feasible</v>
      </c>
      <c r="R51" s="263" t="str">
        <f>IF(AND(A51&lt;&gt;" ",Sheet1!D$192=1,Sheet1!D$195=1),IF(G$81&lt;&gt;" ","??????? ",P51-Q51)," ")</f>
        <v xml:space="preserve"> </v>
      </c>
      <c r="S51" s="263" t="str">
        <f>IF(AND(A51&lt;&gt;" ",Sheet1!D$192=1,Sheet1!D$195=1),ROUND(R51*G51,Sheet1!D$75)," ")</f>
        <v xml:space="preserve"> </v>
      </c>
      <c r="T51" s="263" t="str">
        <f>IF(AND(A51&lt;&gt;" ",Sheet1!D$192=1,Sheet1!D$195=1),ROUND((R51/I51)*J51,Sheet1!D$75)," ")</f>
        <v xml:space="preserve"> </v>
      </c>
      <c r="U51" s="265">
        <f>SUM(T$11:T51)</f>
        <v>0</v>
      </c>
      <c r="V51" s="254" t="str">
        <f t="shared" si="0"/>
        <v xml:space="preserve"> </v>
      </c>
      <c r="W51" s="268"/>
      <c r="AA51" s="260"/>
      <c r="AB51" s="271" t="str">
        <f>IF(OR(Sheet1!D$192=1,Sheet1!D$195=1),IF(OR((AB50&gt;=(Sheet1!D$148+$A$11)-1),AND(Sheet1!D$8=3,AB50&gt;=6))," ",AB50+1),NA())</f>
        <v xml:space="preserve"> </v>
      </c>
      <c r="AC51" s="271" t="str">
        <f>IF(OR(Sheet1!D$192=1,Sheet1!D$195=1),IF(OR((AC50&gt;=(Sheet1!D$148+$B$11)-1),AND(Sheet1!D$8=3,AB50&gt;=6))," ",AC50+1),NA())</f>
        <v xml:space="preserve"> </v>
      </c>
      <c r="AD51" s="272"/>
      <c r="AE51" s="263" t="str">
        <f>IF(AND(Sheet1!D$195=1,AB51&lt;&gt;" "),ROUND(VLOOKUP(AB51,AlternativeC!A$17:M$66,12),Sheet1!D$75),IF(Sheet1!D$195=1," ","Alt  'C'  not feasible"))</f>
        <v>Alt  'C'  not feasible</v>
      </c>
      <c r="AF51" s="264" t="str">
        <f>IF(AB51&lt;=Sheet1!D$148, (1/((1+AF$10)^(AB51-0.5)))," ")</f>
        <v xml:space="preserve"> </v>
      </c>
      <c r="AG51" s="263" t="str">
        <f>IF(AND(Sheet1!D$195=1,AB51&lt;&gt;" "),ROUND(+AE51*AF51,Sheet1!D$75)," ")</f>
        <v xml:space="preserve"> </v>
      </c>
      <c r="AH51" s="264" t="str">
        <f>IF(AB51&lt;&gt;" ",ROUND(VLOOKUP(Sheet1!E$82,CHOOSE(Sheet1!D$214,Inflate1,Inflate2,Inflate3,Inflate4,Inflate5,Inflate6,Inflate7,Inflate8),2),4)," ")</f>
        <v xml:space="preserve"> </v>
      </c>
      <c r="AI51" s="264" t="str">
        <f>IF(AB51&lt;&gt;" ",ROUND(VLOOKUP(AC51,CHOOSE(Sheet1!D$214,Inflate1,Inflate2,Inflate3,Inflate4,Inflate5,Inflate6,Inflate7,Inflate8),3),4)," ")</f>
        <v xml:space="preserve"> </v>
      </c>
      <c r="AJ51" s="263" t="b">
        <f>IF(AND(Sheet1!D$195=1,AB51&lt;&gt;" "),IF(AND(O51&lt;=10,OR(Sheet1!D$8=2,Sheet1!D$8=3,Sheet1!D$22=3)),ROUND((AE51/AH51)*AI51,Sheet1!D$75),IF(AND(Sheet1!D$8&lt;&gt;2,Sheet1!D$8&lt;&gt;3,Sheet1!D$22&lt;&gt;3),ROUND((AE51/AH51)*AI51,Sheet1!D$75)," ")))</f>
        <v>0</v>
      </c>
    </row>
    <row r="52" spans="1:36" ht="12" customHeight="1" x14ac:dyDescent="0.2">
      <c r="A52" s="271" t="str">
        <f>IF(OR(Sheet1!D$192=1,Sheet1!D$195=1),IF(OR((A51&gt;=(Sheet1!D$148+$A$11)-1),AND(Sheet1!D$8=3,A51&gt;=6))," ",A51+1),NA())</f>
        <v xml:space="preserve"> </v>
      </c>
      <c r="B52" s="271" t="str">
        <f>IF(OR(Sheet1!D$192=1,Sheet1!D$195=1),IF(OR((B51&gt;=(Sheet1!D$148+$B$11)-1),AND(Sheet1!D$8=3,A51&gt;=6))," ",B51+1),NA())</f>
        <v xml:space="preserve"> </v>
      </c>
      <c r="C52" s="262"/>
      <c r="D52" s="263" t="str">
        <f>IF(AND(Sheet1!D$192=1,A52&lt;&gt;" "),ROUND(VLOOKUP(A52,StatusQuo!A$19:M$68,12),Sheet1!D$75),IF(Sheet1!D$192=1," ","SQ not feasible "))</f>
        <v xml:space="preserve"> </v>
      </c>
      <c r="E52" s="263" t="str">
        <f>IF(AND(Sheet1!D$195=1,A52&lt;&gt;" "),ROUND(VLOOKUP(A52,AlternativeC!A$110:M$159,12),Sheet1!D$75),IF(Sheet1!D$195=1," ","Alt  'C'  not feasible"))</f>
        <v>Alt  'C'  not feasible</v>
      </c>
      <c r="F52" s="263" t="str">
        <f>IF(AND(A52&lt;&gt;" ",Sheet1!D$192=1,Sheet1!D$195=1),D52-E52,IF(AND(Sheet1!D$195=1,A52&lt;&gt;" ")," "," "))</f>
        <v xml:space="preserve"> </v>
      </c>
      <c r="G52" s="264" t="str">
        <f>IF(A52&lt;=Sheet1!D$148, (1/((1+G10)^(A52-0.5)))," ")</f>
        <v xml:space="preserve"> </v>
      </c>
      <c r="H52" s="263" t="str">
        <f>IF(AND(A52&lt;&gt;" ",Sheet1!D$192=1,Sheet1!D$195=1),ROUND(F52*G52,Sheet1!D$75),IF(AND(A52&lt;&gt;" ",Sheet1!D$195=1),ROUND(E52*G52,Sheet1!D$75)," "))</f>
        <v xml:space="preserve"> </v>
      </c>
      <c r="I52" s="264" t="str">
        <f>IF(A52&lt;&gt;" ",ROUND(VLOOKUP(Sheet1!E$82,CHOOSE(Sheet1!D$234,Inflate7,Inflate2,Inflate3,Inflate4,Inflate5,Inflate6,Inflate1,Inflate8),2),4)," ")</f>
        <v xml:space="preserve"> </v>
      </c>
      <c r="J52" s="264" t="str">
        <f>IF(A52&lt;&gt;" ",ROUND(VLOOKUP(B52,CHOOSE(Sheet1!D$234,Inflate7,Inflate2,Inflate3,Inflate4,Inflate5,Inflate6,Inflate1,Inflate8),3),4)," ")</f>
        <v xml:space="preserve"> </v>
      </c>
      <c r="K52" s="265" t="str">
        <f>IF(AND(A52&lt;&gt;" ",Sheet1!D$192=1,Sheet1!D$195=1),ROUND((F52/I52)*J52,Sheet1!D$75),IF(AND(A52&lt;&gt;" ",Sheet1!D$195=1),ROUND((E52/I52)*J52,Sheet1!D$75)," "))</f>
        <v xml:space="preserve"> </v>
      </c>
      <c r="L52" s="254" t="str">
        <f>IF(Sheet1!D$192=1,IF(AND(AA52&gt;AJ$61,AA51&lt;=AJ$61),"&lt;-Payback"," ")," ")</f>
        <v xml:space="preserve"> </v>
      </c>
      <c r="M52" s="271" t="str">
        <f>IF(OR(Sheet1!D$192=1,Sheet1!D$195=1),IF(OR((A51&gt;=(Sheet1!D$148+$A$11)-1),AND(Sheet1!D$8=3,A51&gt;=6))," ",A51+1),NA())</f>
        <v xml:space="preserve"> </v>
      </c>
      <c r="N52" s="271" t="str">
        <f>IF(OR(Sheet1!D$192=1,Sheet1!D$195=1),IF(OR((B51&gt;=(Sheet1!D$148+$B$11)-1),AND(Sheet1!D$8=3,A51&gt;=6))," ",B51+1),NA())</f>
        <v xml:space="preserve"> </v>
      </c>
      <c r="O52" s="266" t="e">
        <f>IF(AND(Sheet1!D$8=3,M52=" ")," ",IF(OR(Sheet1!D$192=1,Sheet1!D$195=1),IF(O51&gt;0,IF(AND(OR(Sheet1!D$8=2,Sheet1!D$22=3),O51&gt;=10)," ",O51+1),IF(NOT(Sheet1!D$192=1),0,IF(ROUND(VLOOKUP(A52,StatusQuo!A$19:M$68,13),Sheet1!D$75)-ROUND(VLOOKUP(A52,AlternativeC!A$110:M$159,13),Sheet1!D$75)&gt;0,1,0)))," "))</f>
        <v>#VALUE!</v>
      </c>
      <c r="P52" s="263" t="str">
        <f>IF(AND(A52&lt;&gt;" ",Sheet1!D$192=1,Sheet1!D$195=1),IF(AND(OR(Sheet1!D$8=2,Sheet1!D$22=3),O52&gt;10),0,ROUND(VLOOKUP(A52,StatusQuo!A$19:M$68,13),Sheet1!D$75)),IF(NOT(Sheet1!D$192=1),"not feasible",IF(A52=" "," ", "Savings is  n/a=&gt;")))</f>
        <v xml:space="preserve"> </v>
      </c>
      <c r="Q52" s="263" t="str">
        <f>IF(AND(A52&lt;&gt;" ",Sheet1!D$192=1,Sheet1!D$195=1),IF(AND(OR(Sheet1!D$8=2,Sheet1!D$22=3),O52&gt;10),0,ROUND(VLOOKUP(A52,AlternativeC!A$110:M$159,13),Sheet1!D$75)),IF(NOT(Sheet1!D$195=1),"not feasible",IF(A52=" "," ","&lt;== Savings is n/a")))</f>
        <v>not feasible</v>
      </c>
      <c r="R52" s="263" t="str">
        <f>IF(AND(A52&lt;&gt;" ",Sheet1!D$192=1,Sheet1!D$195=1),IF(G$81&lt;&gt;" ","??????? ",P52-Q52)," ")</f>
        <v xml:space="preserve"> </v>
      </c>
      <c r="S52" s="263" t="str">
        <f>IF(AND(A52&lt;&gt;" ",Sheet1!D$192=1,Sheet1!D$195=1),ROUND(R52*G52,Sheet1!D$75)," ")</f>
        <v xml:space="preserve"> </v>
      </c>
      <c r="T52" s="263" t="str">
        <f>IF(AND(A52&lt;&gt;" ",Sheet1!D$192=1,Sheet1!D$195=1),ROUND((R52/I52)*J52,Sheet1!D$75)," ")</f>
        <v xml:space="preserve"> </v>
      </c>
      <c r="U52" s="265">
        <f>SUM(T$11:T52)</f>
        <v>0</v>
      </c>
      <c r="V52" s="254" t="str">
        <f t="shared" si="0"/>
        <v xml:space="preserve"> </v>
      </c>
      <c r="W52" s="268"/>
      <c r="AA52" s="260"/>
      <c r="AB52" s="271" t="str">
        <f>IF(OR(Sheet1!D$192=1,Sheet1!D$195=1),IF(OR((AB51&gt;=(Sheet1!D$148+$A$11)-1),AND(Sheet1!D$8=3,AB51&gt;=6))," ",AB51+1),NA())</f>
        <v xml:space="preserve"> </v>
      </c>
      <c r="AC52" s="271" t="str">
        <f>IF(OR(Sheet1!D$192=1,Sheet1!D$195=1),IF(OR((AC51&gt;=(Sheet1!D$148+$B$11)-1),AND(Sheet1!D$8=3,AB51&gt;=6))," ",AC51+1),NA())</f>
        <v xml:space="preserve"> </v>
      </c>
      <c r="AD52" s="272"/>
      <c r="AE52" s="263" t="str">
        <f>IF(AND(Sheet1!D$195=1,AB52&lt;&gt;" "),ROUND(VLOOKUP(AB52,AlternativeC!A$17:M$66,12),Sheet1!D$75),IF(Sheet1!D$195=1," ","Alt  'C'  not feasible"))</f>
        <v>Alt  'C'  not feasible</v>
      </c>
      <c r="AF52" s="264" t="str">
        <f>IF(AB52&lt;=Sheet1!D$148, (1/((1+AF$10)^(AB52-0.5)))," ")</f>
        <v xml:space="preserve"> </v>
      </c>
      <c r="AG52" s="263" t="str">
        <f>IF(AND(Sheet1!D$195=1,AB52&lt;&gt;" "),ROUND(+AE52*AF52,Sheet1!D$75)," ")</f>
        <v xml:space="preserve"> </v>
      </c>
      <c r="AH52" s="264" t="str">
        <f>IF(AB52&lt;&gt;" ",ROUND(VLOOKUP(Sheet1!E$82,CHOOSE(Sheet1!D$214,Inflate1,Inflate2,Inflate3,Inflate4,Inflate5,Inflate6,Inflate7,Inflate8),2),4)," ")</f>
        <v xml:space="preserve"> </v>
      </c>
      <c r="AI52" s="264" t="str">
        <f>IF(AB52&lt;&gt;" ",ROUND(VLOOKUP(AC52,CHOOSE(Sheet1!D$214,Inflate1,Inflate2,Inflate3,Inflate4,Inflate5,Inflate6,Inflate7,Inflate8),3),4)," ")</f>
        <v xml:space="preserve"> </v>
      </c>
      <c r="AJ52" s="263" t="b">
        <f>IF(AND(Sheet1!D$195=1,AB52&lt;&gt;" "),IF(AND(O52&lt;=10,OR(Sheet1!D$8=2,Sheet1!D$8=3,Sheet1!D$22=3)),ROUND((AE52/AH52)*AI52,Sheet1!D$75),IF(AND(Sheet1!D$8&lt;&gt;2,Sheet1!D$8&lt;&gt;3,Sheet1!D$22&lt;&gt;3),ROUND((AE52/AH52)*AI52,Sheet1!D$75)," ")))</f>
        <v>0</v>
      </c>
    </row>
    <row r="53" spans="1:36" ht="12" customHeight="1" x14ac:dyDescent="0.2">
      <c r="A53" s="271" t="str">
        <f>IF(OR(Sheet1!D$192=1,Sheet1!D$195=1),IF(OR((A52&gt;=(Sheet1!D$148+$A$11)-1),AND(Sheet1!D$8=3,A52&gt;=6))," ",A52+1),NA())</f>
        <v xml:space="preserve"> </v>
      </c>
      <c r="B53" s="271" t="str">
        <f>IF(OR(Sheet1!D$192=1,Sheet1!D$195=1),IF(OR((B52&gt;=(Sheet1!D$148+$B$11)-1),AND(Sheet1!D$8=3,A52&gt;=6))," ",B52+1),NA())</f>
        <v xml:space="preserve"> </v>
      </c>
      <c r="C53" s="262"/>
      <c r="D53" s="263" t="str">
        <f>IF(AND(Sheet1!D$192=1,A53&lt;&gt;" "),ROUND(VLOOKUP(A53,StatusQuo!A$19:M$68,12),Sheet1!D$75),IF(Sheet1!D$192=1," ","SQ not feasible "))</f>
        <v xml:space="preserve"> </v>
      </c>
      <c r="E53" s="263" t="str">
        <f>IF(AND(Sheet1!D$195=1,A53&lt;&gt;" "),ROUND(VLOOKUP(A53,AlternativeC!A$110:M$159,12),Sheet1!D$75),IF(Sheet1!D$195=1," ","Alt  'C'  not feasible"))</f>
        <v>Alt  'C'  not feasible</v>
      </c>
      <c r="F53" s="263" t="str">
        <f>IF(AND(A53&lt;&gt;" ",Sheet1!D$192=1,Sheet1!D$195=1),D53-E53,IF(AND(Sheet1!D$195=1,A53&lt;&gt;" ")," "," "))</f>
        <v xml:space="preserve"> </v>
      </c>
      <c r="G53" s="264" t="str">
        <f>IF(A53&lt;=Sheet1!D$148, (1/((1+G10)^(A53-0.5)))," ")</f>
        <v xml:space="preserve"> </v>
      </c>
      <c r="H53" s="263" t="str">
        <f>IF(AND(A53&lt;&gt;" ",Sheet1!D$192=1,Sheet1!D$195=1),ROUND(F53*G53,Sheet1!D$75),IF(AND(A53&lt;&gt;" ",Sheet1!D$195=1),ROUND(E53*G53,Sheet1!D$75)," "))</f>
        <v xml:space="preserve"> </v>
      </c>
      <c r="I53" s="264" t="str">
        <f>IF(A53&lt;&gt;" ",ROUND(VLOOKUP(Sheet1!E$82,CHOOSE(Sheet1!D$234,Inflate7,Inflate2,Inflate3,Inflate4,Inflate5,Inflate6,Inflate1,Inflate8),2),4)," ")</f>
        <v xml:space="preserve"> </v>
      </c>
      <c r="J53" s="264" t="str">
        <f>IF(A53&lt;&gt;" ",ROUND(VLOOKUP(B53,CHOOSE(Sheet1!D$234,Inflate7,Inflate2,Inflate3,Inflate4,Inflate5,Inflate6,Inflate1,Inflate8),3),4)," ")</f>
        <v xml:space="preserve"> </v>
      </c>
      <c r="K53" s="265" t="str">
        <f>IF(AND(A53&lt;&gt;" ",Sheet1!D$192=1,Sheet1!D$195=1),ROUND((F53/I53)*J53,Sheet1!D$75),IF(AND(A53&lt;&gt;" ",Sheet1!D$195=1),ROUND((E53/I53)*J53,Sheet1!D$75)," "))</f>
        <v xml:space="preserve"> </v>
      </c>
      <c r="L53" s="254" t="str">
        <f>IF(Sheet1!D$192=1,IF(AND(AA53&gt;AJ$61,AA52&lt;=AJ$61),"&lt;-Payback"," ")," ")</f>
        <v xml:space="preserve"> </v>
      </c>
      <c r="M53" s="271" t="str">
        <f>IF(OR(Sheet1!D$192=1,Sheet1!D$195=1),IF(OR((A52&gt;=(Sheet1!D$148+$A$11)-1),AND(Sheet1!D$8=3,A52&gt;=6))," ",A52+1),NA())</f>
        <v xml:space="preserve"> </v>
      </c>
      <c r="N53" s="271" t="str">
        <f>IF(OR(Sheet1!D$192=1,Sheet1!D$195=1),IF(OR((B52&gt;=(Sheet1!D$148+$B$11)-1),AND(Sheet1!D$8=3,A52&gt;=6))," ",B52+1),NA())</f>
        <v xml:space="preserve"> </v>
      </c>
      <c r="O53" s="266" t="e">
        <f>IF(AND(Sheet1!D$8=3,M53=" ")," ",IF(OR(Sheet1!D$192=1,Sheet1!D$195=1),IF(O52&gt;0,IF(AND(OR(Sheet1!D$8=2,Sheet1!D$22=3),O52&gt;=10)," ",O52+1),IF(NOT(Sheet1!D$192=1),0,IF(ROUND(VLOOKUP(A53,StatusQuo!A$19:M$68,13),Sheet1!D$75)-ROUND(VLOOKUP(A53,AlternativeC!A$110:M$159,13),Sheet1!D$75)&gt;0,1,0)))," "))</f>
        <v>#VALUE!</v>
      </c>
      <c r="P53" s="263" t="str">
        <f>IF(AND(A53&lt;&gt;" ",Sheet1!D$192=1,Sheet1!D$195=1),IF(AND(OR(Sheet1!D$8=2,Sheet1!D$22=3),O53&gt;10),0,ROUND(VLOOKUP(A53,StatusQuo!A$19:M$68,13),Sheet1!D$75)),IF(NOT(Sheet1!D$192=1),"not feasible",IF(A53=" "," ", "Savings is  n/a=&gt;")))</f>
        <v xml:space="preserve"> </v>
      </c>
      <c r="Q53" s="263" t="str">
        <f>IF(AND(A53&lt;&gt;" ",Sheet1!D$192=1,Sheet1!D$195=1),IF(AND(OR(Sheet1!D$8=2,Sheet1!D$22=3),O53&gt;10),0,ROUND(VLOOKUP(A53,AlternativeC!A$110:M$159,13),Sheet1!D$75)),IF(NOT(Sheet1!D$195=1),"not feasible",IF(A53=" "," ","&lt;== Savings is n/a")))</f>
        <v>not feasible</v>
      </c>
      <c r="R53" s="263" t="str">
        <f>IF(AND(A53&lt;&gt;" ",Sheet1!D$192=1,Sheet1!D$195=1),IF(G$81&lt;&gt;" ","??????? ",P53-Q53)," ")</f>
        <v xml:space="preserve"> </v>
      </c>
      <c r="S53" s="263" t="str">
        <f>IF(AND(A53&lt;&gt;" ",Sheet1!D$192=1,Sheet1!D$195=1),ROUND(R53*G53,Sheet1!D$75)," ")</f>
        <v xml:space="preserve"> </v>
      </c>
      <c r="T53" s="263" t="str">
        <f>IF(AND(A53&lt;&gt;" ",Sheet1!D$192=1,Sheet1!D$195=1),ROUND((R53/I53)*J53,Sheet1!D$75)," ")</f>
        <v xml:space="preserve"> </v>
      </c>
      <c r="U53" s="265">
        <f>SUM(T$11:T53)</f>
        <v>0</v>
      </c>
      <c r="V53" s="254" t="str">
        <f t="shared" si="0"/>
        <v xml:space="preserve"> </v>
      </c>
      <c r="W53" s="268"/>
      <c r="AA53" s="260"/>
      <c r="AB53" s="271" t="str">
        <f>IF(OR(Sheet1!D$192=1,Sheet1!D$195=1),IF(OR((AB52&gt;=(Sheet1!D$148+$A$11)-1),AND(Sheet1!D$8=3,AB52&gt;=6))," ",AB52+1),NA())</f>
        <v xml:space="preserve"> </v>
      </c>
      <c r="AC53" s="271" t="str">
        <f>IF(OR(Sheet1!D$192=1,Sheet1!D$195=1),IF(OR((AC52&gt;=(Sheet1!D$148+$B$11)-1),AND(Sheet1!D$8=3,AB52&gt;=6))," ",AC52+1),NA())</f>
        <v xml:space="preserve"> </v>
      </c>
      <c r="AD53" s="272"/>
      <c r="AE53" s="263" t="str">
        <f>IF(AND(Sheet1!D$195=1,AB53&lt;&gt;" "),ROUND(VLOOKUP(AB53,AlternativeC!A$17:M$66,12),Sheet1!D$75),IF(Sheet1!D$195=1," ","Alt  'C'  not feasible"))</f>
        <v>Alt  'C'  not feasible</v>
      </c>
      <c r="AF53" s="264" t="str">
        <f>IF(AB53&lt;=Sheet1!D$148, (1/((1+AF$10)^(AB53-0.5)))," ")</f>
        <v xml:space="preserve"> </v>
      </c>
      <c r="AG53" s="263" t="str">
        <f>IF(AND(Sheet1!D$195=1,AB53&lt;&gt;" "),ROUND(+AE53*AF53,Sheet1!D$75)," ")</f>
        <v xml:space="preserve"> </v>
      </c>
      <c r="AH53" s="264" t="str">
        <f>IF(AB53&lt;&gt;" ",ROUND(VLOOKUP(Sheet1!E$82,CHOOSE(Sheet1!D$214,Inflate1,Inflate2,Inflate3,Inflate4,Inflate5,Inflate6,Inflate7,Inflate8),2),4)," ")</f>
        <v xml:space="preserve"> </v>
      </c>
      <c r="AI53" s="264" t="str">
        <f>IF(AB53&lt;&gt;" ",ROUND(VLOOKUP(AC53,CHOOSE(Sheet1!D$214,Inflate1,Inflate2,Inflate3,Inflate4,Inflate5,Inflate6,Inflate7,Inflate8),3),4)," ")</f>
        <v xml:space="preserve"> </v>
      </c>
      <c r="AJ53" s="263" t="b">
        <f>IF(AND(Sheet1!D$195=1,AB53&lt;&gt;" "),IF(AND(O53&lt;=10,OR(Sheet1!D$8=2,Sheet1!D$8=3,Sheet1!D$22=3)),ROUND((AE53/AH53)*AI53,Sheet1!D$75),IF(AND(Sheet1!D$8&lt;&gt;2,Sheet1!D$8&lt;&gt;3,Sheet1!D$22&lt;&gt;3),ROUND((AE53/AH53)*AI53,Sheet1!D$75)," ")))</f>
        <v>0</v>
      </c>
    </row>
    <row r="54" spans="1:36" ht="12" customHeight="1" x14ac:dyDescent="0.2">
      <c r="A54" s="271" t="str">
        <f>IF(OR(Sheet1!D$192=1,Sheet1!D$195=1),IF(OR((A53&gt;=(Sheet1!D$148+$A$11)-1),AND(Sheet1!D$8=3,A53&gt;=6))," ",A53+1),NA())</f>
        <v xml:space="preserve"> </v>
      </c>
      <c r="B54" s="271" t="str">
        <f>IF(OR(Sheet1!D$192=1,Sheet1!D$195=1),IF(OR((B53&gt;=(Sheet1!D$148+$B$11)-1),AND(Sheet1!D$8=3,A53&gt;=6))," ",B53+1),NA())</f>
        <v xml:space="preserve"> </v>
      </c>
      <c r="C54" s="262"/>
      <c r="D54" s="263" t="str">
        <f>IF(AND(Sheet1!D$192=1,A54&lt;&gt;" "),ROUND(VLOOKUP(A54,StatusQuo!A$19:M$68,12),Sheet1!D$75),IF(Sheet1!D$192=1," ","SQ not feasible "))</f>
        <v xml:space="preserve"> </v>
      </c>
      <c r="E54" s="263" t="str">
        <f>IF(AND(Sheet1!D$195=1,A54&lt;&gt;" "),ROUND(VLOOKUP(A54,AlternativeC!A$110:M$159,12),Sheet1!D$75),IF(Sheet1!D$195=1," ","Alt  'C'  not feasible"))</f>
        <v>Alt  'C'  not feasible</v>
      </c>
      <c r="F54" s="263" t="str">
        <f>IF(AND(A54&lt;&gt;" ",Sheet1!D$192=1,Sheet1!D$195=1),D54-E54,IF(AND(Sheet1!D$195=1,A54&lt;&gt;" ")," "," "))</f>
        <v xml:space="preserve"> </v>
      </c>
      <c r="G54" s="264" t="str">
        <f>IF(A54&lt;=Sheet1!D$148, (1/((1+G10)^(A54-0.5)))," ")</f>
        <v xml:space="preserve"> </v>
      </c>
      <c r="H54" s="263" t="str">
        <f>IF(AND(A54&lt;&gt;" ",Sheet1!D$192=1,Sheet1!D$195=1),ROUND(F54*G54,Sheet1!D$75),IF(AND(A54&lt;&gt;" ",Sheet1!D$195=1),ROUND(E54*G54,Sheet1!D$75)," "))</f>
        <v xml:space="preserve"> </v>
      </c>
      <c r="I54" s="264" t="str">
        <f>IF(A54&lt;&gt;" ",ROUND(VLOOKUP(Sheet1!E$82,CHOOSE(Sheet1!D$234,Inflate7,Inflate2,Inflate3,Inflate4,Inflate5,Inflate6,Inflate1,Inflate8),2),4)," ")</f>
        <v xml:space="preserve"> </v>
      </c>
      <c r="J54" s="264" t="str">
        <f>IF(A54&lt;&gt;" ",ROUND(VLOOKUP(B54,CHOOSE(Sheet1!D$234,Inflate7,Inflate2,Inflate3,Inflate4,Inflate5,Inflate6,Inflate1,Inflate8),3),4)," ")</f>
        <v xml:space="preserve"> </v>
      </c>
      <c r="K54" s="265" t="str">
        <f>IF(AND(A54&lt;&gt;" ",Sheet1!D$192=1,Sheet1!D$195=1),ROUND((F54/I54)*J54,Sheet1!D$75),IF(AND(A54&lt;&gt;" ",Sheet1!D$195=1),ROUND((E54/I54)*J54,Sheet1!D$75)," "))</f>
        <v xml:space="preserve"> </v>
      </c>
      <c r="L54" s="254" t="str">
        <f>IF(Sheet1!D$192=1,IF(AND(AA54&gt;AJ$61,AA53&lt;=AJ$61),"&lt;-Payback"," ")," ")</f>
        <v xml:space="preserve"> </v>
      </c>
      <c r="M54" s="271" t="str">
        <f>IF(OR(Sheet1!D$192=1,Sheet1!D$195=1),IF(OR((A53&gt;=(Sheet1!D$148+$A$11)-1),AND(Sheet1!D$8=3,A53&gt;=6))," ",A53+1),NA())</f>
        <v xml:space="preserve"> </v>
      </c>
      <c r="N54" s="271" t="str">
        <f>IF(OR(Sheet1!D$192=1,Sheet1!D$195=1),IF(OR((B53&gt;=(Sheet1!D$148+$B$11)-1),AND(Sheet1!D$8=3,A53&gt;=6))," ",B53+1),NA())</f>
        <v xml:space="preserve"> </v>
      </c>
      <c r="O54" s="266" t="e">
        <f>IF(AND(Sheet1!D$8=3,M54=" ")," ",IF(OR(Sheet1!D$192=1,Sheet1!D$195=1),IF(O53&gt;0,IF(AND(OR(Sheet1!D$8=2,Sheet1!D$22=3),O53&gt;=10)," ",O53+1),IF(NOT(Sheet1!D$192=1),0,IF(ROUND(VLOOKUP(A54,StatusQuo!A$19:M$68,13),Sheet1!D$75)-ROUND(VLOOKUP(A54,AlternativeC!A$110:M$159,13),Sheet1!D$75)&gt;0,1,0)))," "))</f>
        <v>#VALUE!</v>
      </c>
      <c r="P54" s="263" t="str">
        <f>IF(AND(A54&lt;&gt;" ",Sheet1!D$192=1,Sheet1!D$195=1),IF(AND(OR(Sheet1!D$8=2,Sheet1!D$22=3),O54&gt;10),0,ROUND(VLOOKUP(A54,StatusQuo!A$19:M$68,13),Sheet1!D$75)),IF(NOT(Sheet1!D$192=1),"not feasible",IF(A54=" "," ", "Savings is  n/a=&gt;")))</f>
        <v xml:space="preserve"> </v>
      </c>
      <c r="Q54" s="263" t="str">
        <f>IF(AND(A54&lt;&gt;" ",Sheet1!D$192=1,Sheet1!D$195=1),IF(AND(OR(Sheet1!D$8=2,Sheet1!D$22=3),O54&gt;10),0,ROUND(VLOOKUP(A54,AlternativeC!A$110:M$159,13),Sheet1!D$75)),IF(NOT(Sheet1!D$195=1),"not feasible",IF(A54=" "," ","&lt;== Savings is n/a")))</f>
        <v>not feasible</v>
      </c>
      <c r="R54" s="263" t="str">
        <f>IF(AND(A54&lt;&gt;" ",Sheet1!D$192=1,Sheet1!D$195=1),IF(G$81&lt;&gt;" ","??????? ",P54-Q54)," ")</f>
        <v xml:space="preserve"> </v>
      </c>
      <c r="S54" s="263" t="str">
        <f>IF(AND(A54&lt;&gt;" ",Sheet1!D$192=1,Sheet1!D$195=1),ROUND(R54*G54,Sheet1!D$75)," ")</f>
        <v xml:space="preserve"> </v>
      </c>
      <c r="T54" s="263" t="str">
        <f>IF(AND(A54&lt;&gt;" ",Sheet1!D$192=1,Sheet1!D$195=1),ROUND((R54/I54)*J54,Sheet1!D$75)," ")</f>
        <v xml:space="preserve"> </v>
      </c>
      <c r="U54" s="265">
        <f>SUM(T$11:T54)</f>
        <v>0</v>
      </c>
      <c r="V54" s="254" t="str">
        <f t="shared" si="0"/>
        <v xml:space="preserve"> </v>
      </c>
      <c r="W54" s="268"/>
      <c r="AA54" s="260"/>
      <c r="AB54" s="271" t="str">
        <f>IF(OR(Sheet1!D$192=1,Sheet1!D$195=1),IF(OR((AB53&gt;=(Sheet1!D$148+$A$11)-1),AND(Sheet1!D$8=3,AB53&gt;=6))," ",AB53+1),NA())</f>
        <v xml:space="preserve"> </v>
      </c>
      <c r="AC54" s="271" t="str">
        <f>IF(OR(Sheet1!D$192=1,Sheet1!D$195=1),IF(OR((AC53&gt;=(Sheet1!D$148+$B$11)-1),AND(Sheet1!D$8=3,AB53&gt;=6))," ",AC53+1),NA())</f>
        <v xml:space="preserve"> </v>
      </c>
      <c r="AD54" s="272"/>
      <c r="AE54" s="263" t="str">
        <f>IF(AND(Sheet1!D$195=1,AB54&lt;&gt;" "),ROUND(VLOOKUP(AB54,AlternativeC!A$17:M$66,12),Sheet1!D$75),IF(Sheet1!D$195=1," ","Alt  'C'  not feasible"))</f>
        <v>Alt  'C'  not feasible</v>
      </c>
      <c r="AF54" s="264" t="str">
        <f>IF(AB54&lt;=Sheet1!D$148, (1/((1+AF$10)^(AB54-0.5)))," ")</f>
        <v xml:space="preserve"> </v>
      </c>
      <c r="AG54" s="263" t="str">
        <f>IF(AND(Sheet1!D$195=1,AB54&lt;&gt;" "),ROUND(+AE54*AF54,Sheet1!D$75)," ")</f>
        <v xml:space="preserve"> </v>
      </c>
      <c r="AH54" s="264" t="str">
        <f>IF(AB54&lt;&gt;" ",ROUND(VLOOKUP(Sheet1!E$82,CHOOSE(Sheet1!D$214,Inflate1,Inflate2,Inflate3,Inflate4,Inflate5,Inflate6,Inflate7,Inflate8),2),4)," ")</f>
        <v xml:space="preserve"> </v>
      </c>
      <c r="AI54" s="264" t="str">
        <f>IF(AB54&lt;&gt;" ",ROUND(VLOOKUP(AC54,CHOOSE(Sheet1!D$214,Inflate1,Inflate2,Inflate3,Inflate4,Inflate5,Inflate6,Inflate7,Inflate8),3),4)," ")</f>
        <v xml:space="preserve"> </v>
      </c>
      <c r="AJ54" s="263" t="b">
        <f>IF(AND(Sheet1!D$195=1,AB54&lt;&gt;" "),IF(AND(O54&lt;=10,OR(Sheet1!D$8=2,Sheet1!D$8=3,Sheet1!D$22=3)),ROUND((AE54/AH54)*AI54,Sheet1!D$75),IF(AND(Sheet1!D$8&lt;&gt;2,Sheet1!D$8&lt;&gt;3,Sheet1!D$22&lt;&gt;3),ROUND((AE54/AH54)*AI54,Sheet1!D$75)," ")))</f>
        <v>0</v>
      </c>
    </row>
    <row r="55" spans="1:36" ht="12" customHeight="1" x14ac:dyDescent="0.2">
      <c r="A55" s="271" t="str">
        <f>IF(OR(Sheet1!D$192=1,Sheet1!D$195=1),IF(OR((A54&gt;=(Sheet1!D$148+$A$11)-1),AND(Sheet1!D$8=3,A54&gt;=6))," ",A54+1),NA())</f>
        <v xml:space="preserve"> </v>
      </c>
      <c r="B55" s="271" t="str">
        <f>IF(OR(Sheet1!D$192=1,Sheet1!D$195=1),IF(OR((B54&gt;=(Sheet1!D$148+$B$11)-1),AND(Sheet1!D$8=3,A54&gt;=6))," ",B54+1),NA())</f>
        <v xml:space="preserve"> </v>
      </c>
      <c r="C55" s="262"/>
      <c r="D55" s="263" t="str">
        <f>IF(AND(Sheet1!D$192=1,A55&lt;&gt;" "),ROUND(VLOOKUP(A55,StatusQuo!A$19:M$68,12),Sheet1!D$75),IF(Sheet1!D$192=1," ","SQ not feasible "))</f>
        <v xml:space="preserve"> </v>
      </c>
      <c r="E55" s="263" t="str">
        <f>IF(AND(Sheet1!D$195=1,A55&lt;&gt;" "),ROUND(VLOOKUP(A55,AlternativeC!A$110:M$159,12),Sheet1!D$75),IF(Sheet1!D$195=1," ","Alt  'C'  not feasible"))</f>
        <v>Alt  'C'  not feasible</v>
      </c>
      <c r="F55" s="263" t="str">
        <f>IF(AND(A55&lt;&gt;" ",Sheet1!D$192=1,Sheet1!D$195=1),D55-E55,IF(AND(Sheet1!D$195=1,A55&lt;&gt;" ")," "," "))</f>
        <v xml:space="preserve"> </v>
      </c>
      <c r="G55" s="264" t="str">
        <f>IF(A55&lt;=Sheet1!D$148, (1/((1+G10)^(A55-0.5)))," ")</f>
        <v xml:space="preserve"> </v>
      </c>
      <c r="H55" s="263" t="str">
        <f>IF(AND(A55&lt;&gt;" ",Sheet1!D$192=1,Sheet1!D$195=1),ROUND(F55*G55,Sheet1!D$75),IF(AND(A55&lt;&gt;" ",Sheet1!D$195=1),ROUND(E55*G55,Sheet1!D$75)," "))</f>
        <v xml:space="preserve"> </v>
      </c>
      <c r="I55" s="264" t="str">
        <f>IF(A55&lt;&gt;" ",ROUND(VLOOKUP(Sheet1!E$82,CHOOSE(Sheet1!D$234,Inflate7,Inflate2,Inflate3,Inflate4,Inflate5,Inflate6,Inflate1,Inflate8),2),4)," ")</f>
        <v xml:space="preserve"> </v>
      </c>
      <c r="J55" s="264" t="str">
        <f>IF(A55&lt;&gt;" ",ROUND(VLOOKUP(B55,CHOOSE(Sheet1!D$234,Inflate7,Inflate2,Inflate3,Inflate4,Inflate5,Inflate6,Inflate1,Inflate8),3),4)," ")</f>
        <v xml:space="preserve"> </v>
      </c>
      <c r="K55" s="265" t="str">
        <f>IF(AND(A55&lt;&gt;" ",Sheet1!D$192=1,Sheet1!D$195=1),ROUND((F55/I55)*J55,Sheet1!D$75),IF(AND(A55&lt;&gt;" ",Sheet1!D$195=1),ROUND((E55/I55)*J55,Sheet1!D$75)," "))</f>
        <v xml:space="preserve"> </v>
      </c>
      <c r="L55" s="254" t="str">
        <f>IF(Sheet1!D$192=1,IF(AND(AA55&gt;AJ$61,AA54&lt;=AJ$61),"&lt;-Payback"," ")," ")</f>
        <v xml:space="preserve"> </v>
      </c>
      <c r="M55" s="271" t="str">
        <f>IF(OR(Sheet1!D$192=1,Sheet1!D$195=1),IF(OR((A54&gt;=(Sheet1!D$148+$A$11)-1),AND(Sheet1!D$8=3,A54&gt;=6))," ",A54+1),NA())</f>
        <v xml:space="preserve"> </v>
      </c>
      <c r="N55" s="271" t="str">
        <f>IF(OR(Sheet1!D$192=1,Sheet1!D$195=1),IF(OR((B54&gt;=(Sheet1!D$148+$B$11)-1),AND(Sheet1!D$8=3,A54&gt;=6))," ",B54+1),NA())</f>
        <v xml:space="preserve"> </v>
      </c>
      <c r="O55" s="266" t="e">
        <f>IF(AND(Sheet1!D$8=3,M55=" ")," ",IF(OR(Sheet1!D$192=1,Sheet1!D$195=1),IF(O54&gt;0,IF(AND(OR(Sheet1!D$8=2,Sheet1!D$22=3),O54&gt;=10)," ",O54+1),IF(NOT(Sheet1!D$192=1),0,IF(ROUND(VLOOKUP(A55,StatusQuo!A$19:M$68,13),Sheet1!D$75)-ROUND(VLOOKUP(A55,AlternativeC!A$110:M$159,13),Sheet1!D$75)&gt;0,1,0)))," "))</f>
        <v>#VALUE!</v>
      </c>
      <c r="P55" s="263" t="str">
        <f>IF(AND(A55&lt;&gt;" ",Sheet1!D$192=1,Sheet1!D$195=1),IF(AND(OR(Sheet1!D$8=2,Sheet1!D$22=3),O55&gt;10),0,ROUND(VLOOKUP(A55,StatusQuo!A$19:M$68,13),Sheet1!D$75)),IF(NOT(Sheet1!D$192=1),"not feasible",IF(A55=" "," ", "Savings is  n/a=&gt;")))</f>
        <v xml:space="preserve"> </v>
      </c>
      <c r="Q55" s="263" t="str">
        <f>IF(AND(A55&lt;&gt;" ",Sheet1!D$192=1,Sheet1!D$195=1),IF(AND(OR(Sheet1!D$8=2,Sheet1!D$22=3),O55&gt;10),0,ROUND(VLOOKUP(A55,AlternativeC!A$110:M$159,13),Sheet1!D$75)),IF(NOT(Sheet1!D$195=1),"not feasible",IF(A55=" "," ","&lt;== Savings is n/a")))</f>
        <v>not feasible</v>
      </c>
      <c r="R55" s="263" t="str">
        <f>IF(AND(A55&lt;&gt;" ",Sheet1!D$192=1,Sheet1!D$195=1),IF(G$81&lt;&gt;" ","??????? ",P55-Q55)," ")</f>
        <v xml:space="preserve"> </v>
      </c>
      <c r="S55" s="263" t="str">
        <f>IF(AND(A55&lt;&gt;" ",Sheet1!D$192=1,Sheet1!D$195=1),ROUND(R55*G55,Sheet1!D$75)," ")</f>
        <v xml:space="preserve"> </v>
      </c>
      <c r="T55" s="263" t="str">
        <f>IF(AND(A55&lt;&gt;" ",Sheet1!D$192=1,Sheet1!D$195=1),ROUND((R55/I55)*J55,Sheet1!D$75)," ")</f>
        <v xml:space="preserve"> </v>
      </c>
      <c r="U55" s="265">
        <f>SUM(T$11:T55)</f>
        <v>0</v>
      </c>
      <c r="V55" s="254" t="str">
        <f t="shared" si="0"/>
        <v xml:space="preserve"> </v>
      </c>
      <c r="W55" s="268"/>
      <c r="AA55" s="260"/>
      <c r="AB55" s="271" t="str">
        <f>IF(OR(Sheet1!D$192=1,Sheet1!D$195=1),IF(OR((AB54&gt;=(Sheet1!D$148+$A$11)-1),AND(Sheet1!D$8=3,AB54&gt;=6))," ",AB54+1),NA())</f>
        <v xml:space="preserve"> </v>
      </c>
      <c r="AC55" s="271" t="str">
        <f>IF(OR(Sheet1!D$192=1,Sheet1!D$195=1),IF(OR((AC54&gt;=(Sheet1!D$148+$B$11)-1),AND(Sheet1!D$8=3,AB54&gt;=6))," ",AC54+1),NA())</f>
        <v xml:space="preserve"> </v>
      </c>
      <c r="AD55" s="272"/>
      <c r="AE55" s="263" t="str">
        <f>IF(AND(Sheet1!D$195=1,AB55&lt;&gt;" "),ROUND(VLOOKUP(AB55,AlternativeC!A$17:M$66,12),Sheet1!D$75),IF(Sheet1!D$195=1," ","Alt  'C'  not feasible"))</f>
        <v>Alt  'C'  not feasible</v>
      </c>
      <c r="AF55" s="264" t="str">
        <f>IF(AB55&lt;=Sheet1!D$148, (1/((1+AF$10)^(AB55-0.5)))," ")</f>
        <v xml:space="preserve"> </v>
      </c>
      <c r="AG55" s="263" t="str">
        <f>IF(AND(Sheet1!D$195=1,AB55&lt;&gt;" "),ROUND(+AE55*AF55,Sheet1!D$75)," ")</f>
        <v xml:space="preserve"> </v>
      </c>
      <c r="AH55" s="264" t="str">
        <f>IF(AB55&lt;&gt;" ",ROUND(VLOOKUP(Sheet1!E$82,CHOOSE(Sheet1!D$214,Inflate1,Inflate2,Inflate3,Inflate4,Inflate5,Inflate6,Inflate7,Inflate8),2),4)," ")</f>
        <v xml:space="preserve"> </v>
      </c>
      <c r="AI55" s="264" t="str">
        <f>IF(AB55&lt;&gt;" ",ROUND(VLOOKUP(AC55,CHOOSE(Sheet1!D$214,Inflate1,Inflate2,Inflate3,Inflate4,Inflate5,Inflate6,Inflate7,Inflate8),3),4)," ")</f>
        <v xml:space="preserve"> </v>
      </c>
      <c r="AJ55" s="263" t="b">
        <f>IF(AND(Sheet1!D$195=1,AB55&lt;&gt;" "),IF(AND(O55&lt;=10,OR(Sheet1!D$8=2,Sheet1!D$8=3,Sheet1!D$22=3)),ROUND((AE55/AH55)*AI55,Sheet1!D$75),IF(AND(Sheet1!D$8&lt;&gt;2,Sheet1!D$8&lt;&gt;3,Sheet1!D$22&lt;&gt;3),ROUND((AE55/AH55)*AI55,Sheet1!D$75)," ")))</f>
        <v>0</v>
      </c>
    </row>
    <row r="56" spans="1:36" ht="12" customHeight="1" x14ac:dyDescent="0.2">
      <c r="A56" s="271" t="str">
        <f>IF(OR(Sheet1!D$192=1,Sheet1!D$195=1),IF(OR((A55&gt;=(Sheet1!D$148+$A$11)-1),AND(Sheet1!D$8=3,A55&gt;=6))," ",A55+1),NA())</f>
        <v xml:space="preserve"> </v>
      </c>
      <c r="B56" s="271" t="str">
        <f>IF(OR(Sheet1!D$192=1,Sheet1!D$195=1),IF(OR((B55&gt;=(Sheet1!D$148+$B$11)-1),AND(Sheet1!D$8=3,A55&gt;=6))," ",B55+1),NA())</f>
        <v xml:space="preserve"> </v>
      </c>
      <c r="C56" s="262"/>
      <c r="D56" s="263" t="str">
        <f>IF(AND(Sheet1!D$192=1,A56&lt;&gt;" "),ROUND(VLOOKUP(A56,StatusQuo!A$19:M$68,12),Sheet1!D$75),IF(Sheet1!D$192=1," ","SQ not feasible "))</f>
        <v xml:space="preserve"> </v>
      </c>
      <c r="E56" s="263" t="str">
        <f>IF(AND(Sheet1!D$195=1,A56&lt;&gt;" "),ROUND(VLOOKUP(A56,AlternativeC!A$110:M$159,12),Sheet1!D$75),IF(Sheet1!D$195=1," ","Alt  'C'  not feasible"))</f>
        <v>Alt  'C'  not feasible</v>
      </c>
      <c r="F56" s="263" t="str">
        <f>IF(AND(A56&lt;&gt;" ",Sheet1!D$192=1,Sheet1!D$195=1),D56-E56,IF(AND(Sheet1!D$195=1,A56&lt;&gt;" ")," "," "))</f>
        <v xml:space="preserve"> </v>
      </c>
      <c r="G56" s="264" t="str">
        <f>IF(A56&lt;=Sheet1!D$148, (1/((1+G10)^(A56-0.5)))," ")</f>
        <v xml:space="preserve"> </v>
      </c>
      <c r="H56" s="263" t="str">
        <f>IF(AND(A56&lt;&gt;" ",Sheet1!D$192=1,Sheet1!D$195=1),ROUND(F56*G56,Sheet1!D$75),IF(AND(A56&lt;&gt;" ",Sheet1!D$195=1),ROUND(E56*G56,Sheet1!D$75)," "))</f>
        <v xml:space="preserve"> </v>
      </c>
      <c r="I56" s="264" t="str">
        <f>IF(A56&lt;&gt;" ",ROUND(VLOOKUP(Sheet1!E$82,CHOOSE(Sheet1!D$234,Inflate7,Inflate2,Inflate3,Inflate4,Inflate5,Inflate6,Inflate1,Inflate8),2),4)," ")</f>
        <v xml:space="preserve"> </v>
      </c>
      <c r="J56" s="264" t="str">
        <f>IF(A56&lt;&gt;" ",ROUND(VLOOKUP(B56,CHOOSE(Sheet1!D$234,Inflate7,Inflate2,Inflate3,Inflate4,Inflate5,Inflate6,Inflate1,Inflate8),3),4)," ")</f>
        <v xml:space="preserve"> </v>
      </c>
      <c r="K56" s="265" t="str">
        <f>IF(AND(A56&lt;&gt;" ",Sheet1!D$192=1,Sheet1!D$195=1),ROUND((F56/I56)*J56,Sheet1!D$75),IF(AND(A56&lt;&gt;" ",Sheet1!D$195=1),ROUND((E56/I56)*J56,Sheet1!D$75)," "))</f>
        <v xml:space="preserve"> </v>
      </c>
      <c r="L56" s="254" t="str">
        <f>IF(Sheet1!D$192=1,IF(AND(AA56&gt;AJ$61,AA55&lt;=AJ$61),"&lt;-Payback"," ")," ")</f>
        <v xml:space="preserve"> </v>
      </c>
      <c r="M56" s="271" t="str">
        <f>IF(OR(Sheet1!D$192=1,Sheet1!D$195=1),IF(OR((A55&gt;=(Sheet1!D$148+$A$11)-1),AND(Sheet1!D$8=3,A55&gt;=6))," ",A55+1),NA())</f>
        <v xml:space="preserve"> </v>
      </c>
      <c r="N56" s="271" t="str">
        <f>IF(OR(Sheet1!D$192=1,Sheet1!D$195=1),IF(OR((B55&gt;=(Sheet1!D$148+$B$11)-1),AND(Sheet1!D$8=3,A55&gt;=6))," ",B55+1),NA())</f>
        <v xml:space="preserve"> </v>
      </c>
      <c r="O56" s="266" t="e">
        <f>IF(AND(Sheet1!D$8=3,M56=" ")," ",IF(OR(Sheet1!D$192=1,Sheet1!D$195=1),IF(O55&gt;0,IF(AND(OR(Sheet1!D$8=2,Sheet1!D$22=3),O55&gt;=10)," ",O55+1),IF(NOT(Sheet1!D$192=1),0,IF(ROUND(VLOOKUP(A56,StatusQuo!A$19:M$68,13),Sheet1!D$75)-ROUND(VLOOKUP(A56,AlternativeC!A$110:M$159,13),Sheet1!D$75)&gt;0,1,0)))," "))</f>
        <v>#VALUE!</v>
      </c>
      <c r="P56" s="263" t="str">
        <f>IF(AND(A56&lt;&gt;" ",Sheet1!D$192=1,Sheet1!D$195=1),IF(AND(OR(Sheet1!D$8=2,Sheet1!D$22=3),O56&gt;10),0,ROUND(VLOOKUP(A56,StatusQuo!A$19:M$68,13),Sheet1!D$75)),IF(NOT(Sheet1!D$192=1),"not feasible",IF(A56=" "," ", "Savings is  n/a=&gt;")))</f>
        <v xml:space="preserve"> </v>
      </c>
      <c r="Q56" s="263" t="str">
        <f>IF(AND(A56&lt;&gt;" ",Sheet1!D$192=1,Sheet1!D$195=1),IF(AND(OR(Sheet1!D$8=2,Sheet1!D$22=3),O56&gt;10),0,ROUND(VLOOKUP(A56,AlternativeC!A$110:M$159,13),Sheet1!D$75)),IF(NOT(Sheet1!D$195=1),"not feasible",IF(A56=" "," ","&lt;== Savings is n/a")))</f>
        <v>not feasible</v>
      </c>
      <c r="R56" s="263" t="str">
        <f>IF(AND(A56&lt;&gt;" ",Sheet1!D$192=1,Sheet1!D$195=1),IF(G$81&lt;&gt;" ","??????? ",P56-Q56)," ")</f>
        <v xml:space="preserve"> </v>
      </c>
      <c r="S56" s="263" t="str">
        <f>IF(AND(A56&lt;&gt;" ",Sheet1!D$192=1,Sheet1!D$195=1),ROUND(R56*G56,Sheet1!D$75)," ")</f>
        <v xml:space="preserve"> </v>
      </c>
      <c r="T56" s="263" t="str">
        <f>IF(AND(A56&lt;&gt;" ",Sheet1!D$192=1,Sheet1!D$195=1),ROUND((R56/I56)*J56,Sheet1!D$75)," ")</f>
        <v xml:space="preserve"> </v>
      </c>
      <c r="U56" s="265">
        <f>SUM(T$11:T56)</f>
        <v>0</v>
      </c>
      <c r="V56" s="254" t="str">
        <f t="shared" si="0"/>
        <v xml:space="preserve"> </v>
      </c>
      <c r="W56" s="268"/>
      <c r="AA56" s="260"/>
      <c r="AB56" s="271" t="str">
        <f>IF(OR(Sheet1!D$192=1,Sheet1!D$195=1),IF(OR((AB55&gt;=(Sheet1!D$148+$A$11)-1),AND(Sheet1!D$8=3,AB55&gt;=6))," ",AB55+1),NA())</f>
        <v xml:space="preserve"> </v>
      </c>
      <c r="AC56" s="271" t="str">
        <f>IF(OR(Sheet1!D$192=1,Sheet1!D$195=1),IF(OR((AC55&gt;=(Sheet1!D$148+$B$11)-1),AND(Sheet1!D$8=3,AB55&gt;=6))," ",AC55+1),NA())</f>
        <v xml:space="preserve"> </v>
      </c>
      <c r="AD56" s="272"/>
      <c r="AE56" s="263" t="str">
        <f>IF(AND(Sheet1!D$195=1,AB56&lt;&gt;" "),ROUND(VLOOKUP(AB56,AlternativeC!A$17:M$66,12),Sheet1!D$75),IF(Sheet1!D$195=1," ","Alt  'C'  not feasible"))</f>
        <v>Alt  'C'  not feasible</v>
      </c>
      <c r="AF56" s="264" t="str">
        <f>IF(AB56&lt;=Sheet1!D$148, (1/((1+AF$10)^(AB56-0.5)))," ")</f>
        <v xml:space="preserve"> </v>
      </c>
      <c r="AG56" s="263" t="str">
        <f>IF(AND(Sheet1!D$195=1,AB56&lt;&gt;" "),ROUND(+AE56*AF56,Sheet1!D$75)," ")</f>
        <v xml:space="preserve"> </v>
      </c>
      <c r="AH56" s="264" t="str">
        <f>IF(AB56&lt;&gt;" ",ROUND(VLOOKUP(Sheet1!E$82,CHOOSE(Sheet1!D$214,Inflate1,Inflate2,Inflate3,Inflate4,Inflate5,Inflate6,Inflate7,Inflate8),2),4)," ")</f>
        <v xml:space="preserve"> </v>
      </c>
      <c r="AI56" s="264" t="str">
        <f>IF(AB56&lt;&gt;" ",ROUND(VLOOKUP(AC56,CHOOSE(Sheet1!D$214,Inflate1,Inflate2,Inflate3,Inflate4,Inflate5,Inflate6,Inflate7,Inflate8),3),4)," ")</f>
        <v xml:space="preserve"> </v>
      </c>
      <c r="AJ56" s="263" t="b">
        <f>IF(AND(Sheet1!D$195=1,AB56&lt;&gt;" "),IF(AND(O56&lt;=10,OR(Sheet1!D$8=2,Sheet1!D$8=3,Sheet1!D$22=3)),ROUND((AE56/AH56)*AI56,Sheet1!D$75),IF(AND(Sheet1!D$8&lt;&gt;2,Sheet1!D$8&lt;&gt;3,Sheet1!D$22&lt;&gt;3),ROUND((AE56/AH56)*AI56,Sheet1!D$75)," ")))</f>
        <v>0</v>
      </c>
    </row>
    <row r="57" spans="1:36" ht="12" customHeight="1" thickBot="1" x14ac:dyDescent="0.25">
      <c r="A57" s="271" t="str">
        <f>IF(OR(Sheet1!D$192=1,Sheet1!D$195=1),IF(OR((A56&gt;=(Sheet1!D$148+$A$11)-1),AND(Sheet1!D$8=3,A56&gt;=6))," ",A56+1),NA())</f>
        <v xml:space="preserve"> </v>
      </c>
      <c r="B57" s="271" t="str">
        <f>IF(OR(Sheet1!D$192=1,Sheet1!D$195=1),IF(OR((B56&gt;=(Sheet1!D$148+$B$11)-1),AND(Sheet1!D$8=3,A56&gt;=6))," ",B56+1),NA())</f>
        <v xml:space="preserve"> </v>
      </c>
      <c r="C57" s="262"/>
      <c r="D57" s="263" t="str">
        <f>IF(AND(Sheet1!D$192=1,A57&lt;&gt;" "),ROUND(VLOOKUP(A57,StatusQuo!A$19:M$68,12),Sheet1!D$75),IF(Sheet1!D$192=1," ","SQ not feasible "))</f>
        <v xml:space="preserve"> </v>
      </c>
      <c r="E57" s="263" t="str">
        <f>IF(AND(Sheet1!D$195=1,A57&lt;&gt;" "),ROUND(VLOOKUP(A57,AlternativeC!A$110:M$159,12),Sheet1!D$75),IF(Sheet1!D$195=1," ","Alt  'C'  not feasible"))</f>
        <v>Alt  'C'  not feasible</v>
      </c>
      <c r="F57" s="263" t="str">
        <f>IF(AND(A57&lt;&gt;" ",Sheet1!D$192=1,Sheet1!D$195=1),D57-E57,IF(AND(Sheet1!D$195=1,A57&lt;&gt;" ")," "," "))</f>
        <v xml:space="preserve"> </v>
      </c>
      <c r="G57" s="264" t="str">
        <f>IF(A57&lt;=Sheet1!D$148, (1/((1+G10)^(A57-0.5)))," ")</f>
        <v xml:space="preserve"> </v>
      </c>
      <c r="H57" s="263" t="str">
        <f>IF(AND(A57&lt;&gt;" ",Sheet1!D$192=1,Sheet1!D$195=1),ROUND(F57*G57,Sheet1!D$75),IF(AND(A57&lt;&gt;" ",Sheet1!D$195=1),ROUND(E57*G57,Sheet1!D$75)," "))</f>
        <v xml:space="preserve"> </v>
      </c>
      <c r="I57" s="264" t="str">
        <f>IF(A57&lt;&gt;" ",ROUND(VLOOKUP(Sheet1!E$82,CHOOSE(Sheet1!D$234,Inflate7,Inflate2,Inflate3,Inflate4,Inflate5,Inflate6,Inflate1,Inflate8),2),4)," ")</f>
        <v xml:space="preserve"> </v>
      </c>
      <c r="J57" s="264" t="str">
        <f>IF(A57&lt;&gt;" ",ROUND(VLOOKUP(B57,CHOOSE(Sheet1!D$234,Inflate7,Inflate2,Inflate3,Inflate4,Inflate5,Inflate6,Inflate1,Inflate8),3),4)," ")</f>
        <v xml:space="preserve"> </v>
      </c>
      <c r="K57" s="265" t="str">
        <f>IF(AND(A57&lt;&gt;" ",Sheet1!D$192=1,Sheet1!D$195=1),ROUND((F57/I57)*J57,Sheet1!D$75),IF(AND(A57&lt;&gt;" ",Sheet1!D$195=1),ROUND((E57/I57)*J57,Sheet1!D$75)," "))</f>
        <v xml:space="preserve"> </v>
      </c>
      <c r="L57" s="254" t="str">
        <f>IF(Sheet1!D$192=1,IF(AND(AA57&gt;AJ$61,AA56&lt;=AJ$61),"&lt;-Payback"," ")," ")</f>
        <v xml:space="preserve"> </v>
      </c>
      <c r="M57" s="271" t="str">
        <f>IF(OR(Sheet1!D$192=1,Sheet1!D$195=1),IF(OR((A56&gt;=(Sheet1!D$148+$A$11)-1),AND(Sheet1!D$8=3,A56&gt;=6))," ",A56+1),NA())</f>
        <v xml:space="preserve"> </v>
      </c>
      <c r="N57" s="271" t="str">
        <f>IF(OR(Sheet1!D$192=1,Sheet1!D$195=1),IF(OR((B56&gt;=(Sheet1!D$148+$B$11)-1),AND(Sheet1!D$8=3,A56&gt;=6))," ",B56+1),NA())</f>
        <v xml:space="preserve"> </v>
      </c>
      <c r="O57" s="266" t="e">
        <f>IF(AND(Sheet1!D$8=3,M57=" ")," ",IF(OR(Sheet1!D$192=1,Sheet1!D$195=1),IF(O56&gt;0,IF(AND(OR(Sheet1!D$8=2,Sheet1!D$22=3),O56&gt;=10)," ",O56+1),IF(NOT(Sheet1!D$192=1),0,IF(ROUND(VLOOKUP(A57,StatusQuo!A$19:M$68,13),Sheet1!D$75)-ROUND(VLOOKUP(A57,AlternativeC!A$110:M$159,13),Sheet1!D$75)&gt;0,1,0)))," "))</f>
        <v>#VALUE!</v>
      </c>
      <c r="P57" s="263" t="str">
        <f>IF(AND(A57&lt;&gt;" ",Sheet1!D$192=1,Sheet1!D$195=1),IF(AND(OR(Sheet1!D$8=2,Sheet1!D$22=3),O57&gt;10),0,ROUND(VLOOKUP(A57,StatusQuo!A$19:M$68,13),Sheet1!D$75)),IF(NOT(Sheet1!D$192=1),"not feasible",IF(A57=" "," ", "Savings is  n/a=&gt;")))</f>
        <v xml:space="preserve"> </v>
      </c>
      <c r="Q57" s="263" t="str">
        <f>IF(AND(A57&lt;&gt;" ",Sheet1!D$192=1,Sheet1!D$195=1),IF(AND(OR(Sheet1!D$8=2,Sheet1!D$22=3),O57&gt;10),0,ROUND(VLOOKUP(A57,AlternativeC!A$110:M$159,13),Sheet1!D$75)),IF(NOT(Sheet1!D$195=1),"not feasible",IF(A57=" "," ","&lt;== Savings is n/a")))</f>
        <v>not feasible</v>
      </c>
      <c r="R57" s="263" t="str">
        <f>IF(AND(A57&lt;&gt;" ",Sheet1!D$192=1,Sheet1!D$195=1),IF(G$81&lt;&gt;" ","??????? ",P57-Q57)," ")</f>
        <v xml:space="preserve"> </v>
      </c>
      <c r="S57" s="263" t="str">
        <f>IF(AND(A57&lt;&gt;" ",Sheet1!D$192=1,Sheet1!D$195=1),ROUND(R57*G57,Sheet1!D$75)," ")</f>
        <v xml:space="preserve"> </v>
      </c>
      <c r="T57" s="263" t="str">
        <f>IF(AND(A57&lt;&gt;" ",Sheet1!D$192=1,Sheet1!D$195=1),ROUND((R57/I57)*J57,Sheet1!D$75)," ")</f>
        <v xml:space="preserve"> </v>
      </c>
      <c r="U57" s="265">
        <f>SUM(T$11:T57)</f>
        <v>0</v>
      </c>
      <c r="V57" s="254" t="str">
        <f t="shared" si="0"/>
        <v xml:space="preserve"> </v>
      </c>
      <c r="W57" s="268"/>
      <c r="AA57" s="260"/>
      <c r="AB57" s="271" t="str">
        <f>IF(OR(Sheet1!D$192=1,Sheet1!D$195=1),IF(OR((AB56&gt;=(Sheet1!D$148+$A$11)-1),AND(Sheet1!D$8=3,AB56&gt;=6))," ",AB56+1),NA())</f>
        <v xml:space="preserve"> </v>
      </c>
      <c r="AC57" s="271" t="str">
        <f>IF(OR(Sheet1!D$192=1,Sheet1!D$195=1),IF(OR((AC56&gt;=(Sheet1!D$148+$B$11)-1),AND(Sheet1!D$8=3,AB56&gt;=6))," ",AC56+1),NA())</f>
        <v xml:space="preserve"> </v>
      </c>
      <c r="AD57" s="272"/>
      <c r="AE57" s="263" t="str">
        <f>IF(AND(Sheet1!D$195=1,AB57&lt;&gt;" "),ROUND(VLOOKUP(AB57,AlternativeC!A$17:M$66,12),Sheet1!D$75),IF(Sheet1!D$195=1," ","Alt  'C'  not feasible"))</f>
        <v>Alt  'C'  not feasible</v>
      </c>
      <c r="AF57" s="264" t="str">
        <f>IF(AB57&lt;=Sheet1!D$148, (1/((1+AF$10)^(AB57-0.5)))," ")</f>
        <v xml:space="preserve"> </v>
      </c>
      <c r="AG57" s="263" t="str">
        <f>IF(AND(Sheet1!D$195=1,AB57&lt;&gt;" "),ROUND(+AE57*AF57,Sheet1!D$75)," ")</f>
        <v xml:space="preserve"> </v>
      </c>
      <c r="AH57" s="264" t="str">
        <f>IF(AB57&lt;&gt;" ",ROUND(VLOOKUP(Sheet1!E$82,CHOOSE(Sheet1!D$214,Inflate1,Inflate2,Inflate3,Inflate4,Inflate5,Inflate6,Inflate7,Inflate8),2),4)," ")</f>
        <v xml:space="preserve"> </v>
      </c>
      <c r="AI57" s="264" t="str">
        <f>IF(AB57&lt;&gt;" ",ROUND(VLOOKUP(AC57,CHOOSE(Sheet1!D$214,Inflate1,Inflate2,Inflate3,Inflate4,Inflate5,Inflate6,Inflate7,Inflate8),3),4)," ")</f>
        <v xml:space="preserve"> </v>
      </c>
      <c r="AJ57" s="263" t="b">
        <f>IF(AND(Sheet1!D$195=1,AB57&lt;&gt;" "),IF(AND(O57&lt;=10,OR(Sheet1!D$8=2,Sheet1!D$8=3,Sheet1!D$22=3)),ROUND((AE57/AH57)*AI57,Sheet1!D$75),IF(AND(Sheet1!D$8&lt;&gt;2,Sheet1!D$8&lt;&gt;3,Sheet1!D$22&lt;&gt;3),ROUND((AE57/AH57)*AI57,Sheet1!D$75)," ")))</f>
        <v>0</v>
      </c>
    </row>
    <row r="58" spans="1:36" ht="12" hidden="1" customHeight="1" thickBot="1" x14ac:dyDescent="0.25">
      <c r="A58" s="271" t="str">
        <f>IF(OR(Sheet1!D$192=1,Sheet1!D$195=1),IF(OR((A57&gt;=(Sheet1!D$148+$A$11)-1),AND(Sheet1!D$8=3,A57&gt;=6))," ",A57+1),NA())</f>
        <v xml:space="preserve"> </v>
      </c>
      <c r="B58" s="271" t="str">
        <f>IF(OR(Sheet1!D$192=1,Sheet1!D$195=1),IF(OR((B57&gt;=(Sheet1!D$148+$B$11)-1),AND(Sheet1!D$8=3,A57&gt;=6))," ",B57+1),NA())</f>
        <v xml:space="preserve"> </v>
      </c>
      <c r="C58" s="262"/>
      <c r="D58" s="263" t="str">
        <f>IF(AND(Sheet1!D$192=1,A58&lt;&gt;" "),ROUND(VLOOKUP(A58,StatusQuo!A$19:M$68,12),Sheet1!D$75),IF(Sheet1!D$192=1," ","SQ not feasible "))</f>
        <v xml:space="preserve"> </v>
      </c>
      <c r="E58" s="263" t="str">
        <f>IF(AND(Sheet1!D$195=1,A58&lt;&gt;" "),ROUND(VLOOKUP(A58,AlternativeC!A$110:M$159,12),Sheet1!D$75),IF(Sheet1!D$195=1," ","Alt  'A'  not feasible"))</f>
        <v>Alt  'A'  not feasible</v>
      </c>
      <c r="F58" s="263" t="str">
        <f>IF(AND(A58&lt;&gt;" ",Sheet1!D$192=1,Sheet1!D$195=1),D58-E58,IF(AND(Sheet1!D$195=1,A58&lt;&gt;" ")," "," "))</f>
        <v xml:space="preserve"> </v>
      </c>
      <c r="G58" s="264" t="str">
        <f>IF(A58&lt;=Sheet1!D$148, (1/((1+G10)^(A58-0.5)))," ")</f>
        <v xml:space="preserve"> </v>
      </c>
      <c r="H58" s="263" t="str">
        <f>IF(AND(A58&lt;&gt;" ",Sheet1!D$192=1,Sheet1!D$195=1),ROUND(F58*G58,Sheet1!D$75),IF(AND(A58&lt;&gt;" ",Sheet1!D$195=1),ROUND(E58*G58,Sheet1!D$75)," "))</f>
        <v xml:space="preserve"> </v>
      </c>
      <c r="I58" s="264" t="str">
        <f>IF(A58&lt;&gt;" ",ROUND(VLOOKUP(Sheet1!E$82,CHOOSE(Sheet1!D$234,Inflate7,Inflate2,Inflate3,Inflate4,Inflate5,Inflate6,Inflate1,Inflate8),2),4)," ")</f>
        <v xml:space="preserve"> </v>
      </c>
      <c r="J58" s="264" t="str">
        <f>IF(A58&lt;&gt;" ",ROUND(VLOOKUP(B58,CHOOSE(Sheet1!D$234,Inflate7,Inflate2,Inflate3,Inflate4,Inflate5,Inflate6,Inflate1,Inflate8),3),4)," ")</f>
        <v xml:space="preserve"> </v>
      </c>
      <c r="K58" s="265" t="str">
        <f>IF(AND(A58&lt;&gt;" ",Sheet1!D$192=1,Sheet1!D$195=1),ROUND((F58/I58)*J58,Sheet1!D$75),IF(AND(A58&lt;&gt;" ",Sheet1!D$195=1),ROUND((E58/I58)*J58,Sheet1!D$75)," "))</f>
        <v xml:space="preserve"> </v>
      </c>
      <c r="L58" s="254" t="str">
        <f>IF(Sheet1!D$192=1,IF(AND(AA58&gt;AJ$61,AA57&lt;=AJ$61),"&lt;-Payback"," ")," ")</f>
        <v xml:space="preserve"> </v>
      </c>
      <c r="M58" s="271" t="str">
        <f>IF(OR(Sheet1!D$192=1,Sheet1!D$195=1),IF(OR((A57&gt;=(Sheet1!D$148+$A$11)-1),AND(Sheet1!D$8=3,A57&gt;=6))," ",A57+1),NA())</f>
        <v xml:space="preserve"> </v>
      </c>
      <c r="N58" s="271" t="str">
        <f>IF(OR(Sheet1!D$192=1,Sheet1!D$195=1),IF(OR((B57&gt;=(Sheet1!D$148+$B$11)-1),AND(Sheet1!D$8=3,A57&gt;=6))," ",B57+1),NA())</f>
        <v xml:space="preserve"> </v>
      </c>
      <c r="O58" s="266" t="e">
        <f>IF(AND(Sheet1!D$8=3,M58=" ")," ",IF(OR(Sheet1!D$192=1,Sheet1!D$195=1),IF(O57&gt;0,IF(AND(OR(Sheet1!D$8=2,Sheet1!D$22=3),O57&gt;=10)," ",O57+1),IF(NOT(Sheet1!D$192=1),0,IF(ROUND(VLOOKUP(A58,StatusQuo!A$19:M$68,13),Sheet1!D$75)-ROUND(VLOOKUP(A58,AlternativeC!A$110:M$159,13),Sheet1!D$75)&gt;0,1,0)))," "))</f>
        <v>#VALUE!</v>
      </c>
      <c r="P58" s="263" t="str">
        <f>IF(AND(A58&lt;&gt;" ",Sheet1!D$192=1,Sheet1!D$195=1),IF(AND(OR(Sheet1!D$8=2,Sheet1!D$22=3),O58&gt;10),0,ROUND(VLOOKUP(A58,StatusQuo!A$19:M$68,13),Sheet1!D$75)),IF(NOT(Sheet1!D$192=1),"not feasible",IF(A58=" "," ", "Savings is  n/a=&gt;")))</f>
        <v xml:space="preserve"> </v>
      </c>
      <c r="Q58" s="263" t="str">
        <f>IF(AND(A58&lt;&gt;" ",Sheet1!D$192=1,Sheet1!D$195=1),IF(AND(OR(Sheet1!D$8=2,Sheet1!D$22=3),O58&gt;10),0,ROUND(VLOOKUP(A58,AlternativeC!A$110:M$159,13),Sheet1!D$75)),IF(NOT(Sheet1!D$195=1),"not feasible",IF(A58=" "," ","&lt;== Savings is n/a")))</f>
        <v>not feasible</v>
      </c>
      <c r="R58" s="263" t="str">
        <f>IF(AND(A58&lt;&gt;" ",Sheet1!D$192=1,Sheet1!D$195=1),IF(G$81&lt;&gt;" ","??????? ",P58-Q58)," ")</f>
        <v xml:space="preserve"> </v>
      </c>
      <c r="S58" s="263" t="str">
        <f>IF(AND(A58&lt;&gt;" ",Sheet1!D$192=1,Sheet1!D$195=1),ROUND(R58*G58,Sheet1!D$75)," ")</f>
        <v xml:space="preserve"> </v>
      </c>
      <c r="T58" s="263" t="str">
        <f>IF(AND(A58&lt;&gt;" ",Sheet1!D$192=1,Sheet1!D$195=1),ROUND((R58/I58)*J58,Sheet1!D$75)," ")</f>
        <v xml:space="preserve"> </v>
      </c>
      <c r="U58" s="265">
        <f>SUM(T$11:T58)</f>
        <v>0</v>
      </c>
      <c r="V58" s="254" t="str">
        <f t="shared" si="0"/>
        <v xml:space="preserve"> </v>
      </c>
      <c r="W58" s="268"/>
      <c r="AA58" s="260"/>
      <c r="AB58" s="271" t="str">
        <f>IF(OR(Sheet1!D$192=1,Sheet1!D$195=1),IF(OR((AB57&gt;=(Sheet1!D$148+$A$11)-1),AND(Sheet1!D$8=3,AB57&gt;=6))," ",AB57+1),NA())</f>
        <v xml:space="preserve"> </v>
      </c>
      <c r="AC58" s="271" t="str">
        <f>IF(OR(Sheet1!D$192=1,Sheet1!D$195=1),IF(OR((AC57&gt;=(Sheet1!D$148+$B$11)-1),AND(Sheet1!D$8=3,AB57&gt;=6))," ",AC57+1),NA())</f>
        <v xml:space="preserve"> </v>
      </c>
      <c r="AD58" s="272"/>
      <c r="AE58" s="263" t="str">
        <f>IF(AND(Sheet1!D$195=1,AB58&lt;&gt;" "),ROUND(VLOOKUP(AB58,AlternativeC!A$17:M$66,12),Sheet1!D$75),IF(Sheet1!D$195=1," ","Alt  'C'  not feasible"))</f>
        <v>Alt  'C'  not feasible</v>
      </c>
      <c r="AF58" s="264" t="str">
        <f>IF(AB58&lt;=Sheet1!D$148, (1/((1+AF$10)^(AB58-0.5)))," ")</f>
        <v xml:space="preserve"> </v>
      </c>
      <c r="AG58" s="263" t="str">
        <f>IF(AND(Sheet1!D$195=1,AB58&lt;&gt;" "),ROUND(+AE58*AF58,Sheet1!D$75)," ")</f>
        <v xml:space="preserve"> </v>
      </c>
      <c r="AH58" s="264" t="str">
        <f>IF(AB58&lt;&gt;" ",ROUND(VLOOKUP(Sheet1!E$82,CHOOSE(Sheet1!D$214,Inflate1,Inflate2,Inflate3,Inflate4,Inflate5,Inflate6,Inflate7,Inflate8),2),4)," ")</f>
        <v xml:space="preserve"> </v>
      </c>
      <c r="AI58" s="264" t="str">
        <f>IF(AB58&lt;&gt;" ",ROUND(VLOOKUP(AC58,CHOOSE(Sheet1!D$214,Inflate1,Inflate2,Inflate3,Inflate4,Inflate5,Inflate6,Inflate7,Inflate8),3),4)," ")</f>
        <v xml:space="preserve"> </v>
      </c>
      <c r="AJ58" s="263" t="b">
        <f>IF(AND(Sheet1!D$195=1,AB58&lt;&gt;" "),IF(AND(O58&lt;=10,OR(Sheet1!D$8=2,Sheet1!D$8=3,Sheet1!D$22=3)),ROUND((AE58/AH58)*AI58,Sheet1!D$75),IF(AND(Sheet1!D$8&lt;&gt;2,Sheet1!D$8&lt;&gt;3,Sheet1!D$22&lt;&gt;3),ROUND((AE58/AH58)*AI58,Sheet1!D$75)," ")))</f>
        <v>0</v>
      </c>
    </row>
    <row r="59" spans="1:36" ht="12" hidden="1" customHeight="1" x14ac:dyDescent="0.2">
      <c r="A59" s="271" t="str">
        <f>IF(OR(Sheet1!D$192=1,Sheet1!D$195=1),IF(OR((A58&gt;=(Sheet1!D$148+$A$11)-1),AND(Sheet1!D$8=3,A58&gt;=6))," ",A58+1),NA())</f>
        <v xml:space="preserve"> </v>
      </c>
      <c r="B59" s="271" t="str">
        <f>IF(OR(Sheet1!D$192=1,Sheet1!D$195=1),IF(OR((B58&gt;=(Sheet1!D$148+$B$11)-1),AND(Sheet1!D$8=3,A58&gt;=6))," ",B58+1),NA())</f>
        <v xml:space="preserve"> </v>
      </c>
      <c r="C59" s="262"/>
      <c r="D59" s="263" t="str">
        <f>IF(AND(Sheet1!D$192=1,A59&lt;&gt;" "),ROUND(VLOOKUP(A59,StatusQuo!A$19:M$68,12),Sheet1!D$75),IF(Sheet1!D$192=1," ","SQ not feasible "))</f>
        <v xml:space="preserve"> </v>
      </c>
      <c r="E59" s="263" t="str">
        <f>IF(AND(Sheet1!D$195=1,A59&lt;&gt;" "),ROUND(VLOOKUP(A59,AlternativeC!A$110:M$159,12),Sheet1!D$75),IF(Sheet1!D$195=1," ","Alt  'A'  not feasible"))</f>
        <v>Alt  'A'  not feasible</v>
      </c>
      <c r="F59" s="263" t="str">
        <f>IF(AND(A59&lt;&gt;" ",Sheet1!D$192=1,Sheet1!D$195=1),D59-E59,IF(AND(Sheet1!D$195=1,A59&lt;&gt;" ")," "," "))</f>
        <v xml:space="preserve"> </v>
      </c>
      <c r="G59" s="264" t="str">
        <f>IF(A59&lt;=Sheet1!D$148, (1/((1+G10)^(A59-0.5)))," ")</f>
        <v xml:space="preserve"> </v>
      </c>
      <c r="H59" s="263" t="str">
        <f>IF(AND(A59&lt;&gt;" ",Sheet1!D$192=1,Sheet1!D$195=1),ROUND(F59*G59,Sheet1!D$75),IF(AND(A59&lt;&gt;" ",Sheet1!D$195=1),ROUND(E59*G59,Sheet1!D$75)," "))</f>
        <v xml:space="preserve"> </v>
      </c>
      <c r="I59" s="264" t="str">
        <f>IF(A59&lt;&gt;" ",ROUND(VLOOKUP(Sheet1!E$82,CHOOSE(Sheet1!D$234,Inflate7,Inflate2,Inflate3,Inflate4,Inflate5,Inflate6,Inflate1,Inflate8),2),4)," ")</f>
        <v xml:space="preserve"> </v>
      </c>
      <c r="J59" s="264" t="str">
        <f>IF(A59&lt;&gt;" ",ROUND(VLOOKUP(B59,CHOOSE(Sheet1!D$234,Inflate7,Inflate2,Inflate3,Inflate4,Inflate5,Inflate6,Inflate1,Inflate8),3),4)," ")</f>
        <v xml:space="preserve"> </v>
      </c>
      <c r="K59" s="265" t="str">
        <f>IF(AND(A59&lt;&gt;" ",Sheet1!D$192=1,Sheet1!D$195=1),ROUND((F59/I59)*J59,Sheet1!D$75),IF(AND(A59&lt;&gt;" ",Sheet1!D$195=1),ROUND((E59/I59)*J59,Sheet1!D$75)," "))</f>
        <v xml:space="preserve"> </v>
      </c>
      <c r="L59" s="254" t="str">
        <f>IF(Sheet1!D$192=1,IF(AND(AA59&gt;AJ$61,AA58&lt;=AJ$61),"&lt;-Payback"," ")," ")</f>
        <v xml:space="preserve"> </v>
      </c>
      <c r="M59" s="271" t="str">
        <f>IF(OR(Sheet1!D$192=1,Sheet1!D$195=1),IF(OR((A58&gt;=(Sheet1!D$148+$A$11)-1),AND(Sheet1!D$8=3,A58&gt;=6))," ",A58+1),NA())</f>
        <v xml:space="preserve"> </v>
      </c>
      <c r="N59" s="271" t="str">
        <f>IF(OR(Sheet1!D$192=1,Sheet1!D$195=1),IF(OR((B58&gt;=(Sheet1!D$148+$B$11)-1),AND(Sheet1!D$8=3,A58&gt;=6))," ",B58+1),NA())</f>
        <v xml:space="preserve"> </v>
      </c>
      <c r="O59" s="266" t="e">
        <f>IF(AND(Sheet1!D$8=3,M59=" ")," ",IF(OR(Sheet1!D$192=1,Sheet1!D$195=1),IF(O58&gt;0,IF(AND(OR(Sheet1!D$8=2,Sheet1!D$22=3),O58&gt;=10)," ",O58+1),IF(NOT(Sheet1!D$192=1),0,IF(ROUND(VLOOKUP(A59,StatusQuo!A$19:M$68,13),Sheet1!D$75)-ROUND(VLOOKUP(A59,AlternativeC!A$110:M$159,13),Sheet1!D$75)&gt;0,1,0)))," "))</f>
        <v>#VALUE!</v>
      </c>
      <c r="P59" s="263" t="str">
        <f>IF(AND(A59&lt;&gt;" ",Sheet1!D$192=1,Sheet1!D$195=1),IF(AND(OR(Sheet1!D$8=2,Sheet1!D$22=3),O59&gt;10),0,ROUND(VLOOKUP(A59,StatusQuo!A$19:M$68,13),Sheet1!D$75)),IF(NOT(Sheet1!D$192=1),"not feasible",IF(A59=" "," ", "Savings is  n/a=&gt;")))</f>
        <v xml:space="preserve"> </v>
      </c>
      <c r="Q59" s="263" t="str">
        <f>IF(AND(A59&lt;&gt;" ",Sheet1!D$192=1,Sheet1!D$195=1),IF(AND(OR(Sheet1!D$8=2,Sheet1!D$22=3),O59&gt;10),0,ROUND(VLOOKUP(A59,AlternativeC!A$110:M$159,13),Sheet1!D$75)),IF(NOT(Sheet1!D$195=1),"not feasible",IF(A59=" "," ","&lt;== Savings is n/a")))</f>
        <v>not feasible</v>
      </c>
      <c r="R59" s="263" t="str">
        <f>IF(AND(A59&lt;&gt;" ",Sheet1!D$192=1,Sheet1!D$195=1),IF(G$81&lt;&gt;" ","??????? ",P59-Q59)," ")</f>
        <v xml:space="preserve"> </v>
      </c>
      <c r="S59" s="263" t="str">
        <f>IF(AND(A59&lt;&gt;" ",Sheet1!D$192=1,Sheet1!D$195=1),ROUND(R59*G59,Sheet1!D$75)," ")</f>
        <v xml:space="preserve"> </v>
      </c>
      <c r="T59" s="263" t="str">
        <f>IF(AND(A59&lt;&gt;" ",Sheet1!D$192=1,Sheet1!D$195=1),ROUND((R59/I59)*J59,Sheet1!D$75)," ")</f>
        <v xml:space="preserve"> </v>
      </c>
      <c r="U59" s="265">
        <f>SUM(T$11:T59)</f>
        <v>0</v>
      </c>
      <c r="V59" s="254" t="str">
        <f t="shared" si="0"/>
        <v xml:space="preserve"> </v>
      </c>
      <c r="W59" s="268"/>
      <c r="AA59" s="260"/>
      <c r="AB59" s="271" t="str">
        <f>IF(OR(Sheet1!D$192=1,Sheet1!D$195=1),IF(OR((AB58&gt;=(Sheet1!D$148+$A$11)-1),AND(Sheet1!D$8=3,AB58&gt;=6))," ",AB58+1),NA())</f>
        <v xml:space="preserve"> </v>
      </c>
      <c r="AC59" s="271" t="str">
        <f>IF(OR(Sheet1!D$192=1,Sheet1!D$195=1),IF(OR((AC58&gt;=(Sheet1!D$148+$B$11)-1),AND(Sheet1!D$8=3,AB58&gt;=6))," ",AC58+1),NA())</f>
        <v xml:space="preserve"> </v>
      </c>
      <c r="AD59" s="272"/>
      <c r="AE59" s="263" t="str">
        <f>IF(AND(Sheet1!D$195=1,AB59&lt;&gt;" "),ROUND(VLOOKUP(AB59,AlternativeC!A$17:M$66,12),Sheet1!D$75),IF(Sheet1!D$195=1," ","Alt  'C'  not feasible"))</f>
        <v>Alt  'C'  not feasible</v>
      </c>
      <c r="AF59" s="264" t="str">
        <f>IF(AB59&lt;=Sheet1!D$148, (1/((1+AF$10)^(AB59-0.5)))," ")</f>
        <v xml:space="preserve"> </v>
      </c>
      <c r="AG59" s="263" t="str">
        <f>IF(AND(Sheet1!D$195=1,AB59&lt;&gt;" "),ROUND(+AE59*AF59,Sheet1!D$75)," ")</f>
        <v xml:space="preserve"> </v>
      </c>
      <c r="AH59" s="264" t="str">
        <f>IF(AB59&lt;&gt;" ",ROUND(VLOOKUP(Sheet1!E$82,CHOOSE(Sheet1!D$214,Inflate1,Inflate2,Inflate3,Inflate4,Inflate5,Inflate6,Inflate7,Inflate8),2),4)," ")</f>
        <v xml:space="preserve"> </v>
      </c>
      <c r="AI59" s="264" t="str">
        <f>IF(AB59&lt;&gt;" ",ROUND(VLOOKUP(AC59,CHOOSE(Sheet1!D$214,Inflate1,Inflate2,Inflate3,Inflate4,Inflate5,Inflate6,Inflate7,Inflate8),3),4)," ")</f>
        <v xml:space="preserve"> </v>
      </c>
      <c r="AJ59" s="263" t="b">
        <f>IF(AND(Sheet1!D$195=1,AB59&lt;&gt;" "),IF(AND(O59&lt;=10,OR(Sheet1!D$8=2,Sheet1!D$8=3,Sheet1!D$22=3)),ROUND((AE59/AH59)*AI59,Sheet1!D$75),IF(AND(Sheet1!D$8&lt;&gt;2,Sheet1!D$8&lt;&gt;3,Sheet1!D$22&lt;&gt;3),ROUND((AE59/AH59)*AI59,Sheet1!D$75)," ")))</f>
        <v>0</v>
      </c>
    </row>
    <row r="60" spans="1:36" ht="12" hidden="1" customHeight="1" thickBot="1" x14ac:dyDescent="0.25">
      <c r="A60" s="271" t="str">
        <f>IF(OR(Sheet1!D$192=1,Sheet1!D$195=1),IF(OR((A59&gt;=(Sheet1!D$148+$A$11)-1),AND(Sheet1!D$8=3,A59&gt;=6))," ",A59+1),NA())</f>
        <v xml:space="preserve"> </v>
      </c>
      <c r="B60" s="271" t="str">
        <f>IF(OR(Sheet1!D$192=1,Sheet1!D$195=1),IF(OR((B59&gt;=(Sheet1!D$148+$B$11)-1),AND(Sheet1!D$8=3,A59&gt;=6))," ",B59+1),NA())</f>
        <v xml:space="preserve"> </v>
      </c>
      <c r="C60" s="262"/>
      <c r="D60" s="263" t="str">
        <f>IF(AND(Sheet1!D$192=1,A60&lt;&gt;" "),ROUND(VLOOKUP(A60,StatusQuo!A$19:M$68,12),Sheet1!D$75),IF(Sheet1!D$192=1," ","SQ not feasible "))</f>
        <v xml:space="preserve"> </v>
      </c>
      <c r="E60" s="263" t="str">
        <f>IF(AND(Sheet1!D$195=1,A60&lt;&gt;" "),ROUND(VLOOKUP(A60,AlternativeC!A$110:M$159,12),Sheet1!D$75),IF(Sheet1!D$195=1," ","Alt  'A'  not feasible"))</f>
        <v>Alt  'A'  not feasible</v>
      </c>
      <c r="F60" s="263" t="str">
        <f>IF(AND(A60&lt;&gt;" ",Sheet1!D$192=1,Sheet1!D$195=1),D60-E60,IF(AND(Sheet1!D$195=1,A60&lt;&gt;" ")," "," "))</f>
        <v xml:space="preserve"> </v>
      </c>
      <c r="G60" s="264" t="str">
        <f>IF(A60&lt;=Sheet1!D$148, (1/((1+G10)^(A60-0.5)))," ")</f>
        <v xml:space="preserve"> </v>
      </c>
      <c r="H60" s="263" t="str">
        <f>IF(AND(A60&lt;&gt;" ",Sheet1!D$192=1,Sheet1!D$195=1),ROUND(F60*G60,Sheet1!D$75),IF(AND(A60&lt;&gt;" ",Sheet1!D$195=1),ROUND(E60*G60,Sheet1!D$75)," "))</f>
        <v xml:space="preserve"> </v>
      </c>
      <c r="I60" s="264" t="str">
        <f>IF(A60&lt;&gt;" ",ROUND(VLOOKUP(Sheet1!E$82,CHOOSE(Sheet1!D$234,Inflate7,Inflate2,Inflate3,Inflate4,Inflate5,Inflate6,Inflate1,Inflate8),2),4)," ")</f>
        <v xml:space="preserve"> </v>
      </c>
      <c r="J60" s="264" t="str">
        <f>IF(A60&lt;&gt;" ",ROUND(VLOOKUP(B60,CHOOSE(Sheet1!D$234,Inflate7,Inflate2,Inflate3,Inflate4,Inflate5,Inflate6,Inflate1,Inflate8),3),4)," ")</f>
        <v xml:space="preserve"> </v>
      </c>
      <c r="K60" s="265" t="str">
        <f>IF(AND(A60&lt;&gt;" ",Sheet1!D$192=1,Sheet1!D$195=1),ROUND((F60/I60)*J60,Sheet1!D$75),IF(AND(A60&lt;&gt;" ",Sheet1!D$195=1),ROUND((E60/I60)*J60,Sheet1!D$75)," "))</f>
        <v xml:space="preserve"> </v>
      </c>
      <c r="L60" s="254" t="str">
        <f>IF(Sheet1!D$192=1,IF(AND(AA60&gt;AJ$61,AA59&lt;=AJ$61),"&lt;-Payback"," ")," ")</f>
        <v xml:space="preserve"> </v>
      </c>
      <c r="M60" s="271" t="str">
        <f>IF(OR(Sheet1!D$192=1,Sheet1!D$195=1),IF(OR((A59&gt;=(Sheet1!D$148+$A$11)-1),AND(Sheet1!D$8=3,A59&gt;=6))," ",A59+1),NA())</f>
        <v xml:space="preserve"> </v>
      </c>
      <c r="N60" s="271" t="str">
        <f>IF(OR(Sheet1!D$192=1,Sheet1!D$195=1),IF(OR((B59&gt;=(Sheet1!D$148+$B$11)-1),AND(Sheet1!D$8=3,A59&gt;=6))," ",B59+1),NA())</f>
        <v xml:space="preserve"> </v>
      </c>
      <c r="O60" s="266" t="e">
        <f>IF(AND(Sheet1!D$8=3,M60=" ")," ",IF(OR(Sheet1!D$192=1,Sheet1!D$195=1),IF(O59&gt;0,IF(AND(OR(Sheet1!D$8=2,Sheet1!D$22=3),O59&gt;=10)," ",O59+1),IF(NOT(Sheet1!D$192=1),0,IF(ROUND(VLOOKUP(A60,StatusQuo!A$19:M$68,13),Sheet1!D$75)-ROUND(VLOOKUP(A60,AlternativeC!A$110:M$159,13),Sheet1!D$75)&gt;0,1,0)))," "))</f>
        <v>#VALUE!</v>
      </c>
      <c r="P60" s="263" t="str">
        <f>IF(AND(A60&lt;&gt;" ",Sheet1!D$192=1,Sheet1!D$195=1),IF(AND(OR(Sheet1!D$8=2,Sheet1!D$22=3),O60&gt;10),0,ROUND(VLOOKUP(A60,StatusQuo!A$19:M$68,13),Sheet1!D$75)),IF(NOT(Sheet1!D$192=1),"not feasible",IF(A60=" "," ", "Savings is  n/a=&gt;")))</f>
        <v xml:space="preserve"> </v>
      </c>
      <c r="Q60" s="263" t="str">
        <f>IF(AND(A60&lt;&gt;" ",Sheet1!D$192=1,Sheet1!D$195=1),IF(AND(OR(Sheet1!D$8=2,Sheet1!D$22=3),O60&gt;10),0,ROUND(VLOOKUP(A60,AlternativeC!A$110:M$159,13),Sheet1!D$75)),IF(NOT(Sheet1!D$195=1),"not feasible",IF(A60=" "," ","&lt;== Savings is n/a")))</f>
        <v>not feasible</v>
      </c>
      <c r="R60" s="263" t="str">
        <f>IF(AND(A60&lt;&gt;" ",Sheet1!D$192=1,Sheet1!D$195=1),IF(G$81&lt;&gt;" ","??????? ",P60-Q60)," ")</f>
        <v xml:space="preserve"> </v>
      </c>
      <c r="S60" s="263" t="str">
        <f>IF(AND(A60&lt;&gt;" ",Sheet1!D$192=1,Sheet1!D$195=1),ROUND(R60*G60,Sheet1!D$75)," ")</f>
        <v xml:space="preserve"> </v>
      </c>
      <c r="T60" s="263" t="str">
        <f>IF(AND(A60&lt;&gt;" ",Sheet1!D$192=1,Sheet1!D$195=1),ROUND((R60/I60)*J60,Sheet1!D$75)," ")</f>
        <v xml:space="preserve"> </v>
      </c>
      <c r="U60" s="265">
        <f>SUM(T$11:T60)</f>
        <v>0</v>
      </c>
      <c r="V60" s="254" t="str">
        <f t="shared" si="0"/>
        <v xml:space="preserve"> </v>
      </c>
      <c r="W60" s="268"/>
      <c r="AA60" s="260"/>
      <c r="AB60" s="271" t="str">
        <f>IF(OR(Sheet1!D$192=1,Sheet1!D$195=1),IF(OR((AB59&gt;=(Sheet1!D$148+$A$11)-1),AND(Sheet1!D$8=3,AB59&gt;=6))," ",AB59+1),NA())</f>
        <v xml:space="preserve"> </v>
      </c>
      <c r="AC60" s="271" t="str">
        <f>IF(OR(Sheet1!D$192=1,Sheet1!D$195=1),IF(OR((AC59&gt;=(Sheet1!D$148+$B$11)-1),AND(Sheet1!D$8=3,AB59&gt;=6))," ",AC59+1),NA())</f>
        <v xml:space="preserve"> </v>
      </c>
      <c r="AD60" s="272"/>
      <c r="AE60" s="263" t="str">
        <f>IF(AND(Sheet1!D$195=1,AB60&lt;&gt;" "),ROUND(VLOOKUP(AB60,AlternativeC!A$17:M$66,12),Sheet1!D$75),IF(Sheet1!D$195=1," ","Alt  'C'  not feasible"))</f>
        <v>Alt  'C'  not feasible</v>
      </c>
      <c r="AF60" s="264" t="str">
        <f>IF(AB60&lt;=Sheet1!D$148, (1/((1+AF$10)^(AB60-0.5)))," ")</f>
        <v xml:space="preserve"> </v>
      </c>
      <c r="AG60" s="263" t="str">
        <f>IF(AND(Sheet1!D$195=1,AB60&lt;&gt;" "),ROUND(+AE60*AF60,Sheet1!D$75)," ")</f>
        <v xml:space="preserve"> </v>
      </c>
      <c r="AH60" s="264" t="str">
        <f>IF(AB60&lt;&gt;" ",ROUND(VLOOKUP(Sheet1!E$82,CHOOSE(Sheet1!D$214,Inflate1,Inflate2,Inflate3,Inflate4,Inflate5,Inflate6,Inflate7,Inflate8),2),4)," ")</f>
        <v xml:space="preserve"> </v>
      </c>
      <c r="AI60" s="264" t="str">
        <f>IF(AB60&lt;&gt;" ",ROUND(VLOOKUP(AC60,CHOOSE(Sheet1!D$214,Inflate1,Inflate2,Inflate3,Inflate4,Inflate5,Inflate6,Inflate7,Inflate8),3),4)," ")</f>
        <v xml:space="preserve"> </v>
      </c>
      <c r="AJ60" s="263" t="b">
        <f>IF(AND(Sheet1!D$195=1,AB60&lt;&gt;" "),IF(AND(O60&lt;=10,OR(Sheet1!D$8=2,Sheet1!D$8=3,Sheet1!D$22=3)),ROUND((AE60/AH60)*AI60,Sheet1!D$75),IF(AND(Sheet1!D$8&lt;&gt;2,Sheet1!D$8&lt;&gt;3,Sheet1!D$22&lt;&gt;3),ROUND((AE60/AH60)*AI60,Sheet1!D$75)," ")))</f>
        <v>0</v>
      </c>
    </row>
    <row r="61" spans="1:36" ht="21.6" thickTop="1" thickBot="1" x14ac:dyDescent="0.25">
      <c r="A61" s="274" t="s">
        <v>311</v>
      </c>
      <c r="B61" s="275"/>
      <c r="C61" s="276"/>
      <c r="D61" s="277">
        <f>IF(Sheet1!D$192=1,SUM(D11:D60),"SQ not feasible")</f>
        <v>0</v>
      </c>
      <c r="E61" s="277" t="str">
        <f>IF(Sheet1!D$195=1,SUM(E11:E60),"Alt  'C'  not feasible")</f>
        <v>Alt  'C'  not feasible</v>
      </c>
      <c r="F61" s="277">
        <f>SUM(F11:F60)</f>
        <v>0</v>
      </c>
      <c r="G61" s="278"/>
      <c r="H61" s="277">
        <f>SUM(H11:H60)</f>
        <v>0</v>
      </c>
      <c r="I61" s="279"/>
      <c r="J61" s="280" t="str">
        <f>CHOOSE(Sheet1!D$214,"RDTE weighted","APA weighted","MIPA weighted","WTCV weighted","AMMO weighted","OPA weighted","OMA weighted","MCA weighted")</f>
        <v>RDTE weighted</v>
      </c>
      <c r="K61" s="277">
        <f>SUM(K11:K60)</f>
        <v>0</v>
      </c>
      <c r="L61" s="281"/>
      <c r="M61" s="282"/>
      <c r="N61" s="275" t="s">
        <v>252</v>
      </c>
      <c r="O61" s="275"/>
      <c r="P61" s="283">
        <f>SUM(P11:P60)</f>
        <v>0</v>
      </c>
      <c r="Q61" s="283">
        <f>SUM(Q11:Q60)</f>
        <v>0</v>
      </c>
      <c r="R61" s="283">
        <f>IF(G$81&lt;&gt;" ","???????",SUM(R11:R60))</f>
        <v>0</v>
      </c>
      <c r="S61" s="283">
        <f>SUM(S11:S60)</f>
        <v>0</v>
      </c>
      <c r="T61" s="283">
        <f>SUM(T11:T60)</f>
        <v>0</v>
      </c>
      <c r="U61" s="284"/>
      <c r="V61" s="260"/>
      <c r="AB61" s="285" t="s">
        <v>312</v>
      </c>
      <c r="AC61" s="286"/>
      <c r="AD61" s="287"/>
      <c r="AE61" s="288" t="str">
        <f>IF(Sheet1!D$195=1,SUM(AE11:AE60),"Alt  'C'  not feasible")</f>
        <v>Alt  'C'  not feasible</v>
      </c>
      <c r="AF61" s="289"/>
      <c r="AG61" s="288">
        <f>SUM(AG11:AG60)</f>
        <v>0</v>
      </c>
      <c r="AH61" s="289"/>
      <c r="AI61" s="289"/>
      <c r="AJ61" s="288">
        <f>IF(Sheet1!D195=1,SUM(AJ11:AJ60),0)</f>
        <v>0</v>
      </c>
    </row>
    <row r="62" spans="1:36" ht="21" thickBot="1" x14ac:dyDescent="0.25">
      <c r="A62" s="290" t="s">
        <v>313</v>
      </c>
      <c r="B62" s="291">
        <f>IF(Sheet1!D$192=1,IF(AND(Sheet1!D$8=3,StatusQuo!A$77&gt;7)," ",StatusQuo!B$77),IF(Sheet1!D$195=1,IF(AND(Sheet1!D$8=3,AlternativeC!A$168&gt;7)," ",AlternativeC!B$168)," "))</f>
        <v>2025</v>
      </c>
      <c r="C62" s="292" t="str">
        <f>IF(Sheet1!D$192=1,"(+)","(+) ")</f>
        <v>(+)</v>
      </c>
      <c r="D62" s="293">
        <f>IF(Sheet1!D$192=1,IF(AND(Sheet1!D$8=3,StatusQuo!A$77&gt;7),0,ROUND((StatusQuo!L$77),Sheet1!D$75)*-1),"SQ not feasible ")</f>
        <v>0</v>
      </c>
      <c r="E62" s="293" t="str">
        <f>IF(Sheet1!D$195=1,IF(AND(Sheet1!D$8=3,AlternativeC!A$168&gt;7),0,ROUND((AlternativeC!L$168),Sheet1!D$75)*-1),"Alt  'C'  not feasible ")</f>
        <v xml:space="preserve">Alt  'C'  not feasible </v>
      </c>
      <c r="F62" s="293" t="e">
        <f>IF(Sheet1!D$192=1,D62-E62," ")</f>
        <v>#VALUE!</v>
      </c>
      <c r="G62" s="294" t="str">
        <f>IF(AND(Sheet1!D$192=1,Sheet1!D$195=1),IF(OR(Sheet1!D$8=2,Sheet1!D$8=3),1,ROUND(VLOOKUP(StatusQuo!A$77,DiscFactorsLinInterp,HLOOKUP(Sheet1!D$148,DiscLinearInterp,1)),4)),IF(Sheet1!D$195=1,IF(OR(Sheet1!D$8=2,Sheet1!D$8=3),1,ROUND(VLOOKUP(AlternativeC!A$168,DiscFactorsLinInterp,HLOOKUP(Sheet1!D$148,DiscLinearInterp,1)),4))," "))</f>
        <v xml:space="preserve"> </v>
      </c>
      <c r="H62" s="293" t="str">
        <f>IF(AND(Sheet1!D$192=1,Sheet1!D$195=1),ROUND(+F62*G62,Sheet1!D$75),IF(Sheet1!D$195=1,ROUND(E62*G62,Sheet1!D$75)," "))</f>
        <v xml:space="preserve"> </v>
      </c>
      <c r="I62" s="294">
        <f>ROUND(VLOOKUP(Sheet1!E$82,CHOOSE(Sheet1!D$214,Inflate1,Inflate2,Inflate3,Inflate4,Inflate5,Inflate6,Inflate7,Inflate8),2),4)</f>
        <v>1</v>
      </c>
      <c r="J62" s="294">
        <f>IF(B62&lt;&gt;" ",ROUND(VLOOKUP(B62,CHOOSE(Sheet1!D$214,Inflate1,Inflate2,Inflate3,Inflate4,Inflate5,Inflate6,Inflate7,Inflate8),3),4),0)</f>
        <v>1.0443</v>
      </c>
      <c r="K62" s="295" t="str">
        <f>IF(AND(Sheet1!D$192=1,Sheet1!D$195=1),ROUND((F62/I62)*J62,Sheet1!D$75),IF(Sheet1!D$195=1,ROUND((E62/I62)*J62,Sheet1!D$75)," "))</f>
        <v xml:space="preserve"> </v>
      </c>
      <c r="L62" s="177"/>
      <c r="P62" s="296"/>
      <c r="Q62" s="296"/>
      <c r="R62" s="296"/>
      <c r="S62" s="296"/>
      <c r="T62" s="296"/>
      <c r="AB62" s="297" t="s">
        <v>314</v>
      </c>
      <c r="AC62" s="298"/>
      <c r="AD62" s="299"/>
      <c r="AE62" s="263"/>
      <c r="AF62" s="300"/>
      <c r="AG62" s="263"/>
      <c r="AH62" s="300"/>
      <c r="AI62" s="300"/>
      <c r="AJ62" s="263"/>
    </row>
    <row r="63" spans="1:36" ht="12" thickTop="1" x14ac:dyDescent="0.2">
      <c r="A63" s="301" t="s">
        <v>315</v>
      </c>
      <c r="B63" s="298"/>
      <c r="C63" s="299"/>
      <c r="D63" s="302">
        <f>IF(Sheet1!D$192=1,SUM(D61:D62),"SQ not feasible")</f>
        <v>0</v>
      </c>
      <c r="E63" s="277" t="str">
        <f>IF(Sheet1!$D$195=1,SUM(E61:E62),"Alt  'C' not feasible")</f>
        <v>Alt  'C' not feasible</v>
      </c>
      <c r="F63" s="302" t="e">
        <f>SUM(F61:F62)</f>
        <v>#VALUE!</v>
      </c>
      <c r="G63" s="278"/>
      <c r="H63" s="277">
        <f>SUM(H61:H62)</f>
        <v>0</v>
      </c>
      <c r="I63" s="303" t="str">
        <f>IF(Sheet1!D$192=1,"         Total Benefits===&gt;","  Total Operating Cost=&gt;")</f>
        <v xml:space="preserve">         Total Benefits===&gt;</v>
      </c>
      <c r="J63" s="304"/>
      <c r="K63" s="277">
        <f>SUM(K61:K62)</f>
        <v>0</v>
      </c>
      <c r="L63" s="177"/>
      <c r="P63" s="296"/>
      <c r="Q63" s="296"/>
      <c r="R63" s="296"/>
      <c r="S63" s="296"/>
      <c r="T63" s="260"/>
      <c r="AB63" s="305" t="s">
        <v>316</v>
      </c>
      <c r="AD63" s="306"/>
      <c r="AE63" s="265"/>
      <c r="AF63" s="300"/>
      <c r="AG63" s="265"/>
      <c r="AH63" s="300"/>
      <c r="AI63" s="300"/>
      <c r="AJ63" s="265"/>
    </row>
    <row r="64" spans="1:36" ht="12.6" thickBot="1" x14ac:dyDescent="0.25">
      <c r="A64" s="274" t="str">
        <f>IF(Sheet1!D$192=1,"Adjusted  Invest Cost ","Adjusted Invest Cost (+)")</f>
        <v xml:space="preserve">Adjusted  Invest Cost </v>
      </c>
      <c r="B64" s="307"/>
      <c r="C64" s="308"/>
      <c r="D64" s="309" t="str">
        <f>IF(Sheet1!D$192=1,"(+)"," ")</f>
        <v>(+)</v>
      </c>
      <c r="E64" s="293" t="str">
        <f>IF(Sheet1!D$195=1,AE81,"Alt  'C'  not feasible")</f>
        <v>Alt  'C'  not feasible</v>
      </c>
      <c r="F64" s="270"/>
      <c r="G64" s="309" t="str">
        <f>IF(Sheet1!D$192=1,"(-)","(+) ")</f>
        <v>(-)</v>
      </c>
      <c r="H64" s="293" t="str">
        <f>IF(Sheet1!D$195=1,AG81,"Alt  'C'  not feasible")</f>
        <v>Alt  'C'  not feasible</v>
      </c>
      <c r="I64" s="310"/>
      <c r="J64" s="309" t="str">
        <f>IF(Sheet1!D$192=1,"(-)","(+) ")</f>
        <v>(-)</v>
      </c>
      <c r="K64" s="293" t="str">
        <f>IF(Sheet1!D$195=1,AJ81,"Alt  'C' not feasible")</f>
        <v>Alt  'C' not feasible</v>
      </c>
      <c r="L64" s="177"/>
      <c r="P64" s="296"/>
      <c r="Q64" s="296"/>
      <c r="R64" s="296"/>
      <c r="S64" s="296"/>
      <c r="T64" s="296"/>
      <c r="AB64" s="311" t="s">
        <v>317</v>
      </c>
      <c r="AC64" s="312"/>
      <c r="AD64" s="313"/>
      <c r="AE64" s="265"/>
      <c r="AF64" s="314"/>
      <c r="AG64" s="265"/>
      <c r="AH64" s="314"/>
      <c r="AI64" s="314"/>
      <c r="AJ64" s="265"/>
    </row>
    <row r="65" spans="1:36" ht="14.4" thickTop="1" thickBot="1" x14ac:dyDescent="0.3">
      <c r="A65" s="274" t="str">
        <f>IF(Sheet1!D$19=12,"Project Total Cost   =&gt;","Project Total Cost  =&gt;")</f>
        <v>Project Total Cost  =&gt;</v>
      </c>
      <c r="B65" s="307"/>
      <c r="C65" s="308"/>
      <c r="D65" s="296"/>
      <c r="E65" s="315" t="str">
        <f>IF(Sheet1!D$195=1,+E63+E64,"Alt  'C'  not feasible")</f>
        <v>Alt  'C'  not feasible</v>
      </c>
      <c r="F65" s="316"/>
      <c r="G65" s="303" t="str">
        <f>IF(Sheet1!D$192=1,IF(OR(Sheet1!D$8=2,Sheet1!D$8=3)," ","      NPV =&gt;"),"  ")</f>
        <v xml:space="preserve">      NPV =&gt;</v>
      </c>
      <c r="H65" s="315" t="str">
        <f>IF(Sheet1!D195=2,H64,IF(Sheet1!D$192=1,H63-H64,H63+H64))</f>
        <v>Alt  'C'  not feasible</v>
      </c>
      <c r="I65" s="303" t="str">
        <f>IF(Sheet1!D$192=1,"              Net Benefits =&gt;","     Project Total Cost=&gt;")</f>
        <v xml:space="preserve">              Net Benefits =&gt;</v>
      </c>
      <c r="J65" s="304"/>
      <c r="K65" s="315" t="e">
        <f>IF(Sheet1!D$192=1,K63-K64,K63+K64)</f>
        <v>#VALUE!</v>
      </c>
      <c r="L65" s="177"/>
      <c r="P65" s="296"/>
      <c r="Q65" s="296"/>
      <c r="R65" s="296"/>
      <c r="S65" s="296"/>
      <c r="T65" s="296"/>
      <c r="AB65" s="261">
        <f>IF(OR(Sheet1!D$192=1,Sheet1!D$195=1),VLOOKUP(1,Sheet1!A148:B179,2),NA())</f>
        <v>1</v>
      </c>
      <c r="AC65" s="261">
        <f>IF(OR(Sheet1!D$192=1,Sheet1!D$195=1),VLOOKUP(Sheet1!D$86,Sheet1!A82:B135,2),NA())</f>
        <v>2024</v>
      </c>
      <c r="AD65" s="317"/>
      <c r="AE65" s="263" t="str">
        <f>IF(AND(Sheet1!D$195=1,AB65&lt;&gt;" "),ROUND(VLOOKUP(AB65,AlternativeC!A$76:M$82,12),Sheet1!D$75),IF(Sheet1!D$195=1," ","Alt  'C'  not feasible"))</f>
        <v>Alt  'C'  not feasible</v>
      </c>
      <c r="AF65" s="264">
        <f>IF(AB65&lt;=Sheet1!D$148,IF(OR(Sheet1!D$8=2,Sheet1!D$8=3),1,ROUND(VLOOKUP(AB65,DiscFactorsLinInterp,HLOOKUP(Sheet1!D$148,DiscLinearInterp,1)),4))," ")</f>
        <v>1</v>
      </c>
      <c r="AG65" s="263" t="str">
        <f>IF(AND(Sheet1!D$195=1,AB65&lt;&gt;" "),ROUND(+AE65*AF65,Sheet1!D$75)," ")</f>
        <v xml:space="preserve"> </v>
      </c>
      <c r="AH65" s="264">
        <f>IF(AB65&lt;&gt;" ",ROUND(VLOOKUP(Sheet1!E$82,CHOOSE(Sheet1!D$214,Inflate1,Inflate2,Inflate3,Inflate4,Inflate5,Inflate6,Inflate7,Inflate8),2),4)," ")</f>
        <v>1</v>
      </c>
      <c r="AI65" s="264">
        <f>IF(AB65&lt;&gt;" ",ROUND(VLOOKUP(AC65,CHOOSE(Sheet1!D$214,Inflate1,Inflate2,Inflate3,Inflate4,Inflate5,Inflate6,Inflate7,Inflate8),3),4)," ")</f>
        <v>1.0225</v>
      </c>
      <c r="AJ65" s="263" t="str">
        <f>IF(AND(Sheet1!D$195=1,AB65&lt;&gt;" "),ROUND((AE65/AH65)*AI65,Sheet1!D$75)," ")</f>
        <v xml:space="preserve"> </v>
      </c>
    </row>
    <row r="66" spans="1:36" ht="12" thickTop="1" x14ac:dyDescent="0.2">
      <c r="A66" s="270"/>
      <c r="B66" s="270"/>
      <c r="D66" s="296"/>
      <c r="E66" s="296"/>
      <c r="F66" s="270"/>
      <c r="G66" s="304"/>
      <c r="H66" s="303" t="str">
        <f>IF(Sheet1!D$192=1,IF(OR(Sheet1!D$8=2,Sheet1!D$8=3),"  ^  Net Benefits  ^","^ Net Present Value^"),"^Project Total Cost^")</f>
        <v>^ Net Present Value^</v>
      </c>
      <c r="I66" s="310"/>
      <c r="J66" s="304"/>
      <c r="K66" s="260"/>
      <c r="L66" s="177"/>
      <c r="P66" s="296"/>
      <c r="Q66" s="296"/>
      <c r="R66" s="296"/>
      <c r="S66" s="296"/>
      <c r="T66" s="296"/>
      <c r="AB66" s="271" t="str">
        <f>IF(OR(Sheet1!D$192=1,Sheet1!D$195=1),IF(OR((AB65&gt;=(Sheet1!D$148+$A$11)-1),AND(Sheet1!D$8=3,AB65&gt;=6))," ",AB65+1),NA())</f>
        <v xml:space="preserve"> </v>
      </c>
      <c r="AC66" s="271" t="str">
        <f>IF(OR(Sheet1!D$192=1,Sheet1!D$195=1),IF(OR((AC65&gt;=(Sheet1!D$148+$B$11)-1),AND(Sheet1!D$8=3,AB65&gt;=6))," ",AC65+1),NA())</f>
        <v xml:space="preserve"> </v>
      </c>
      <c r="AD66" s="262"/>
      <c r="AE66" s="263" t="str">
        <f>IF(AND(Sheet1!D$195=1,AB66&lt;&gt;" "),ROUND(VLOOKUP(AB66,AlternativeC!A$76:M$82,12),Sheet1!D$75),IF(Sheet1!D$195=1," ","Alt  'C'  not feasible"))</f>
        <v>Alt  'C'  not feasible</v>
      </c>
      <c r="AF66" s="264" t="str">
        <f>IF(AB66&lt;=Sheet1!D$148,IF(OR(Sheet1!D$8=2,Sheet1!D$8=3),1,ROUND(VLOOKUP(AB66,DiscFactorsLinInterp,HLOOKUP(Sheet1!D$148,DiscLinearInterp,1)),4))," ")</f>
        <v xml:space="preserve"> </v>
      </c>
      <c r="AG66" s="263" t="str">
        <f>IF(AND(Sheet1!D$195=1,AB66&lt;&gt;" "),ROUND(+AE66*AF66,Sheet1!D$75)," ")</f>
        <v xml:space="preserve"> </v>
      </c>
      <c r="AH66" s="264" t="str">
        <f>IF(AB66&lt;&gt;" ",ROUND(VLOOKUP(Sheet1!E$82,CHOOSE(Sheet1!D$214,Inflate1,Inflate2,Inflate3,Inflate4,Inflate5,Inflate6,Inflate7,Inflate8),2),4)," ")</f>
        <v xml:space="preserve"> </v>
      </c>
      <c r="AI66" s="264" t="str">
        <f>IF(AB66&lt;&gt;" ",ROUND(VLOOKUP(AC66,CHOOSE(Sheet1!D$214,Inflate1,Inflate2,Inflate3,Inflate4,Inflate5,Inflate6,Inflate7,Inflate8),3),4)," ")</f>
        <v xml:space="preserve"> </v>
      </c>
      <c r="AJ66" s="263" t="str">
        <f>IF(AND(Sheet1!D$195=1,AB66&lt;&gt;" "),ROUND((AE66/AH66)*AI66,Sheet1!D$75)," ")</f>
        <v xml:space="preserve"> </v>
      </c>
    </row>
    <row r="67" spans="1:36" ht="11.4" x14ac:dyDescent="0.2">
      <c r="A67" s="270"/>
      <c r="B67" s="270"/>
      <c r="D67" s="296"/>
      <c r="E67" s="296"/>
      <c r="F67" s="270"/>
      <c r="G67" s="304"/>
      <c r="H67" s="296"/>
      <c r="I67" s="310"/>
      <c r="J67" s="304"/>
      <c r="K67" s="260"/>
      <c r="L67" s="177"/>
      <c r="P67" s="296"/>
      <c r="Q67" s="296"/>
      <c r="R67" s="296"/>
      <c r="S67" s="296"/>
      <c r="T67" s="296"/>
      <c r="AB67" s="271" t="str">
        <f>IF(OR(Sheet1!D$192=1,Sheet1!D$195=1),IF(OR((AB66&gt;=(Sheet1!D$148+$A$11)-1),AND(Sheet1!D$8=3,AB66&gt;=6))," ",AB66+1),NA())</f>
        <v xml:space="preserve"> </v>
      </c>
      <c r="AC67" s="271" t="str">
        <f>IF(OR(Sheet1!D$192=1,Sheet1!D$195=1),IF(OR((AC66&gt;=(Sheet1!D$148+$B$11)-1),AND(Sheet1!D$8=3,AB66&gt;=6))," ",AC66+1),NA())</f>
        <v xml:space="preserve"> </v>
      </c>
      <c r="AD67" s="262"/>
      <c r="AE67" s="263" t="str">
        <f>IF(AND(Sheet1!D$195=1,AB67&lt;&gt;" "),ROUND(VLOOKUP(AB67,AlternativeC!A$76:M$82,12),Sheet1!D$75),IF(Sheet1!D$195=1," ","Alt  'C'  not feasible"))</f>
        <v>Alt  'C'  not feasible</v>
      </c>
      <c r="AF67" s="264" t="str">
        <f>IF(AB67&lt;=Sheet1!D$148,IF(OR(Sheet1!D$8=2,Sheet1!D$8=3),1,ROUND(VLOOKUP(AB67,DiscFactorsLinInterp,HLOOKUP(Sheet1!D$148,DiscLinearInterp,1)),4))," ")</f>
        <v xml:space="preserve"> </v>
      </c>
      <c r="AG67" s="263" t="str">
        <f>IF(AND(Sheet1!D$195=1,AB67&lt;&gt;" "),ROUND(+AE67*AF67,Sheet1!D$75)," ")</f>
        <v xml:space="preserve"> </v>
      </c>
      <c r="AH67" s="264" t="str">
        <f>IF(AB67&lt;&gt;" ",ROUND(VLOOKUP(Sheet1!E$82,CHOOSE(Sheet1!D$214,Inflate1,Inflate2,Inflate3,Inflate4,Inflate5,Inflate6,Inflate7,Inflate8),2),4)," ")</f>
        <v xml:space="preserve"> </v>
      </c>
      <c r="AI67" s="264" t="str">
        <f>IF(AB67&lt;&gt;" ",ROUND(VLOOKUP(AC67,CHOOSE(Sheet1!D$214,Inflate1,Inflate2,Inflate3,Inflate4,Inflate5,Inflate6,Inflate7,Inflate8),3),4)," ")</f>
        <v xml:space="preserve"> </v>
      </c>
      <c r="AJ67" s="263" t="str">
        <f>IF(AND(Sheet1!D$195=1,AB67&lt;&gt;" "),ROUND((AE67/AH67)*AI67,Sheet1!D$75)," ")</f>
        <v xml:space="preserve"> </v>
      </c>
    </row>
    <row r="68" spans="1:36" ht="13.2" x14ac:dyDescent="0.25">
      <c r="A68" s="316"/>
      <c r="B68" s="316"/>
      <c r="C68" s="316"/>
      <c r="D68" s="316"/>
      <c r="E68" s="316"/>
      <c r="F68" s="316"/>
      <c r="G68" s="316"/>
      <c r="H68" s="316"/>
      <c r="I68" s="316"/>
      <c r="J68" s="316"/>
      <c r="K68" s="316"/>
      <c r="L68" s="177"/>
      <c r="P68" s="296"/>
      <c r="Q68" s="296"/>
      <c r="R68" s="296"/>
      <c r="S68" s="296"/>
      <c r="T68" s="296"/>
      <c r="AB68" s="271" t="str">
        <f>IF(OR(Sheet1!D$192=1,Sheet1!D$195=1),IF(OR((AB67&gt;=(Sheet1!D$148+$A$11)-1),AND(Sheet1!D$8=3,AB67&gt;=6))," ",AB67+1),NA())</f>
        <v xml:space="preserve"> </v>
      </c>
      <c r="AC68" s="271" t="str">
        <f>IF(OR(Sheet1!D$192=1,Sheet1!D$195=1),IF(OR((AC67&gt;=(Sheet1!D$148+$B$11)-1),AND(Sheet1!D$8=3,AB67&gt;=6))," ",AC67+1),NA())</f>
        <v xml:space="preserve"> </v>
      </c>
      <c r="AD68" s="262"/>
      <c r="AE68" s="263" t="str">
        <f>IF(AND(Sheet1!D$195=1,AB68&lt;&gt;" "),ROUND(VLOOKUP(AB68,AlternativeC!A$76:M$82,12),Sheet1!D$75),IF(Sheet1!D$195=1," ","Alt  'C'  not feasible"))</f>
        <v>Alt  'C'  not feasible</v>
      </c>
      <c r="AF68" s="264" t="str">
        <f>IF(AB68&lt;=Sheet1!D$148,IF(OR(Sheet1!D$8=2,Sheet1!D$8=3),1,ROUND(VLOOKUP(AB68,DiscFactorsLinInterp,HLOOKUP(Sheet1!D$148,DiscLinearInterp,1)),4))," ")</f>
        <v xml:space="preserve"> </v>
      </c>
      <c r="AG68" s="263" t="str">
        <f>IF(AND(Sheet1!D$195=1,AB68&lt;&gt;" "),ROUND(+AE68*AF68,Sheet1!D$75)," ")</f>
        <v xml:space="preserve"> </v>
      </c>
      <c r="AH68" s="264" t="str">
        <f>IF(AB68&lt;&gt;" ",ROUND(VLOOKUP(Sheet1!E$82,CHOOSE(Sheet1!D$214,Inflate1,Inflate2,Inflate3,Inflate4,Inflate5,Inflate6,Inflate7,Inflate8),2),4)," ")</f>
        <v xml:space="preserve"> </v>
      </c>
      <c r="AI68" s="264" t="str">
        <f>IF(AB68&lt;&gt;" ",ROUND(VLOOKUP(AC68,CHOOSE(Sheet1!D$214,Inflate1,Inflate2,Inflate3,Inflate4,Inflate5,Inflate6,Inflate7,Inflate8),3),4)," ")</f>
        <v xml:space="preserve"> </v>
      </c>
      <c r="AJ68" s="263" t="str">
        <f>IF(AND(Sheet1!D$195=1,AB68&lt;&gt;" "),ROUND((AE68/AH68)*AI68,Sheet1!D$75)," ")</f>
        <v xml:space="preserve"> </v>
      </c>
    </row>
    <row r="69" spans="1:36" ht="13.8" thickBot="1" x14ac:dyDescent="0.3">
      <c r="A69" s="316"/>
      <c r="B69" s="316"/>
      <c r="C69" s="316"/>
      <c r="D69" s="316"/>
      <c r="E69" s="316"/>
      <c r="F69" s="316"/>
      <c r="G69" s="316"/>
      <c r="H69" s="316"/>
      <c r="I69" s="316"/>
      <c r="J69" s="316"/>
      <c r="K69" s="316"/>
      <c r="L69" s="177"/>
      <c r="P69" s="296"/>
      <c r="Q69" s="296"/>
      <c r="R69" s="296"/>
      <c r="S69" s="296"/>
      <c r="T69" s="296"/>
      <c r="AB69" s="271" t="str">
        <f>IF(OR(Sheet1!D$192=1,Sheet1!D$195=1),IF(OR((AB68&gt;=(Sheet1!D$148+$A$11)-1),AND(Sheet1!D$8=3,AB68&gt;=6))," ",AB68+1),NA())</f>
        <v xml:space="preserve"> </v>
      </c>
      <c r="AC69" s="271" t="str">
        <f>IF(OR(Sheet1!D$192=1,Sheet1!D$195=1),IF(OR((AC68&gt;=(Sheet1!D$148+$B$11)-1),AND(Sheet1!D$8=3,AB68&gt;=6))," ",AC68+1),NA())</f>
        <v xml:space="preserve"> </v>
      </c>
      <c r="AD69" s="262"/>
      <c r="AE69" s="263" t="str">
        <f>IF(AND(Sheet1!D$195=1,AB69&lt;&gt;" "),ROUND(VLOOKUP(AB69,AlternativeC!A$76:M$82,12),Sheet1!D$75),IF(Sheet1!D$195=1," ","Alt  'C'  not feasible"))</f>
        <v>Alt  'C'  not feasible</v>
      </c>
      <c r="AF69" s="264" t="str">
        <f>IF(AB69&lt;=Sheet1!D$148,IF(OR(Sheet1!D$8=2,Sheet1!D$8=3),1,ROUND(VLOOKUP(AB69,DiscFactorsLinInterp,HLOOKUP(Sheet1!D$148,DiscLinearInterp,1)),4))," ")</f>
        <v xml:space="preserve"> </v>
      </c>
      <c r="AG69" s="263" t="str">
        <f>IF(AND(Sheet1!D$195=1,AB69&lt;&gt;" "),ROUND(+AE69*AF69,Sheet1!D$75)," ")</f>
        <v xml:space="preserve"> </v>
      </c>
      <c r="AH69" s="264" t="str">
        <f>IF(AB69&lt;&gt;" ",ROUND(VLOOKUP(Sheet1!E$82,CHOOSE(Sheet1!D$214,Inflate1,Inflate2,Inflate3,Inflate4,Inflate5,Inflate6,Inflate7,Inflate8),2),4)," ")</f>
        <v xml:space="preserve"> </v>
      </c>
      <c r="AI69" s="264" t="str">
        <f>IF(AB69&lt;&gt;" ",ROUND(VLOOKUP(AC69,CHOOSE(Sheet1!D$214,Inflate1,Inflate2,Inflate3,Inflate4,Inflate5,Inflate6,Inflate7,Inflate8),3),4)," ")</f>
        <v xml:space="preserve"> </v>
      </c>
      <c r="AJ69" s="263" t="str">
        <f>IF(AND(Sheet1!D$195=1,AB69&lt;&gt;" "),ROUND((AE69/AH69)*AI69,Sheet1!D$75)," ")</f>
        <v xml:space="preserve"> </v>
      </c>
    </row>
    <row r="70" spans="1:36" ht="13.8" thickTop="1" x14ac:dyDescent="0.25">
      <c r="A70" s="318" t="str">
        <f>IF(Sheet1!D$192=1,"7.  Summary Information (Status Quo versus Alternative C)","7.  Summary Information (Alternative C)")</f>
        <v>7.  Summary Information (Status Quo versus Alternative C)</v>
      </c>
      <c r="B70" s="319"/>
      <c r="C70" s="320"/>
      <c r="D70" s="321"/>
      <c r="E70" s="321"/>
      <c r="F70" s="319"/>
      <c r="G70" s="322"/>
      <c r="H70" s="321"/>
      <c r="I70" s="323"/>
      <c r="J70" s="322"/>
      <c r="K70" s="324"/>
      <c r="L70" s="325"/>
      <c r="P70" s="296"/>
      <c r="Q70" s="296"/>
      <c r="R70" s="296"/>
      <c r="S70" s="296"/>
      <c r="T70" s="296"/>
      <c r="AB70" s="271" t="str">
        <f>IF(OR(Sheet1!D$192=1,Sheet1!D$195=1),IF(OR((AB69&gt;=(Sheet1!D$148+$A$11)-1),AND(Sheet1!D$8=3,AB69&gt;=6))," ",AB69+1),NA())</f>
        <v xml:space="preserve"> </v>
      </c>
      <c r="AC70" s="271" t="str">
        <f>IF(OR(Sheet1!D$192=1,Sheet1!D$195=1),IF(OR((AC69&gt;=(Sheet1!D$148+$B$11)-1),AND(Sheet1!D$8=3,AB69&gt;=6))," ",AC69+1),NA())</f>
        <v xml:space="preserve"> </v>
      </c>
      <c r="AD70" s="262"/>
      <c r="AE70" s="263" t="str">
        <f>IF(AND(Sheet1!D$195=1,AB70&lt;&gt;" "),ROUND(VLOOKUP(AB70,AlternativeC!A$76:M$82,12),Sheet1!D$75),IF(Sheet1!D$195=1," ","Alt  'C'  not feasible"))</f>
        <v>Alt  'C'  not feasible</v>
      </c>
      <c r="AF70" s="264" t="str">
        <f>IF(AB70&lt;=Sheet1!D$148,IF(OR(Sheet1!D$8=2,Sheet1!D$8=3),1,ROUND(VLOOKUP(AB70,DiscFactorsLinInterp,HLOOKUP(Sheet1!D$148,DiscLinearInterp,1)),4))," ")</f>
        <v xml:space="preserve"> </v>
      </c>
      <c r="AG70" s="263" t="str">
        <f>IF(AND(Sheet1!D$195=1,AB70&lt;&gt;" "),ROUND(+AE70*AF70,Sheet1!D$75)," ")</f>
        <v xml:space="preserve"> </v>
      </c>
      <c r="AH70" s="264" t="str">
        <f>IF(AB70&lt;&gt;" ",ROUND(VLOOKUP(Sheet1!E$82,CHOOSE(Sheet1!D$214,Inflate1,Inflate2,Inflate3,Inflate4,Inflate5,Inflate6,Inflate7,Inflate8),2),4)," ")</f>
        <v xml:space="preserve"> </v>
      </c>
      <c r="AI70" s="264" t="str">
        <f>IF(AB70&lt;&gt;" ",ROUND(VLOOKUP(AC70,CHOOSE(Sheet1!D$214,Inflate1,Inflate2,Inflate3,Inflate4,Inflate5,Inflate6,Inflate7,Inflate8),3),4)," ")</f>
        <v xml:space="preserve"> </v>
      </c>
      <c r="AJ70" s="263" t="str">
        <f>IF(AND(Sheet1!D$195=1,AB70&lt;&gt;" "),ROUND((AE70/AH70)*AI70,Sheet1!D$75)," ")</f>
        <v xml:space="preserve"> </v>
      </c>
    </row>
    <row r="71" spans="1:36" ht="13.2" x14ac:dyDescent="0.25">
      <c r="A71" s="326"/>
      <c r="B71" s="270"/>
      <c r="D71" s="296"/>
      <c r="E71" s="296"/>
      <c r="F71" s="270"/>
      <c r="G71" s="304"/>
      <c r="H71" s="296"/>
      <c r="I71" s="310"/>
      <c r="J71" s="304"/>
      <c r="K71" s="327"/>
      <c r="L71" s="325"/>
      <c r="P71" s="296"/>
      <c r="Q71" s="296"/>
      <c r="R71" s="296"/>
      <c r="S71" s="296"/>
      <c r="T71" s="296"/>
      <c r="AB71" s="271" t="str">
        <f>IF(OR(Sheet1!D$192=1,Sheet1!D$195=1),IF(OR((AB70&gt;=(Sheet1!D$148+$A$11)-1),AND(Sheet1!D$8=3,AB70&gt;=6))," ",AB70+1),NA())</f>
        <v xml:space="preserve"> </v>
      </c>
      <c r="AC71" s="271" t="str">
        <f>IF(OR(Sheet1!D$192=1,Sheet1!D$195=1),IF(OR((AC70&gt;=(Sheet1!D$148+$B$11)-1),AND(Sheet1!D$8=3,AB70&gt;=6))," ",AC70+1),NA())</f>
        <v xml:space="preserve"> </v>
      </c>
      <c r="AD71" s="328"/>
      <c r="AE71" s="263" t="str">
        <f>IF(AND(Sheet1!D$195=1,AB71&lt;&gt;" "),ROUND(VLOOKUP(AB71,AlternativeC!A$76:M$82,12),Sheet1!D$75),IF(Sheet1!D$195=1," ","Alt  'C'  not feasible"))</f>
        <v>Alt  'C'  not feasible</v>
      </c>
      <c r="AF71" s="264" t="str">
        <f>IF(AB71&lt;=Sheet1!D$148,IF(OR(Sheet1!D$8=2,Sheet1!D$8=3),1,ROUND(VLOOKUP(AB71,DiscFactorsLinInterp,HLOOKUP(Sheet1!D$148,DiscLinearInterp,1)),4))," ")</f>
        <v xml:space="preserve"> </v>
      </c>
      <c r="AG71" s="263" t="str">
        <f>IF(AND(Sheet1!D$195=1,AB71&lt;&gt;" "),ROUND(+AE71*AF71,Sheet1!D$75)," ")</f>
        <v xml:space="preserve"> </v>
      </c>
      <c r="AH71" s="264" t="str">
        <f>IF(AB71&lt;&gt;" ",ROUND(VLOOKUP(Sheet1!E$82,CHOOSE(Sheet1!D$214,Inflate1,Inflate2,Inflate3,Inflate4,Inflate5,Inflate6,Inflate7,Inflate8),2),4)," ")</f>
        <v xml:space="preserve"> </v>
      </c>
      <c r="AI71" s="264" t="str">
        <f>IF(AB71&lt;&gt;" ",ROUND(VLOOKUP(AC71,CHOOSE(Sheet1!D$214,Inflate1,Inflate2,Inflate3,Inflate4,Inflate5,Inflate6,Inflate7,Inflate8),3),4)," ")</f>
        <v xml:space="preserve"> </v>
      </c>
      <c r="AJ71" s="263" t="str">
        <f>IF(AND(Sheet1!D$195=1,AB71&lt;&gt;" "),ROUND((AE71/AH71)*AI71,Sheet1!D$75)," ")</f>
        <v xml:space="preserve"> </v>
      </c>
    </row>
    <row r="72" spans="1:36" ht="13.2" x14ac:dyDescent="0.25">
      <c r="A72" s="329"/>
      <c r="B72" s="316"/>
      <c r="C72" s="330" t="str">
        <f>IF(Sheet1!D$192=1,"o    TOTAL BENEFITS  "," ")</f>
        <v xml:space="preserve">o    TOTAL BENEFITS  </v>
      </c>
      <c r="D72" s="316"/>
      <c r="E72" s="296"/>
      <c r="F72" s="270"/>
      <c r="G72" s="304"/>
      <c r="H72" s="260">
        <f>IF(Sheet1!D$192=1,K63," ")</f>
        <v>0</v>
      </c>
      <c r="I72" s="310" t="str">
        <f>IF(Sheet1!D$192=1,"(Current Dollars)"," ")</f>
        <v>(Current Dollars)</v>
      </c>
      <c r="J72" s="316"/>
      <c r="K72" s="331" t="str">
        <f>IF(Sheet1!D$192=1,"(block 6j.)"," ")</f>
        <v>(block 6j.)</v>
      </c>
      <c r="L72" s="325"/>
      <c r="P72" s="296"/>
      <c r="Q72" s="296"/>
      <c r="R72" s="296"/>
      <c r="S72" s="296"/>
      <c r="T72" s="296"/>
      <c r="AB72" s="297" t="s">
        <v>314</v>
      </c>
      <c r="AC72" s="298"/>
      <c r="AD72" s="299"/>
      <c r="AE72" s="265"/>
      <c r="AF72" s="289"/>
      <c r="AG72" s="265"/>
      <c r="AH72" s="289"/>
      <c r="AI72" s="289"/>
      <c r="AJ72" s="265"/>
    </row>
    <row r="73" spans="1:36" ht="13.2" x14ac:dyDescent="0.25">
      <c r="A73" s="329"/>
      <c r="B73" s="316"/>
      <c r="C73" s="330" t="str">
        <f>IF(Sheet1!D$192=1,"o    NEW INVESTMENT COST","o   NEW INVESTMENT COST")</f>
        <v>o    NEW INVESTMENT COST</v>
      </c>
      <c r="D73" s="316"/>
      <c r="E73" s="296"/>
      <c r="F73" s="270"/>
      <c r="G73" s="304"/>
      <c r="H73" s="260">
        <f>IF(OR(Sheet1!D$192=1,Sheet1!D$195=1),AJ61," ")</f>
        <v>0</v>
      </c>
      <c r="I73" s="310" t="str">
        <f>IF(Sheet1!D$192=1,"(Current Dollars)","(Current Dollars) ")</f>
        <v>(Current Dollars)</v>
      </c>
      <c r="J73" s="316"/>
      <c r="K73" s="331" t="str">
        <f>IF(Sheet1!D$192=1,"(block A8.)",IF(Sheet1!D$195=1,"(block A8.)"," "))</f>
        <v>(block A8.)</v>
      </c>
      <c r="L73" s="325"/>
      <c r="P73" s="296"/>
      <c r="Q73" s="296"/>
      <c r="R73" s="296"/>
      <c r="S73" s="296"/>
      <c r="T73" s="296"/>
      <c r="AB73" s="311" t="s">
        <v>318</v>
      </c>
      <c r="AC73" s="312"/>
      <c r="AD73" s="313"/>
      <c r="AE73" s="265"/>
      <c r="AF73" s="314"/>
      <c r="AG73" s="265"/>
      <c r="AH73" s="314"/>
      <c r="AI73" s="314"/>
      <c r="AJ73" s="265"/>
    </row>
    <row r="74" spans="1:36" ht="13.2" x14ac:dyDescent="0.25">
      <c r="A74" s="329"/>
      <c r="B74" s="316"/>
      <c r="C74" s="330" t="str">
        <f>IF(Sheet1!D$192=1,IF(OR(Sheet1!D$8=2,Sheet1!D$8=3),"o    NET BENEFITS","o    NET PRESENT VALUE "),IF(OR(Sheet1!D$8=2,Sheet1!D$8=3),"o   NET VALUE OF PROJ TOTAL COST","o   PRESENT VALUE OF PROJ TOTAL COST"))</f>
        <v xml:space="preserve">o    NET PRESENT VALUE </v>
      </c>
      <c r="D74" s="316"/>
      <c r="E74" s="296"/>
      <c r="F74" s="270"/>
      <c r="G74" s="304"/>
      <c r="H74" s="260" t="str">
        <f>IF(OR(Sheet1!D$192=1,Sheet1!D$195=1),H65," ")</f>
        <v>Alt  'C'  not feasible</v>
      </c>
      <c r="I74" s="310" t="str">
        <f>IF(Sheet1!D$192=1,IF(OR(Sheet1!D$8=2,Sheet1!D$8=3),"(Constant Dollars)","(Discounted Dollars)"),IF(OR(Sheet1!D$8=2,Sheet1!D$8=3),"(Constant Dollars)","(Discounted Dollars)"))</f>
        <v>(Discounted Dollars)</v>
      </c>
      <c r="J74" s="316"/>
      <c r="K74" s="331" t="str">
        <f>IF(Sheet1!D$192=1,"(block 6g.)",IF(Sheet1!D$195=1,"(block 6e.)"," "))</f>
        <v>(block 6g.)</v>
      </c>
      <c r="L74" s="177"/>
      <c r="P74" s="296"/>
      <c r="Q74" s="296"/>
      <c r="R74" s="296"/>
      <c r="S74" s="296"/>
      <c r="T74" s="296"/>
      <c r="AB74" s="261">
        <f>IF(OR(Sheet1!D$192=1,Sheet1!D$195=1),VLOOKUP(1,Sheet1!A148:B179,2),NA())</f>
        <v>1</v>
      </c>
      <c r="AC74" s="261">
        <f>IF(OR(Sheet1!D$192=1,Sheet1!D$195=1),VLOOKUP(Sheet1!D$86,Sheet1!A82:B135,2),NA())</f>
        <v>2024</v>
      </c>
      <c r="AD74" s="317"/>
      <c r="AE74" s="263" t="str">
        <f>IF(AND(Sheet1!D$195=1,AB74&lt;&gt;" "),ROUND(VLOOKUP(AB74,AlternativeC!A$92:M$98,12),Sheet1!D$75),IF(Sheet1!D$195=1," ","Alt  'C'  not feasible"))</f>
        <v>Alt  'C'  not feasible</v>
      </c>
      <c r="AF74" s="264">
        <f>IF(AB74&lt;=Sheet1!D$148,IF(OR(Sheet1!D$8=2,Sheet1!D$8=3),1,ROUND(VLOOKUP(AB74,DiscFactorsLinInterp,HLOOKUP(Sheet1!D$148,DiscLinearInterp,1)),4))," ")</f>
        <v>1</v>
      </c>
      <c r="AG74" s="263" t="str">
        <f>IF(AND(Sheet1!D$195=1,AB74&lt;&gt;" "),ROUND(+AE74*AF74,Sheet1!D$75)," ")</f>
        <v xml:space="preserve"> </v>
      </c>
      <c r="AH74" s="264">
        <f>IF(AB74&lt;&gt;" ",ROUND(VLOOKUP(Sheet1!E$82,CHOOSE(Sheet1!D$214,Inflate1,Inflate2,Inflate3,Inflate4,Inflate5,Inflate6,Inflate7,Inflate8),2),4)," ")</f>
        <v>1</v>
      </c>
      <c r="AI74" s="264">
        <f>IF(AB74&lt;&gt;" ",ROUND(VLOOKUP(AC74,CHOOSE(Sheet1!D$214,Inflate1,Inflate2,Inflate3,Inflate4,Inflate5,Inflate6,Inflate7,Inflate8),3),4)," ")</f>
        <v>1.0225</v>
      </c>
      <c r="AJ74" s="263" t="str">
        <f>IF(AND(Sheet1!D$195=1,AB74&lt;&gt;" "),ROUND((AE74/AH74)*AI74,Sheet1!D$75)," ")</f>
        <v xml:space="preserve"> </v>
      </c>
    </row>
    <row r="75" spans="1:36" ht="13.2" x14ac:dyDescent="0.25">
      <c r="A75" s="329"/>
      <c r="B75" s="316"/>
      <c r="C75" s="330" t="str">
        <f>IF(Sheet1!D$192=1,IF(OR(Sheet1!D$8=2,Sheet1!D$8=3),"o    BENEFIT TO INVESTMENT RATIO (BIR) (Constant Dollars)","o    BENEFIT TO INVESTMENT RATIO (BIR) (Discounted Dollars)"),IF(OR(Sheet1!D$8=2,Sheet1!D$8=3),"     This Cost Comparison is limited to maximum 6 year evaluation period (unless project life &lt; 6 years)"," "))</f>
        <v>o    BENEFIT TO INVESTMENT RATIO (BIR) (Discounted Dollars)</v>
      </c>
      <c r="D75" s="316"/>
      <c r="E75" s="296"/>
      <c r="F75" s="270"/>
      <c r="G75" s="304"/>
      <c r="H75" s="332"/>
      <c r="I75" s="310"/>
      <c r="J75" s="316"/>
      <c r="K75" s="333"/>
      <c r="L75" s="177"/>
      <c r="P75" s="296"/>
      <c r="Q75" s="296"/>
      <c r="R75" s="296"/>
      <c r="S75" s="296"/>
      <c r="T75" s="296"/>
      <c r="AB75" s="271" t="str">
        <f>IF(OR(Sheet1!D$192=1,Sheet1!D$195=1),IF(OR((AB74&gt;=(Sheet1!D$148+$A$11)-1),AND(Sheet1!D$8=3,AB74&gt;=6))," ",AB74+1),NA())</f>
        <v xml:space="preserve"> </v>
      </c>
      <c r="AC75" s="271" t="str">
        <f>IF(OR(Sheet1!D$192=1,Sheet1!D$195=1),IF(OR((AC74&gt;=(Sheet1!D$148+$B$11)-1),AND(Sheet1!D$8=3,AB74&gt;=6))," ",AC74+1),NA())</f>
        <v xml:space="preserve"> </v>
      </c>
      <c r="AD75" s="262"/>
      <c r="AE75" s="263" t="str">
        <f>IF(AND(Sheet1!D$195=1,AB75&lt;&gt;" "),ROUND(VLOOKUP(AB75,AlternativeC!A$92:M$98,12),Sheet1!D$75),IF(Sheet1!D$195=1," ","Alt  'C'  not feasible"))</f>
        <v>Alt  'C'  not feasible</v>
      </c>
      <c r="AF75" s="264" t="str">
        <f>IF(AB75&lt;=Sheet1!D$148,IF(OR(Sheet1!D$8=2,Sheet1!D$8=3),1,ROUND(VLOOKUP(AB75,DiscFactorsLinInterp,HLOOKUP(Sheet1!D$148,DiscLinearInterp,1)),4))," ")</f>
        <v xml:space="preserve"> </v>
      </c>
      <c r="AG75" s="263" t="str">
        <f>IF(AND(Sheet1!D$195=1,AB75&lt;&gt;" "),ROUND(+AE75*AF75,Sheet1!D$75)," ")</f>
        <v xml:space="preserve"> </v>
      </c>
      <c r="AH75" s="264" t="str">
        <f>IF(AB75&lt;&gt;" ",ROUND(VLOOKUP(Sheet1!E$82,CHOOSE(Sheet1!D$214,Inflate1,Inflate2,Inflate3,Inflate4,Inflate5,Inflate6,Inflate7,Inflate8),2),4)," ")</f>
        <v xml:space="preserve"> </v>
      </c>
      <c r="AI75" s="264" t="str">
        <f>IF(AB75&lt;&gt;" ",ROUND(VLOOKUP(AC75,CHOOSE(Sheet1!D$214,Inflate1,Inflate2,Inflate3,Inflate4,Inflate5,Inflate6,Inflate7,Inflate8),3),4)," ")</f>
        <v xml:space="preserve"> </v>
      </c>
      <c r="AJ75" s="263" t="str">
        <f>IF(AND(Sheet1!D$195=1,AB75&lt;&gt;" "),ROUND((AE75/AH75)*AI75,Sheet1!D$75)," ")</f>
        <v xml:space="preserve"> </v>
      </c>
    </row>
    <row r="76" spans="1:36" ht="13.2" x14ac:dyDescent="0.25">
      <c r="A76" s="329"/>
      <c r="B76" s="316"/>
      <c r="C76" s="334" t="str">
        <f>IF(Sheet1!D$192=1,IF(Sheet1!D$8=3,"      BIR limited to 6 year evaluation period (or  project life if &lt; 6 years)","      BIR based on entire project life ")," ")</f>
        <v xml:space="preserve">      BIR based on entire project life </v>
      </c>
      <c r="D76" s="316"/>
      <c r="E76" s="296"/>
      <c r="F76" s="270"/>
      <c r="G76" s="304"/>
      <c r="H76" s="296"/>
      <c r="I76" s="310"/>
      <c r="J76" s="304"/>
      <c r="K76" s="327"/>
      <c r="L76" s="177"/>
      <c r="P76" s="296"/>
      <c r="Q76" s="296"/>
      <c r="R76" s="296"/>
      <c r="S76" s="296"/>
      <c r="T76" s="296"/>
      <c r="AB76" s="271" t="str">
        <f>IF(OR(Sheet1!D$192=1,Sheet1!D$195=1),IF(OR((AB75&gt;=(Sheet1!D$148+$A$11)-1),AND(Sheet1!D$8=3,AB75&gt;=6))," ",AB75+1),NA())</f>
        <v xml:space="preserve"> </v>
      </c>
      <c r="AC76" s="271" t="str">
        <f>IF(OR(Sheet1!D$192=1,Sheet1!D$195=1),IF(OR((AC75&gt;=(Sheet1!D$148+$B$11)-1),AND(Sheet1!D$8=3,AB75&gt;=6))," ",AC75+1),NA())</f>
        <v xml:space="preserve"> </v>
      </c>
      <c r="AD76" s="262"/>
      <c r="AE76" s="263" t="str">
        <f>IF(AND(Sheet1!D$195=1,AB76&lt;&gt;" "),ROUND(VLOOKUP(AB76,AlternativeC!A$92:M$98,12),Sheet1!D$75),IF(Sheet1!D$195=1," ","Alt  'C'  not feasible"))</f>
        <v>Alt  'C'  not feasible</v>
      </c>
      <c r="AF76" s="264" t="str">
        <f>IF(AB76&lt;=Sheet1!D$148,IF(OR(Sheet1!D$8=2,Sheet1!D$8=3),1,ROUND(VLOOKUP(AB76,DiscFactorsLinInterp,HLOOKUP(Sheet1!D$148,DiscLinearInterp,1)),4))," ")</f>
        <v xml:space="preserve"> </v>
      </c>
      <c r="AG76" s="263" t="str">
        <f>IF(AND(Sheet1!D$195=1,AB76&lt;&gt;" "),ROUND(+AE76*AF76,Sheet1!D$75)," ")</f>
        <v xml:space="preserve"> </v>
      </c>
      <c r="AH76" s="264" t="str">
        <f>IF(AB76&lt;&gt;" ",ROUND(VLOOKUP(Sheet1!E$82,CHOOSE(Sheet1!D$214,Inflate1,Inflate2,Inflate3,Inflate4,Inflate5,Inflate6,Inflate7,Inflate8),2),4)," ")</f>
        <v xml:space="preserve"> </v>
      </c>
      <c r="AI76" s="264" t="str">
        <f>IF(AB76&lt;&gt;" ",ROUND(VLOOKUP(AC76,CHOOSE(Sheet1!D$214,Inflate1,Inflate2,Inflate3,Inflate4,Inflate5,Inflate6,Inflate7,Inflate8),3),4)," ")</f>
        <v xml:space="preserve"> </v>
      </c>
      <c r="AJ76" s="263" t="str">
        <f>IF(AND(Sheet1!D$195=1,AB76&lt;&gt;" "),ROUND((AE76/AH76)*AI76,Sheet1!D$75)," ")</f>
        <v xml:space="preserve"> </v>
      </c>
    </row>
    <row r="77" spans="1:36" ht="13.2" x14ac:dyDescent="0.25">
      <c r="A77" s="329"/>
      <c r="B77" s="316"/>
      <c r="C77" s="316"/>
      <c r="D77" s="316"/>
      <c r="E77" s="270" t="str">
        <f>IF(Sheet1!D$192=1,"      Benefits ","BIR not applicable since")</f>
        <v xml:space="preserve">      Benefits </v>
      </c>
      <c r="F77" s="316"/>
      <c r="G77" s="316"/>
      <c r="H77" s="260">
        <f>IF(Sheet1!D$192=1,H63," ")</f>
        <v>0</v>
      </c>
      <c r="I77" s="310" t="str">
        <f>IF(Sheet1!D$192=1,IF(OR(Sheet1!D$8=2,Sheet1!D$8=3),"Constant Dollars","(Discounted Dollars)")," ")</f>
        <v>(Discounted Dollars)</v>
      </c>
      <c r="J77" s="304"/>
      <c r="K77" s="335" t="str">
        <f>IF(Sheet1!D$192=1,IF(OR(Sheet1!D$8=2,Sheet1!D$8=3),"(block 6g.)","(block 6g.)")," ")</f>
        <v>(block 6g.)</v>
      </c>
      <c r="L77" s="177"/>
      <c r="P77" s="296"/>
      <c r="Q77" s="296"/>
      <c r="R77" s="296"/>
      <c r="S77" s="296"/>
      <c r="T77" s="296"/>
      <c r="AB77" s="271" t="str">
        <f>IF(OR(Sheet1!D$192=1,Sheet1!D$195=1),IF(OR((AB76&gt;=(Sheet1!D$148+$A$11)-1),AND(Sheet1!D$8=3,AB76&gt;=6))," ",AB76+1),NA())</f>
        <v xml:space="preserve"> </v>
      </c>
      <c r="AC77" s="271" t="str">
        <f>IF(OR(Sheet1!D$192=1,Sheet1!D$195=1),IF(OR((AC76&gt;=(Sheet1!D$148+$B$11)-1),AND(Sheet1!D$8=3,AB76&gt;=6))," ",AC76+1),NA())</f>
        <v xml:space="preserve"> </v>
      </c>
      <c r="AD77" s="262"/>
      <c r="AE77" s="263" t="str">
        <f>IF(AND(Sheet1!D$195=1,AB77&lt;&gt;" "),ROUND(VLOOKUP(AB77,AlternativeC!A$92:M$98,12),Sheet1!D$75),IF(Sheet1!D$195=1," ","Alt  'C'  not feasible"))</f>
        <v>Alt  'C'  not feasible</v>
      </c>
      <c r="AF77" s="264" t="str">
        <f>IF(AB77&lt;=Sheet1!D$148,IF(OR(Sheet1!D$8=2,Sheet1!D$8=3),1,ROUND(VLOOKUP(AB77,DiscFactorsLinInterp,HLOOKUP(Sheet1!D$148,DiscLinearInterp,1)),4))," ")</f>
        <v xml:space="preserve"> </v>
      </c>
      <c r="AG77" s="263" t="str">
        <f>IF(AND(Sheet1!D$195=1,AB77&lt;&gt;" "),ROUND(+AE77*AF77,Sheet1!D$75)," ")</f>
        <v xml:space="preserve"> </v>
      </c>
      <c r="AH77" s="264" t="str">
        <f>IF(AB77&lt;&gt;" ",ROUND(VLOOKUP(Sheet1!E$82,CHOOSE(Sheet1!D$214,Inflate1,Inflate2,Inflate3,Inflate4,Inflate5,Inflate6,Inflate7,Inflate8),2),4)," ")</f>
        <v xml:space="preserve"> </v>
      </c>
      <c r="AI77" s="264" t="str">
        <f>IF(AB77&lt;&gt;" ",ROUND(VLOOKUP(AC77,CHOOSE(Sheet1!D$214,Inflate1,Inflate2,Inflate3,Inflate4,Inflate5,Inflate6,Inflate7,Inflate8),3),4)," ")</f>
        <v xml:space="preserve"> </v>
      </c>
      <c r="AJ77" s="263" t="str">
        <f>IF(AND(Sheet1!D$195=1,AB77&lt;&gt;" "),ROUND((AE77/AH77)*AI77,Sheet1!D$75)," ")</f>
        <v xml:space="preserve"> </v>
      </c>
    </row>
    <row r="78" spans="1:36" ht="13.2" x14ac:dyDescent="0.25">
      <c r="A78" s="329"/>
      <c r="B78" s="316"/>
      <c r="C78" s="316"/>
      <c r="D78" s="316"/>
      <c r="E78" s="171" t="str">
        <f>IF(Sheet1!D$192=1," /     Adjusted Investment Cost","    Status Quo Not Feasible ")</f>
        <v xml:space="preserve"> /     Adjusted Investment Cost</v>
      </c>
      <c r="F78" s="316"/>
      <c r="G78" s="316"/>
      <c r="H78" s="260">
        <f>IF(Sheet1!D$192=1,AG81," ")</f>
        <v>0</v>
      </c>
      <c r="I78" s="310" t="str">
        <f>IF(Sheet1!D$192=1,IF(OR(Sheet1!D$8=2,Sheet1!D$8=3),"Constant Dollars","(Discounted Dollars)")," ")</f>
        <v>(Discounted Dollars)</v>
      </c>
      <c r="J78" s="304"/>
      <c r="K78" s="335" t="str">
        <f>IF(Sheet1!D$192=1,IF(OR(Sheet1!D$8=2,Sheet1!D$8=3),"(block A5.)","(block A5.)")," ")</f>
        <v>(block A5.)</v>
      </c>
      <c r="L78" s="177"/>
      <c r="P78" s="296"/>
      <c r="Q78" s="296"/>
      <c r="R78" s="296"/>
      <c r="S78" s="296"/>
      <c r="T78" s="296"/>
      <c r="AB78" s="271" t="str">
        <f>IF(OR(Sheet1!D$192=1,Sheet1!D$195=1),IF(OR((AB77&gt;=(Sheet1!D$148+$A$11)-1),AND(Sheet1!D$8=3,AB77&gt;=6))," ",AB77+1),NA())</f>
        <v xml:space="preserve"> </v>
      </c>
      <c r="AC78" s="271" t="str">
        <f>IF(OR(Sheet1!D$192=1,Sheet1!D$195=1),IF(OR((AC77&gt;=(Sheet1!D$148+$B$11)-1),AND(Sheet1!D$8=3,AB77&gt;=6))," ",AC77+1),NA())</f>
        <v xml:space="preserve"> </v>
      </c>
      <c r="AD78" s="262"/>
      <c r="AE78" s="263" t="str">
        <f>IF(AND(Sheet1!D$195=1,AB78&lt;&gt;" "),ROUND(VLOOKUP(AB78,AlternativeC!A$92:M$98,12),Sheet1!D$75),IF(Sheet1!D$195=1," ","Alt  'C'  not feasible"))</f>
        <v>Alt  'C'  not feasible</v>
      </c>
      <c r="AF78" s="264" t="str">
        <f>IF(AB78&lt;=Sheet1!D$148,IF(OR(Sheet1!D$8=2,Sheet1!D$8=3),1,ROUND(VLOOKUP(AB78,DiscFactorsLinInterp,HLOOKUP(Sheet1!D$148,DiscLinearInterp,1)),4))," ")</f>
        <v xml:space="preserve"> </v>
      </c>
      <c r="AG78" s="263" t="str">
        <f>IF(AND(Sheet1!D$195=1,AB78&lt;&gt;" "),ROUND(+AE78*AF78,Sheet1!D$75)," ")</f>
        <v xml:space="preserve"> </v>
      </c>
      <c r="AH78" s="264" t="str">
        <f>IF(AB78&lt;&gt;" ",ROUND(VLOOKUP(Sheet1!E$82,CHOOSE(Sheet1!D$214,Inflate1,Inflate2,Inflate3,Inflate4,Inflate5,Inflate6,Inflate7,Inflate8),2),4)," ")</f>
        <v xml:space="preserve"> </v>
      </c>
      <c r="AI78" s="264" t="str">
        <f>IF(AB78&lt;&gt;" ",ROUND(VLOOKUP(AC78,CHOOSE(Sheet1!D$214,Inflate1,Inflate2,Inflate3,Inflate4,Inflate5,Inflate6,Inflate7,Inflate8),3),4)," ")</f>
        <v xml:space="preserve"> </v>
      </c>
      <c r="AJ78" s="263" t="str">
        <f>IF(AND(Sheet1!D$195=1,AB78&lt;&gt;" "),ROUND((AE78/AH78)*AI78,Sheet1!D$75)," ")</f>
        <v xml:space="preserve"> </v>
      </c>
    </row>
    <row r="79" spans="1:36" ht="13.2" x14ac:dyDescent="0.25">
      <c r="A79" s="329"/>
      <c r="B79" s="316"/>
      <c r="D79" s="316"/>
      <c r="E79" s="296"/>
      <c r="F79" s="316"/>
      <c r="G79" s="316"/>
      <c r="H79" s="336" t="str">
        <f>IF(Sheet1!D$192=1,IF(H78=0,"n/a",+H77/H78)," ")</f>
        <v>n/a</v>
      </c>
      <c r="I79" s="337" t="str">
        <f>IF(Sheet1!D$192=1,"(BIR)"," ")</f>
        <v>(BIR)</v>
      </c>
      <c r="J79" s="304"/>
      <c r="K79" s="327"/>
      <c r="L79" s="177"/>
      <c r="P79" s="296"/>
      <c r="Q79" s="296"/>
      <c r="R79" s="296"/>
      <c r="S79" s="296"/>
      <c r="T79" s="296"/>
      <c r="AB79" s="271" t="str">
        <f>IF(OR(Sheet1!D$192=1,Sheet1!D$195=1),IF(OR((AB78&gt;=(Sheet1!D$148+$A$11)-1),AND(Sheet1!D$8=3,AB78&gt;=6))," ",AB78+1),NA())</f>
        <v xml:space="preserve"> </v>
      </c>
      <c r="AC79" s="271" t="str">
        <f>IF(OR(Sheet1!D$192=1,Sheet1!D$195=1),IF(OR((AC78&gt;=(Sheet1!D$148+$B$11)-1),AND(Sheet1!D$8=3,AB78&gt;=6))," ",AC78+1),NA())</f>
        <v xml:space="preserve"> </v>
      </c>
      <c r="AD79" s="262"/>
      <c r="AE79" s="263" t="str">
        <f>IF(AND(Sheet1!D$195=1,AB79&lt;&gt;" "),ROUND(VLOOKUP(AB79,AlternativeC!A$92:M$98,12),Sheet1!D$75),IF(Sheet1!D$195=1," ","Alt  'C'  not feasible"))</f>
        <v>Alt  'C'  not feasible</v>
      </c>
      <c r="AF79" s="264" t="str">
        <f>IF(AB79&lt;=Sheet1!D$148,IF(OR(Sheet1!D$8=2,Sheet1!D$8=3),1,ROUND(VLOOKUP(AB79,DiscFactorsLinInterp,HLOOKUP(Sheet1!D$148,DiscLinearInterp,1)),4))," ")</f>
        <v xml:space="preserve"> </v>
      </c>
      <c r="AG79" s="263" t="str">
        <f>IF(AND(Sheet1!D$195=1,AB79&lt;&gt;" "),ROUND(+AE79*AF79,Sheet1!D$75)," ")</f>
        <v xml:space="preserve"> </v>
      </c>
      <c r="AH79" s="264" t="str">
        <f>IF(AB79&lt;&gt;" ",ROUND(VLOOKUP(Sheet1!E$82,CHOOSE(Sheet1!D$214,Inflate1,Inflate2,Inflate3,Inflate4,Inflate5,Inflate6,Inflate7,Inflate8),2),4)," ")</f>
        <v xml:space="preserve"> </v>
      </c>
      <c r="AI79" s="264" t="str">
        <f>IF(AB79&lt;&gt;" ",ROUND(VLOOKUP(AC79,CHOOSE(Sheet1!D$214,Inflate1,Inflate2,Inflate3,Inflate4,Inflate5,Inflate6,Inflate7,Inflate8),3),4)," ")</f>
        <v xml:space="preserve"> </v>
      </c>
      <c r="AJ79" s="263" t="str">
        <f>IF(AND(Sheet1!D$195=1,AB79&lt;&gt;" "),ROUND((AE79/AH79)*AI79,Sheet1!D$75)," ")</f>
        <v xml:space="preserve"> </v>
      </c>
    </row>
    <row r="80" spans="1:36" ht="13.8" thickBot="1" x14ac:dyDescent="0.3">
      <c r="A80" s="329"/>
      <c r="B80" s="316"/>
      <c r="D80" s="316"/>
      <c r="E80" s="296"/>
      <c r="F80" s="270"/>
      <c r="G80" s="304"/>
      <c r="H80" s="296"/>
      <c r="I80" s="310"/>
      <c r="J80" s="304"/>
      <c r="K80" s="327"/>
      <c r="L80" s="177"/>
      <c r="P80" s="296"/>
      <c r="Q80" s="296"/>
      <c r="R80" s="296"/>
      <c r="S80" s="296"/>
      <c r="T80" s="296"/>
      <c r="AB80" s="271" t="str">
        <f>IF(OR(Sheet1!D$192=1,Sheet1!D$195=1),IF(OR((AB79&gt;=(Sheet1!D$148+$A$11)-1),AND(Sheet1!D$8=3,AB79&gt;=6))," ",AB79+1),NA())</f>
        <v xml:space="preserve"> </v>
      </c>
      <c r="AC80" s="271" t="str">
        <f>IF(OR(Sheet1!D$192=1,Sheet1!D$195=1),IF(OR((AC79&gt;=(Sheet1!D$148+$B$11)-1),AND(Sheet1!D$8=3,AB79&gt;=6))," ",AC79+1),NA())</f>
        <v xml:space="preserve"> </v>
      </c>
      <c r="AD80" s="328"/>
      <c r="AE80" s="263" t="str">
        <f>IF(AND(Sheet1!D$195=1,AB80&lt;&gt;" "),ROUND(VLOOKUP(AB80,AlternativeC!A$92:M$98,12),Sheet1!D$75),IF(Sheet1!D$195=1," ","Alt  'C'  not feasible"))</f>
        <v>Alt  'C'  not feasible</v>
      </c>
      <c r="AF80" s="264" t="str">
        <f>IF(AB80&lt;=Sheet1!D$148,IF(OR(Sheet1!D$8=2,Sheet1!D$8=3),1,ROUND(VLOOKUP(AB80,DiscFactorsLinInterp,HLOOKUP(Sheet1!D$148,DiscLinearInterp,1)),4))," ")</f>
        <v xml:space="preserve"> </v>
      </c>
      <c r="AG80" s="263" t="str">
        <f>IF(AND(Sheet1!D$195=1,AB80&lt;&gt;" "),ROUND(+AE80*AF80,Sheet1!D$75)," ")</f>
        <v xml:space="preserve"> </v>
      </c>
      <c r="AH80" s="264" t="str">
        <f>IF(AB80&lt;&gt;" ",ROUND(VLOOKUP(Sheet1!E$82,CHOOSE(Sheet1!D$214,Inflate1,Inflate2,Inflate3,Inflate4,Inflate5,Inflate6,Inflate7,Inflate8),2),4)," ")</f>
        <v xml:space="preserve"> </v>
      </c>
      <c r="AI80" s="264" t="str">
        <f>IF(AB80&lt;&gt;" ",ROUND(VLOOKUP(AC80,CHOOSE(Sheet1!D$214,Inflate1,Inflate2,Inflate3,Inflate4,Inflate5,Inflate6,Inflate7,Inflate8),3),4)," ")</f>
        <v xml:space="preserve"> </v>
      </c>
      <c r="AJ80" s="263" t="str">
        <f>IF(AND(Sheet1!D$195=1,AB80&lt;&gt;" "),ROUND((AE80/AH80)*AI80,Sheet1!D$75)," ")</f>
        <v xml:space="preserve"> </v>
      </c>
    </row>
    <row r="81" spans="1:254" ht="13.8" thickTop="1" x14ac:dyDescent="0.25">
      <c r="A81" s="329"/>
      <c r="B81" s="316"/>
      <c r="C81" s="330" t="str">
        <f>IF(Sheet1!D$192=1,IF(OR(Sheet1!D$8=2,Sheet1!D$8=3),"o  SAVINGS TO INVESTMENT RATIO (SIR) (Constant Dollars)","o    SAVINGS TO INVESTMENT RATIO  (SIR)  (Discounted Dollars)")," ")</f>
        <v>o    SAVINGS TO INVESTMENT RATIO  (SIR)  (Discounted Dollars)</v>
      </c>
      <c r="D81" s="270"/>
      <c r="E81" s="296"/>
      <c r="F81" s="270"/>
      <c r="G81" s="338" t="str">
        <f>IF(OR(AND(Sheet1!N264=1,Sheet1!N267=2),AND(Sheet1!N264=2,Sheet1!N267=1)),"(*) !!ERROR - You have not Identified an Operating &amp; Support Cost Element"," ")</f>
        <v xml:space="preserve"> </v>
      </c>
      <c r="H81" s="296"/>
      <c r="I81" s="310"/>
      <c r="J81" s="304"/>
      <c r="K81" s="339"/>
      <c r="L81" s="177"/>
      <c r="P81" s="296"/>
      <c r="Q81" s="296"/>
      <c r="R81" s="296"/>
      <c r="S81" s="296"/>
      <c r="T81" s="296"/>
      <c r="AB81" s="340" t="s">
        <v>319</v>
      </c>
      <c r="AC81" s="341"/>
      <c r="AD81" s="341"/>
      <c r="AE81" s="342" t="e">
        <f>+AE61+SUM(AE65:AE71)-SUM(AE74:AE80)</f>
        <v>#VALUE!</v>
      </c>
      <c r="AF81" s="272"/>
      <c r="AG81" s="342">
        <f>+AG61+SUM(AG65:AG71)-SUM(AG74:AG80)</f>
        <v>0</v>
      </c>
      <c r="AH81" s="272"/>
      <c r="AI81" s="272"/>
      <c r="AJ81" s="343">
        <f>+AJ61+SUM(AJ65:AJ71)-SUM(AJ74:AJ80)</f>
        <v>0</v>
      </c>
    </row>
    <row r="82" spans="1:254" ht="13.2" x14ac:dyDescent="0.25">
      <c r="A82" s="329"/>
      <c r="B82" s="316"/>
      <c r="C82" s="334" t="str">
        <f>IF(Sheet1!D$192=1,IF(OR(Sheet1!D$8=2,Sheet1!D$22=3),"      FOR OSCR Initiatives: SIR may include savings over 10 years from when savings first begins or through economic life if &lt; 10 years",IF(Sheet1!D$8=3,"    SIR limited to 6 year evaluation period (or project life if &lt; 6 years) ","      SIR based on entire project life "))," ")</f>
        <v xml:space="preserve">      SIR based on entire project life </v>
      </c>
      <c r="D82" s="316"/>
      <c r="E82" s="296"/>
      <c r="F82" s="270"/>
      <c r="G82" s="338" t="str">
        <f>IF(OR(AND(Sheet1!N264=1,Sheet1!N267=2),AND(Sheet1!N264=2,Sheet1!N267=1)),"                        under both the 'Status Quo' and 'Alternative A' "," ")</f>
        <v xml:space="preserve"> </v>
      </c>
      <c r="H82" s="296"/>
      <c r="I82" s="310"/>
      <c r="J82" s="304"/>
      <c r="K82" s="327"/>
      <c r="L82" s="177"/>
      <c r="P82" s="296"/>
      <c r="Q82" s="296"/>
      <c r="R82" s="296"/>
      <c r="S82" s="296"/>
      <c r="T82" s="296"/>
      <c r="AB82" s="344"/>
      <c r="AC82" s="345"/>
      <c r="AD82" s="345"/>
      <c r="AE82" s="345"/>
      <c r="AF82" s="345"/>
      <c r="AG82" s="345"/>
      <c r="AH82" s="345"/>
      <c r="AI82" s="345"/>
      <c r="AJ82" s="346"/>
    </row>
    <row r="83" spans="1:254" ht="13.2" x14ac:dyDescent="0.25">
      <c r="A83" s="329"/>
      <c r="B83" s="316"/>
      <c r="C83" s="334" t="str">
        <f>IF(Sheet1!D$192=1,IF(OR(Sheet1!D$8=2,Sheet1!D$22=3),"      FOR OSCR Initiatives: SIR may not include 'New Investment Costs' occurring beyond the maximum 10 year savings period",IF(Sheet1!D$8=3,"    SIR can't include 'New Investment Costs' occurring after evaluation period","  "))," ")</f>
        <v xml:space="preserve">  </v>
      </c>
      <c r="D83" s="316"/>
      <c r="E83" s="316"/>
      <c r="F83" s="316"/>
      <c r="G83" s="338" t="str">
        <f>IF(OR(AND(Sheet1!N264=1,Sheet1!N267=2),AND(Sheet1!N264=2,Sheet1!N267=1)),"                        that should be used  to calculate Savings"," ")</f>
        <v xml:space="preserve"> </v>
      </c>
      <c r="H83" s="316"/>
      <c r="I83" s="316"/>
      <c r="J83" s="304"/>
      <c r="K83" s="327"/>
      <c r="L83" s="177"/>
      <c r="P83" s="296"/>
      <c r="Q83" s="296"/>
      <c r="R83" s="296"/>
      <c r="S83" s="296"/>
      <c r="T83" s="296"/>
    </row>
    <row r="84" spans="1:254" ht="13.2" x14ac:dyDescent="0.25">
      <c r="A84" s="329"/>
      <c r="B84" s="316"/>
      <c r="C84" s="316"/>
      <c r="D84" s="316"/>
      <c r="E84" s="270" t="str">
        <f>IF(Sheet1!D$192=1,IF(OR(Sheet1!D$8=2,Sheet1!D$8=3,Sheet1!D$22=3),"      Restricted Savings","      Savings "),"SIR not applicable since")</f>
        <v xml:space="preserve">      Savings </v>
      </c>
      <c r="F84" s="316"/>
      <c r="G84" s="316"/>
      <c r="H84" s="260">
        <f>IF(Sheet1!D$192=1,IF(G81&lt;&gt;" ","???",S61)," ")</f>
        <v>0</v>
      </c>
      <c r="I84" s="310" t="str">
        <f>IF(Sheet1!D$192=1,IF(OR(Sheet1!D$8=2,Sheet1!D$8=3),"Constant Dollars","(Discounted Dollars)")," ")</f>
        <v>(Discounted Dollars)</v>
      </c>
      <c r="J84" s="304"/>
      <c r="K84" s="335" t="str">
        <f>IF(Sheet1!D$192=1,IF(OR(Sheet1!D$8=2,Sheet1!D$8=3),"(block 6q.)","(block 6q.)")," ")</f>
        <v>(block 6q.)</v>
      </c>
      <c r="L84" s="177"/>
      <c r="P84" s="296"/>
      <c r="Q84" s="296"/>
      <c r="R84" s="296"/>
      <c r="S84" s="296"/>
      <c r="T84" s="296"/>
      <c r="AB84" s="58"/>
      <c r="AC84" s="58"/>
      <c r="AD84" s="58"/>
      <c r="AE84" s="58"/>
      <c r="AF84" s="58"/>
      <c r="AG84" s="58"/>
      <c r="AH84" s="58"/>
      <c r="AI84" s="58"/>
      <c r="AJ84" s="58"/>
    </row>
    <row r="85" spans="1:254" ht="13.2" x14ac:dyDescent="0.25">
      <c r="A85" s="329"/>
      <c r="B85" s="316"/>
      <c r="C85" s="334"/>
      <c r="D85" s="316"/>
      <c r="E85" s="171" t="str">
        <f>IF(Sheet1!D$192=1,IF(OR(Sheet1!D8=2,Sheet1!D$8=3,Sheet1!D$22=3),"/     Restricted New Investment Cost"," /    New Investment Cost"),"     Status Quo Not Feasible ")</f>
        <v xml:space="preserve"> /    New Investment Cost</v>
      </c>
      <c r="F85" s="316"/>
      <c r="G85" s="316"/>
      <c r="H85" s="260">
        <f>IF(Sheet1!D$192=1,IF(OR(Sheet1!D$8=2,Sheet1!D$8=3,Sheet1!D$22=3),AJ61,AG61)," ")</f>
        <v>0</v>
      </c>
      <c r="I85" s="310" t="str">
        <f>IF(Sheet1!D$192=1,IF(OR(Sheet1!D$8=2,Sheet1!D$8=3),"Constant Dollars","(Discounted Dollars)")," ")</f>
        <v>(Discounted Dollars)</v>
      </c>
      <c r="J85" s="304"/>
      <c r="K85" s="335" t="str">
        <f>IF(Sheet1!D$192=1,IF(OR(Sheet1!D$8=2,Sheet1!D$8=3),"(block A9.)","(block A5.)")," ")</f>
        <v>(block A5.)</v>
      </c>
      <c r="L85" s="325"/>
      <c r="P85" s="296"/>
      <c r="Q85" s="296"/>
      <c r="R85" s="296"/>
      <c r="S85" s="296"/>
      <c r="T85" s="296"/>
      <c r="AB85" s="58"/>
      <c r="AC85" s="58"/>
      <c r="AD85" s="58"/>
      <c r="AE85" s="58"/>
      <c r="AF85" s="58"/>
      <c r="AG85" s="58"/>
      <c r="AH85" s="58"/>
      <c r="AI85" s="58"/>
      <c r="AJ85" s="58"/>
    </row>
    <row r="86" spans="1:254" ht="13.2" x14ac:dyDescent="0.25">
      <c r="A86" s="329"/>
      <c r="B86" s="316"/>
      <c r="C86" s="316"/>
      <c r="D86" s="270"/>
      <c r="E86" s="296"/>
      <c r="F86" s="270"/>
      <c r="G86" s="304"/>
      <c r="H86" s="336" t="str">
        <f>IF(Sheet1!D$192=1,IF(G81&lt;&gt;" ","???",IF(H85=0,"n/a",+H84/H85)),"  ")</f>
        <v>n/a</v>
      </c>
      <c r="I86" s="337" t="str">
        <f>IF(Sheet1!D$192=1,"(SIR)"," ")</f>
        <v>(SIR)</v>
      </c>
      <c r="J86" s="304"/>
      <c r="K86" s="327"/>
      <c r="L86" s="177"/>
      <c r="P86" s="296"/>
      <c r="Q86" s="296"/>
      <c r="R86" s="296"/>
      <c r="S86" s="296"/>
      <c r="T86" s="296"/>
      <c r="AB86" s="58"/>
      <c r="AC86" s="58"/>
      <c r="AD86" s="58"/>
      <c r="AE86" s="58"/>
      <c r="AF86" s="58"/>
      <c r="AG86" s="58"/>
      <c r="AH86" s="58"/>
      <c r="AI86" s="58"/>
      <c r="AJ86" s="58"/>
    </row>
    <row r="87" spans="1:254" ht="13.2" x14ac:dyDescent="0.25">
      <c r="A87" s="329"/>
      <c r="B87" s="316"/>
      <c r="C87" s="316"/>
      <c r="D87" s="270"/>
      <c r="E87" s="296"/>
      <c r="F87" s="270"/>
      <c r="G87" s="304"/>
      <c r="H87" s="316"/>
      <c r="I87" s="316"/>
      <c r="J87" s="304"/>
      <c r="K87" s="333"/>
      <c r="L87" s="177"/>
      <c r="P87" s="296"/>
      <c r="Q87" s="296"/>
      <c r="R87" s="296"/>
      <c r="S87" s="296"/>
      <c r="T87" s="296"/>
      <c r="AB87" s="58"/>
      <c r="AC87" s="58"/>
      <c r="AD87" s="58"/>
      <c r="AE87" s="58"/>
      <c r="AF87" s="58"/>
      <c r="AG87" s="58"/>
      <c r="AH87" s="58"/>
      <c r="AI87" s="58"/>
      <c r="AJ87" s="58"/>
    </row>
    <row r="88" spans="1:254" ht="13.2" x14ac:dyDescent="0.25">
      <c r="A88" s="347"/>
      <c r="B88" s="270"/>
      <c r="C88" s="330" t="str">
        <f>IF(Sheet1!D$192=1,"o    PAYBACK (of   '' New Investment Cost '' of  $"&amp;AJ$61&amp;"  )"," ")</f>
        <v>o    PAYBACK (of   '' New Investment Cost '' of  $0  )</v>
      </c>
      <c r="D88" s="296"/>
      <c r="E88" s="296"/>
      <c r="F88" s="270"/>
      <c r="G88" s="304"/>
      <c r="H88" s="348" t="str">
        <f>IF(Sheet1!D$192=1,IF(K61&lt;=0,"n/a (since monetary benefits &lt; =0)",IF(K61&lt;AJ61,"no payback occurs",(Y11-1)+Y14)),"  ")</f>
        <v>n/a (since monetary benefits &lt; =0)</v>
      </c>
      <c r="I88" s="171" t="str">
        <f>IF(Sheet1!D$192=1,IF(K61&lt;=0," ",IF(AJ61&gt;K61," ","years"))," ")</f>
        <v xml:space="preserve"> </v>
      </c>
      <c r="J88" s="304"/>
      <c r="K88" s="327"/>
      <c r="L88" s="177"/>
      <c r="P88" s="296"/>
      <c r="Q88" s="296"/>
      <c r="R88" s="296"/>
      <c r="S88" s="296"/>
      <c r="T88" s="296"/>
      <c r="AB88" s="58"/>
      <c r="AC88" s="58"/>
      <c r="AD88" s="58"/>
      <c r="AE88" s="58"/>
      <c r="AF88" s="58"/>
      <c r="AG88" s="58"/>
      <c r="AH88" s="58"/>
      <c r="AI88" s="58"/>
      <c r="AJ88" s="58"/>
    </row>
    <row r="89" spans="1:254" ht="13.2" x14ac:dyDescent="0.25">
      <c r="A89" s="347"/>
      <c r="B89" s="270"/>
      <c r="C89" s="334" t="str">
        <f>IF(Sheet1!D$192=1,IF(OR(Sheet1!D$8=2,Sheet1!D$22=3),"      Payback based on 'MONETARY BENEFITS', using current dollars.  FOR OSCR Initiatives: 'New Investment Cost' used here doesn't include investments after monetary benefits period",IF(Sheet1!D$8=3,"    Payback based on 'MONETARY BENEFITS', using current dollars.  'New Investment Cost' used here is limited to maximum 6 year evaluation period","      Payback based on 'MONETARY BENEFITS', using current dollars  "))," ")</f>
        <v xml:space="preserve">      Payback based on 'MONETARY BENEFITS', using current dollars  </v>
      </c>
      <c r="D89" s="296"/>
      <c r="E89" s="316"/>
      <c r="F89" s="270"/>
      <c r="G89" s="304"/>
      <c r="H89" s="296"/>
      <c r="I89" s="310"/>
      <c r="J89" s="304"/>
      <c r="K89" s="327"/>
      <c r="L89" s="177"/>
      <c r="P89" s="296"/>
      <c r="Q89" s="296"/>
      <c r="R89" s="296"/>
      <c r="S89" s="296"/>
      <c r="T89" s="296"/>
      <c r="AB89" s="58"/>
      <c r="AC89" s="58"/>
      <c r="AD89" s="58"/>
      <c r="AE89" s="58"/>
      <c r="AF89" s="58"/>
      <c r="AG89" s="58"/>
      <c r="AH89" s="58"/>
      <c r="AI89" s="58"/>
      <c r="AJ89" s="58"/>
    </row>
    <row r="90" spans="1:254" ht="13.2" x14ac:dyDescent="0.25">
      <c r="A90" s="347"/>
      <c r="B90" s="270"/>
      <c r="C90" s="270"/>
      <c r="D90" s="296"/>
      <c r="E90" s="270" t="str">
        <f>IF(Sheet1!D$192=1," ","Payback Not Applicable since Status Quo not Feasible")</f>
        <v xml:space="preserve"> </v>
      </c>
      <c r="F90" s="270"/>
      <c r="G90" s="304"/>
      <c r="H90" s="296"/>
      <c r="I90" s="310"/>
      <c r="J90" s="304"/>
      <c r="K90" s="327"/>
      <c r="L90" s="177"/>
      <c r="P90" s="296"/>
      <c r="Q90" s="296"/>
      <c r="R90" s="296"/>
      <c r="S90" s="296"/>
      <c r="T90" s="296"/>
      <c r="AB90" s="58"/>
      <c r="AC90" s="58"/>
      <c r="AD90" s="58"/>
      <c r="AE90" s="58"/>
      <c r="AF90" s="58"/>
      <c r="AG90" s="58"/>
      <c r="AH90" s="58"/>
      <c r="AI90" s="58"/>
      <c r="AJ90" s="58"/>
    </row>
    <row r="91" spans="1:254" ht="13.2" x14ac:dyDescent="0.25">
      <c r="A91" s="347"/>
      <c r="B91" s="270"/>
      <c r="C91" s="330" t="str">
        <f>IF(AND(Sheet1!D$192=1,Sheet1!D$195=1),"o    RETURN ON INVESTMENT", "")</f>
        <v/>
      </c>
      <c r="D91" s="296"/>
      <c r="E91" s="270"/>
      <c r="F91" s="270"/>
      <c r="G91" s="304"/>
      <c r="H91" s="585" t="str">
        <f>IF(AND(Sheet1!D$192=1,Sheet1!D$195=1),ROI!I60, "")</f>
        <v/>
      </c>
      <c r="I91" s="337" t="str">
        <f>IF(AND(Sheet1!D$192=1, Sheet1!D$195=1),"(ROI)"," ")</f>
        <v xml:space="preserve"> </v>
      </c>
      <c r="J91" s="304"/>
      <c r="K91" s="327"/>
      <c r="L91" s="177"/>
      <c r="P91" s="296"/>
      <c r="Q91" s="296"/>
      <c r="R91" s="296"/>
      <c r="S91" s="296"/>
      <c r="T91" s="296"/>
      <c r="AB91" s="58"/>
      <c r="AC91" s="58"/>
      <c r="AD91" s="58"/>
      <c r="AE91" s="58"/>
      <c r="AF91" s="58"/>
      <c r="AG91" s="58"/>
      <c r="AH91" s="58"/>
      <c r="AI91" s="58"/>
      <c r="AJ91" s="58"/>
    </row>
    <row r="92" spans="1:254" ht="13.2" x14ac:dyDescent="0.25">
      <c r="A92" s="329"/>
      <c r="B92" s="316"/>
      <c r="C92" s="316"/>
      <c r="D92" s="349"/>
      <c r="E92" s="349"/>
      <c r="F92" s="349"/>
      <c r="H92" s="296"/>
      <c r="I92" s="310"/>
      <c r="J92" s="304"/>
      <c r="K92" s="327"/>
      <c r="L92" s="177"/>
      <c r="P92" s="296"/>
      <c r="Q92" s="296"/>
      <c r="R92" s="296"/>
      <c r="S92" s="296"/>
      <c r="T92" s="296"/>
      <c r="AB92" s="58"/>
      <c r="AC92" s="58"/>
      <c r="AD92" s="58"/>
      <c r="AE92" s="58"/>
      <c r="AF92" s="58"/>
      <c r="AG92" s="58"/>
      <c r="AH92" s="58"/>
      <c r="AI92" s="58"/>
      <c r="AJ92" s="58"/>
    </row>
    <row r="93" spans="1:254" ht="13.2" x14ac:dyDescent="0.25">
      <c r="A93" s="347"/>
      <c r="B93" s="349"/>
      <c r="C93" s="349" t="s">
        <v>330</v>
      </c>
      <c r="D93" s="270"/>
      <c r="E93" s="316"/>
      <c r="F93" s="270"/>
      <c r="G93" s="304"/>
      <c r="H93" s="296"/>
      <c r="I93" s="310"/>
      <c r="J93" s="304"/>
      <c r="K93" s="327"/>
      <c r="L93" s="177"/>
      <c r="P93" s="296"/>
      <c r="Q93" s="296"/>
      <c r="R93" s="296"/>
      <c r="S93" s="296"/>
      <c r="T93" s="296"/>
      <c r="AB93" s="58"/>
      <c r="AC93" s="58"/>
      <c r="AD93" s="58"/>
      <c r="AE93" s="58"/>
      <c r="AF93" s="58"/>
      <c r="AG93" s="58"/>
      <c r="AH93" s="58"/>
      <c r="AI93" s="58"/>
      <c r="AJ93" s="58"/>
    </row>
    <row r="94" spans="1:254" ht="13.8" thickBot="1" x14ac:dyDescent="0.3">
      <c r="A94" s="350"/>
      <c r="B94" s="351"/>
      <c r="C94" s="352"/>
      <c r="D94" s="353"/>
      <c r="E94" s="351" t="str">
        <f>IF(Sheet1!D$195=1,VLOOKUP(Sheet1!D$249,Sheet1!A$255:B$259,2)," ")</f>
        <v xml:space="preserve"> </v>
      </c>
      <c r="F94" s="351"/>
      <c r="G94" s="354"/>
      <c r="H94" s="353"/>
      <c r="I94" s="355"/>
      <c r="J94" s="354"/>
      <c r="K94" s="356"/>
      <c r="L94" s="177"/>
      <c r="P94" s="296"/>
      <c r="Q94" s="296"/>
      <c r="R94" s="296"/>
      <c r="S94" s="296"/>
      <c r="T94" s="296"/>
      <c r="AB94" s="58"/>
      <c r="AC94" s="58"/>
      <c r="AD94" s="58"/>
      <c r="AE94" s="58"/>
      <c r="AF94" s="58"/>
      <c r="AG94" s="58"/>
      <c r="AH94" s="58"/>
      <c r="AI94" s="58"/>
      <c r="AJ94" s="58"/>
    </row>
    <row r="95" spans="1:254" ht="13.5" customHeight="1" thickTop="1" thickBot="1" x14ac:dyDescent="0.3">
      <c r="A95" s="357"/>
      <c r="B95" s="358"/>
      <c r="C95" s="359"/>
      <c r="D95" s="360"/>
      <c r="E95" s="360"/>
      <c r="F95" s="361"/>
      <c r="G95" s="362"/>
      <c r="H95" s="360"/>
      <c r="I95" s="363"/>
      <c r="J95" s="362"/>
      <c r="K95" s="364"/>
      <c r="L95" s="177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58"/>
      <c r="BS95" s="58"/>
      <c r="BT95" s="58"/>
      <c r="BU95" s="58"/>
      <c r="BV95" s="58"/>
      <c r="BW95" s="58"/>
      <c r="BX95" s="58"/>
      <c r="BY95" s="58"/>
      <c r="BZ95" s="58"/>
      <c r="CA95" s="58"/>
      <c r="CB95" s="58"/>
      <c r="CC95" s="58"/>
      <c r="CD95" s="58"/>
      <c r="CE95" s="58"/>
      <c r="CF95" s="58"/>
      <c r="CG95" s="58"/>
      <c r="CH95" s="58"/>
      <c r="CI95" s="58"/>
      <c r="CJ95" s="58"/>
      <c r="CK95" s="58"/>
      <c r="CL95" s="58"/>
      <c r="CM95" s="58"/>
      <c r="CN95" s="58"/>
      <c r="CO95" s="58"/>
      <c r="CP95" s="58"/>
      <c r="CQ95" s="58"/>
      <c r="CR95" s="58"/>
      <c r="CS95" s="58"/>
      <c r="CT95" s="58"/>
      <c r="CU95" s="58"/>
      <c r="CV95" s="58"/>
      <c r="CW95" s="58"/>
      <c r="CX95" s="58"/>
      <c r="CY95" s="58"/>
      <c r="CZ95" s="58"/>
      <c r="DA95" s="58"/>
      <c r="DB95" s="58"/>
      <c r="DC95" s="58"/>
      <c r="DD95" s="58"/>
      <c r="DE95" s="58"/>
      <c r="DF95" s="58"/>
      <c r="DG95" s="58"/>
      <c r="DH95" s="58"/>
      <c r="DI95" s="58"/>
      <c r="DJ95" s="58"/>
      <c r="DK95" s="58"/>
      <c r="DL95" s="58"/>
      <c r="DM95" s="58"/>
      <c r="DN95" s="58"/>
      <c r="DO95" s="58"/>
      <c r="DP95" s="58"/>
      <c r="DQ95" s="58"/>
      <c r="DR95" s="58"/>
      <c r="DS95" s="58"/>
      <c r="DT95" s="58"/>
      <c r="DU95" s="58"/>
      <c r="DV95" s="58"/>
      <c r="DW95" s="58"/>
      <c r="DX95" s="58"/>
      <c r="DY95" s="58"/>
      <c r="DZ95" s="58"/>
      <c r="EA95" s="58"/>
      <c r="EB95" s="58"/>
      <c r="EC95" s="58"/>
      <c r="ED95" s="58"/>
      <c r="EE95" s="58"/>
      <c r="EF95" s="58"/>
      <c r="EG95" s="58"/>
      <c r="EH95" s="58"/>
      <c r="EI95" s="58"/>
      <c r="EJ95" s="58"/>
      <c r="EK95" s="58"/>
      <c r="EL95" s="58"/>
      <c r="EM95" s="58"/>
      <c r="EN95" s="58"/>
      <c r="EO95" s="58"/>
      <c r="EP95" s="58"/>
      <c r="EQ95" s="58"/>
      <c r="ER95" s="58"/>
      <c r="ES95" s="58"/>
      <c r="ET95" s="58"/>
      <c r="EU95" s="58"/>
      <c r="EV95" s="58"/>
      <c r="EW95" s="58"/>
      <c r="EX95" s="58"/>
      <c r="EY95" s="58"/>
      <c r="EZ95" s="58"/>
      <c r="FA95" s="58"/>
      <c r="FB95" s="58"/>
      <c r="FC95" s="58"/>
      <c r="FD95" s="58"/>
      <c r="FE95" s="58"/>
      <c r="FF95" s="58"/>
      <c r="FG95" s="58"/>
      <c r="FH95" s="58"/>
      <c r="FI95" s="58"/>
      <c r="FJ95" s="58"/>
      <c r="FK95" s="58"/>
      <c r="FL95" s="58"/>
      <c r="FM95" s="58"/>
      <c r="FN95" s="58"/>
      <c r="FO95" s="58"/>
      <c r="FP95" s="58"/>
      <c r="FQ95" s="58"/>
      <c r="FR95" s="58"/>
      <c r="FS95" s="58"/>
      <c r="FT95" s="58"/>
      <c r="FU95" s="58"/>
      <c r="FV95" s="58"/>
      <c r="FW95" s="58"/>
      <c r="FX95" s="58"/>
      <c r="FY95" s="58"/>
      <c r="FZ95" s="58"/>
      <c r="GA95" s="58"/>
      <c r="GB95" s="58"/>
      <c r="GC95" s="58"/>
      <c r="GD95" s="58"/>
      <c r="GE95" s="58"/>
      <c r="GF95" s="58"/>
      <c r="GG95" s="58"/>
      <c r="GH95" s="58"/>
      <c r="GI95" s="58"/>
      <c r="GJ95" s="58"/>
      <c r="GK95" s="58"/>
      <c r="GL95" s="58"/>
      <c r="GM95" s="58"/>
      <c r="GN95" s="58"/>
      <c r="GO95" s="58"/>
      <c r="GP95" s="58"/>
      <c r="GQ95" s="58"/>
      <c r="GR95" s="58"/>
      <c r="GS95" s="58"/>
      <c r="GT95" s="58"/>
      <c r="GU95" s="58"/>
      <c r="GV95" s="58"/>
      <c r="GW95" s="58"/>
      <c r="GX95" s="58"/>
      <c r="GY95" s="58"/>
      <c r="GZ95" s="58"/>
      <c r="HA95" s="58"/>
      <c r="HB95" s="58"/>
      <c r="HC95" s="58"/>
      <c r="HD95" s="58"/>
      <c r="HE95" s="58"/>
      <c r="HF95" s="58"/>
      <c r="HG95" s="58"/>
      <c r="HH95" s="58"/>
      <c r="HI95" s="58"/>
      <c r="HJ95" s="58"/>
      <c r="HK95" s="58"/>
      <c r="HL95" s="58"/>
      <c r="HM95" s="58"/>
      <c r="HN95" s="58"/>
      <c r="HO95" s="58"/>
      <c r="HP95" s="58"/>
      <c r="HQ95" s="58"/>
      <c r="HR95" s="58"/>
      <c r="HS95" s="58"/>
      <c r="HT95" s="58"/>
      <c r="HU95" s="58"/>
      <c r="HV95" s="58"/>
      <c r="HW95" s="58"/>
      <c r="HX95" s="58"/>
      <c r="HY95" s="58"/>
      <c r="HZ95" s="58"/>
      <c r="IA95" s="58"/>
      <c r="IB95" s="58"/>
      <c r="IC95" s="58"/>
      <c r="ID95" s="58"/>
      <c r="IE95" s="58"/>
      <c r="IF95" s="58"/>
      <c r="IG95" s="58"/>
      <c r="IH95" s="58"/>
      <c r="II95" s="58"/>
      <c r="IJ95" s="58"/>
      <c r="IK95" s="58"/>
      <c r="IL95" s="58"/>
      <c r="IM95" s="58"/>
      <c r="IN95" s="58"/>
      <c r="IO95" s="58"/>
      <c r="IP95" s="58"/>
      <c r="IQ95" s="58"/>
      <c r="IR95" s="58"/>
      <c r="IS95" s="58"/>
      <c r="IT95" s="58"/>
    </row>
    <row r="96" spans="1:254" ht="13.8" thickTop="1" x14ac:dyDescent="0.25">
      <c r="A96" s="316"/>
      <c r="B96" s="316"/>
      <c r="C96" s="316"/>
      <c r="D96" s="316"/>
      <c r="E96" s="316"/>
      <c r="F96" s="316"/>
      <c r="G96" s="316"/>
      <c r="H96" s="316"/>
      <c r="I96" s="316"/>
      <c r="J96" s="316"/>
      <c r="K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AB96" s="58"/>
      <c r="AC96" s="58"/>
      <c r="AD96" s="58"/>
      <c r="AE96" s="58"/>
      <c r="AF96" s="58"/>
      <c r="AG96" s="58"/>
      <c r="AH96" s="58"/>
      <c r="AI96" s="58"/>
      <c r="AJ96" s="58"/>
    </row>
    <row r="97" spans="28:36" ht="13.2" hidden="1" x14ac:dyDescent="0.25">
      <c r="AB97" s="58"/>
      <c r="AC97" s="58"/>
      <c r="AD97" s="58"/>
      <c r="AE97" s="58"/>
      <c r="AF97" s="58"/>
      <c r="AG97" s="58"/>
      <c r="AH97" s="58"/>
      <c r="AI97" s="58"/>
      <c r="AJ97" s="58"/>
    </row>
    <row r="98" spans="28:36" ht="13.2" hidden="1" x14ac:dyDescent="0.25">
      <c r="AB98" s="58"/>
      <c r="AC98" s="58"/>
      <c r="AD98" s="58"/>
      <c r="AE98" s="58"/>
      <c r="AF98" s="58"/>
      <c r="AG98" s="58"/>
      <c r="AH98" s="58"/>
      <c r="AI98" s="58"/>
      <c r="AJ98" s="58"/>
    </row>
    <row r="99" spans="28:36" ht="13.2" hidden="1" x14ac:dyDescent="0.25">
      <c r="AB99" s="58"/>
      <c r="AC99" s="58"/>
      <c r="AD99" s="58"/>
      <c r="AE99" s="58"/>
      <c r="AF99" s="58"/>
      <c r="AG99" s="58"/>
      <c r="AH99" s="58"/>
      <c r="AI99" s="58"/>
      <c r="AJ99" s="58"/>
    </row>
    <row r="100" spans="28:36" ht="13.2" hidden="1" x14ac:dyDescent="0.25">
      <c r="AB100" s="58"/>
      <c r="AC100" s="58"/>
      <c r="AD100" s="58"/>
      <c r="AE100" s="58"/>
      <c r="AF100" s="58"/>
      <c r="AG100" s="58"/>
      <c r="AH100" s="58"/>
      <c r="AI100" s="58"/>
      <c r="AJ100" s="58"/>
    </row>
    <row r="101" spans="28:36" ht="13.2" hidden="1" x14ac:dyDescent="0.25">
      <c r="AB101" s="58"/>
      <c r="AC101" s="58"/>
      <c r="AD101" s="58"/>
      <c r="AE101" s="58"/>
      <c r="AF101" s="58"/>
      <c r="AG101" s="58"/>
      <c r="AH101" s="58"/>
      <c r="AI101" s="58"/>
      <c r="AJ101" s="58"/>
    </row>
    <row r="102" spans="28:36" ht="13.2" hidden="1" x14ac:dyDescent="0.25">
      <c r="AB102" s="58"/>
      <c r="AC102" s="58"/>
      <c r="AD102" s="58"/>
      <c r="AE102" s="58"/>
      <c r="AF102" s="58"/>
      <c r="AG102" s="58"/>
      <c r="AH102" s="58"/>
      <c r="AI102" s="58"/>
      <c r="AJ102" s="58"/>
    </row>
    <row r="103" spans="28:36" ht="13.2" hidden="1" x14ac:dyDescent="0.25">
      <c r="AB103" s="58"/>
      <c r="AC103" s="58"/>
      <c r="AD103" s="58"/>
      <c r="AE103" s="58"/>
      <c r="AF103" s="58"/>
      <c r="AG103" s="58"/>
      <c r="AH103" s="58"/>
      <c r="AI103" s="58"/>
      <c r="AJ103" s="58"/>
    </row>
    <row r="104" spans="28:36" ht="13.2" hidden="1" x14ac:dyDescent="0.25">
      <c r="AB104" s="58"/>
      <c r="AC104" s="58"/>
      <c r="AD104" s="58"/>
      <c r="AE104" s="58"/>
      <c r="AF104" s="58"/>
      <c r="AG104" s="58"/>
      <c r="AH104" s="58"/>
      <c r="AI104" s="58"/>
      <c r="AJ104" s="58"/>
    </row>
    <row r="105" spans="28:36" ht="11.4" hidden="1" x14ac:dyDescent="0.2"/>
    <row r="106" spans="28:36" ht="11.4" hidden="1" x14ac:dyDescent="0.2"/>
    <row r="107" spans="28:36" ht="11.4" hidden="1" x14ac:dyDescent="0.2"/>
    <row r="108" spans="28:36" ht="11.4" hidden="1" x14ac:dyDescent="0.2"/>
    <row r="109" spans="28:36" ht="11.4" hidden="1" x14ac:dyDescent="0.2"/>
    <row r="110" spans="28:36" ht="11.4" hidden="1" x14ac:dyDescent="0.2"/>
    <row r="111" spans="28:36" ht="11.4" hidden="1" x14ac:dyDescent="0.2"/>
    <row r="112" spans="28:36" ht="11.4" hidden="1" x14ac:dyDescent="0.2"/>
    <row r="113" ht="11.4" hidden="1" x14ac:dyDescent="0.2"/>
    <row r="114" ht="11.4" hidden="1" x14ac:dyDescent="0.2"/>
    <row r="115" ht="11.4" hidden="1" x14ac:dyDescent="0.2"/>
  </sheetData>
  <sheetProtection algorithmName="SHA-512" hashValue="cDgif2B570bN0VnGmISCLBX1Gc8QXUoD+Ew91jABmeupzM2bPYz9Yc93Ha3DAsli6eaCacYlLQNxs7LKEFeHag==" saltValue="uH0fASHKMC1hueckcgKLJA==" spinCount="100000" sheet="1" objects="1" scenarios="1"/>
  <printOptions horizontalCentered="1"/>
  <pageMargins left="0.25" right="0.25" top="0.25" bottom="0.5" header="0.25" footer="0.25"/>
  <pageSetup scale="62" orientation="portrait" horizontalDpi="300" r:id="rId1"/>
  <headerFooter alignWithMargins="0">
    <oddFooter>&amp;R&amp;A, Page 4 of 4,  (Printed:  &amp;D,   &amp;T ) Using ver 1.04r6</oddFooter>
  </headerFooter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pageSetUpPr fitToPage="1"/>
  </sheetPr>
  <dimension ref="A1:IU115"/>
  <sheetViews>
    <sheetView showGridLines="0" workbookViewId="0"/>
  </sheetViews>
  <sheetFormatPr defaultColWidth="0" defaultRowHeight="0" customHeight="1" zeroHeight="1" x14ac:dyDescent="0.2"/>
  <cols>
    <col min="1" max="1" width="6.88671875" style="171" customWidth="1"/>
    <col min="2" max="2" width="5.6640625" style="171" customWidth="1"/>
    <col min="3" max="3" width="7" style="171" customWidth="1"/>
    <col min="4" max="6" width="15.44140625" style="171" customWidth="1"/>
    <col min="7" max="7" width="9.44140625" style="171" customWidth="1"/>
    <col min="8" max="8" width="15.44140625" style="171" customWidth="1"/>
    <col min="9" max="9" width="9.5546875" style="171" customWidth="1"/>
    <col min="10" max="10" width="9.44140625" style="171" customWidth="1"/>
    <col min="11" max="11" width="15.44140625" style="171" customWidth="1"/>
    <col min="12" max="12" width="8.33203125" style="171" bestFit="1" customWidth="1"/>
    <col min="13" max="13" width="9.109375" style="171" customWidth="1"/>
    <col min="14" max="14" width="6.109375" style="171" customWidth="1"/>
    <col min="15" max="15" width="7.6640625" style="171" customWidth="1"/>
    <col min="16" max="21" width="15.44140625" style="171" customWidth="1"/>
    <col min="22" max="22" width="8.5546875" style="171" customWidth="1"/>
    <col min="23" max="23" width="11" style="171" hidden="1" customWidth="1"/>
    <col min="24" max="26" width="9.109375" style="171" hidden="1" customWidth="1"/>
    <col min="27" max="27" width="15.88671875" style="171" customWidth="1"/>
    <col min="28" max="28" width="6.88671875" style="171" customWidth="1"/>
    <col min="29" max="29" width="5.6640625" style="171" customWidth="1"/>
    <col min="30" max="30" width="7" style="171" customWidth="1"/>
    <col min="31" max="31" width="15.44140625" style="171" customWidth="1"/>
    <col min="32" max="32" width="9.44140625" style="171" customWidth="1"/>
    <col min="33" max="33" width="15.44140625" style="171" customWidth="1"/>
    <col min="34" max="34" width="9.5546875" style="171" customWidth="1"/>
    <col min="35" max="35" width="9.44140625" style="171" customWidth="1"/>
    <col min="36" max="36" width="15.44140625" style="171" customWidth="1"/>
    <col min="37" max="37" width="1.33203125" style="171" customWidth="1"/>
    <col min="38" max="256" width="8.6640625" style="171" customWidth="1"/>
    <col min="257" max="257" width="6.88671875" style="171" customWidth="1"/>
    <col min="258" max="258" width="5.6640625" style="171" customWidth="1"/>
    <col min="259" max="259" width="7" style="171" customWidth="1"/>
    <col min="260" max="262" width="15.44140625" style="171" customWidth="1"/>
    <col min="263" max="263" width="9.44140625" style="171" customWidth="1"/>
    <col min="264" max="264" width="15.44140625" style="171" customWidth="1"/>
    <col min="265" max="265" width="9.5546875" style="171" customWidth="1"/>
    <col min="266" max="266" width="9.44140625" style="171" customWidth="1"/>
    <col min="267" max="267" width="15.44140625" style="171" customWidth="1"/>
    <col min="268" max="268" width="8.33203125" style="171" bestFit="1" customWidth="1"/>
    <col min="269" max="269" width="9.109375" style="171" customWidth="1"/>
    <col min="270" max="270" width="6.109375" style="171" customWidth="1"/>
    <col min="271" max="271" width="7.6640625" style="171" customWidth="1"/>
    <col min="272" max="277" width="15.44140625" style="171" customWidth="1"/>
    <col min="278" max="278" width="8.5546875" style="171" customWidth="1"/>
    <col min="279" max="283" width="0" style="171" hidden="1" customWidth="1"/>
    <col min="284" max="284" width="6.88671875" style="171" customWidth="1"/>
    <col min="285" max="285" width="5.6640625" style="171" customWidth="1"/>
    <col min="286" max="286" width="7" style="171" customWidth="1"/>
    <col min="287" max="287" width="15.44140625" style="171" customWidth="1"/>
    <col min="288" max="288" width="9.44140625" style="171" customWidth="1"/>
    <col min="289" max="289" width="15.44140625" style="171" customWidth="1"/>
    <col min="290" max="290" width="9.5546875" style="171" customWidth="1"/>
    <col min="291" max="291" width="9.44140625" style="171" customWidth="1"/>
    <col min="292" max="292" width="15.44140625" style="171" customWidth="1"/>
    <col min="293" max="293" width="0" style="171" hidden="1" customWidth="1"/>
    <col min="294" max="512" width="0" style="171" hidden="1"/>
    <col min="513" max="513" width="6.88671875" style="171" customWidth="1"/>
    <col min="514" max="514" width="5.6640625" style="171" customWidth="1"/>
    <col min="515" max="515" width="7" style="171" customWidth="1"/>
    <col min="516" max="518" width="15.44140625" style="171" customWidth="1"/>
    <col min="519" max="519" width="9.44140625" style="171" customWidth="1"/>
    <col min="520" max="520" width="15.44140625" style="171" customWidth="1"/>
    <col min="521" max="521" width="9.5546875" style="171" customWidth="1"/>
    <col min="522" max="522" width="9.44140625" style="171" customWidth="1"/>
    <col min="523" max="523" width="15.44140625" style="171" customWidth="1"/>
    <col min="524" max="524" width="8.33203125" style="171" bestFit="1" customWidth="1"/>
    <col min="525" max="525" width="9.109375" style="171" customWidth="1"/>
    <col min="526" max="526" width="6.109375" style="171" customWidth="1"/>
    <col min="527" max="527" width="7.6640625" style="171" customWidth="1"/>
    <col min="528" max="533" width="15.44140625" style="171" customWidth="1"/>
    <col min="534" max="534" width="8.5546875" style="171" customWidth="1"/>
    <col min="535" max="539" width="0" style="171" hidden="1" customWidth="1"/>
    <col min="540" max="540" width="6.88671875" style="171" customWidth="1"/>
    <col min="541" max="541" width="5.6640625" style="171" customWidth="1"/>
    <col min="542" max="542" width="7" style="171" customWidth="1"/>
    <col min="543" max="543" width="15.44140625" style="171" customWidth="1"/>
    <col min="544" max="544" width="9.44140625" style="171" customWidth="1"/>
    <col min="545" max="545" width="15.44140625" style="171" customWidth="1"/>
    <col min="546" max="546" width="9.5546875" style="171" customWidth="1"/>
    <col min="547" max="547" width="9.44140625" style="171" customWidth="1"/>
    <col min="548" max="548" width="15.44140625" style="171" customWidth="1"/>
    <col min="549" max="549" width="0" style="171" hidden="1" customWidth="1"/>
    <col min="550" max="768" width="0" style="171" hidden="1"/>
    <col min="769" max="769" width="6.88671875" style="171" customWidth="1"/>
    <col min="770" max="770" width="5.6640625" style="171" customWidth="1"/>
    <col min="771" max="771" width="7" style="171" customWidth="1"/>
    <col min="772" max="774" width="15.44140625" style="171" customWidth="1"/>
    <col min="775" max="775" width="9.44140625" style="171" customWidth="1"/>
    <col min="776" max="776" width="15.44140625" style="171" customWidth="1"/>
    <col min="777" max="777" width="9.5546875" style="171" customWidth="1"/>
    <col min="778" max="778" width="9.44140625" style="171" customWidth="1"/>
    <col min="779" max="779" width="15.44140625" style="171" customWidth="1"/>
    <col min="780" max="780" width="8.33203125" style="171" bestFit="1" customWidth="1"/>
    <col min="781" max="781" width="9.109375" style="171" customWidth="1"/>
    <col min="782" max="782" width="6.109375" style="171" customWidth="1"/>
    <col min="783" max="783" width="7.6640625" style="171" customWidth="1"/>
    <col min="784" max="789" width="15.44140625" style="171" customWidth="1"/>
    <col min="790" max="790" width="8.5546875" style="171" customWidth="1"/>
    <col min="791" max="795" width="0" style="171" hidden="1" customWidth="1"/>
    <col min="796" max="796" width="6.88671875" style="171" customWidth="1"/>
    <col min="797" max="797" width="5.6640625" style="171" customWidth="1"/>
    <col min="798" max="798" width="7" style="171" customWidth="1"/>
    <col min="799" max="799" width="15.44140625" style="171" customWidth="1"/>
    <col min="800" max="800" width="9.44140625" style="171" customWidth="1"/>
    <col min="801" max="801" width="15.44140625" style="171" customWidth="1"/>
    <col min="802" max="802" width="9.5546875" style="171" customWidth="1"/>
    <col min="803" max="803" width="9.44140625" style="171" customWidth="1"/>
    <col min="804" max="804" width="15.44140625" style="171" customWidth="1"/>
    <col min="805" max="805" width="0" style="171" hidden="1" customWidth="1"/>
    <col min="806" max="1024" width="0" style="171" hidden="1"/>
    <col min="1025" max="1025" width="6.88671875" style="171" customWidth="1"/>
    <col min="1026" max="1026" width="5.6640625" style="171" customWidth="1"/>
    <col min="1027" max="1027" width="7" style="171" customWidth="1"/>
    <col min="1028" max="1030" width="15.44140625" style="171" customWidth="1"/>
    <col min="1031" max="1031" width="9.44140625" style="171" customWidth="1"/>
    <col min="1032" max="1032" width="15.44140625" style="171" customWidth="1"/>
    <col min="1033" max="1033" width="9.5546875" style="171" customWidth="1"/>
    <col min="1034" max="1034" width="9.44140625" style="171" customWidth="1"/>
    <col min="1035" max="1035" width="15.44140625" style="171" customWidth="1"/>
    <col min="1036" max="1036" width="8.33203125" style="171" bestFit="1" customWidth="1"/>
    <col min="1037" max="1037" width="9.109375" style="171" customWidth="1"/>
    <col min="1038" max="1038" width="6.109375" style="171" customWidth="1"/>
    <col min="1039" max="1039" width="7.6640625" style="171" customWidth="1"/>
    <col min="1040" max="1045" width="15.44140625" style="171" customWidth="1"/>
    <col min="1046" max="1046" width="8.5546875" style="171" customWidth="1"/>
    <col min="1047" max="1051" width="0" style="171" hidden="1" customWidth="1"/>
    <col min="1052" max="1052" width="6.88671875" style="171" customWidth="1"/>
    <col min="1053" max="1053" width="5.6640625" style="171" customWidth="1"/>
    <col min="1054" max="1054" width="7" style="171" customWidth="1"/>
    <col min="1055" max="1055" width="15.44140625" style="171" customWidth="1"/>
    <col min="1056" max="1056" width="9.44140625" style="171" customWidth="1"/>
    <col min="1057" max="1057" width="15.44140625" style="171" customWidth="1"/>
    <col min="1058" max="1058" width="9.5546875" style="171" customWidth="1"/>
    <col min="1059" max="1059" width="9.44140625" style="171" customWidth="1"/>
    <col min="1060" max="1060" width="15.44140625" style="171" customWidth="1"/>
    <col min="1061" max="1061" width="0" style="171" hidden="1" customWidth="1"/>
    <col min="1062" max="1280" width="0" style="171" hidden="1"/>
    <col min="1281" max="1281" width="6.88671875" style="171" customWidth="1"/>
    <col min="1282" max="1282" width="5.6640625" style="171" customWidth="1"/>
    <col min="1283" max="1283" width="7" style="171" customWidth="1"/>
    <col min="1284" max="1286" width="15.44140625" style="171" customWidth="1"/>
    <col min="1287" max="1287" width="9.44140625" style="171" customWidth="1"/>
    <col min="1288" max="1288" width="15.44140625" style="171" customWidth="1"/>
    <col min="1289" max="1289" width="9.5546875" style="171" customWidth="1"/>
    <col min="1290" max="1290" width="9.44140625" style="171" customWidth="1"/>
    <col min="1291" max="1291" width="15.44140625" style="171" customWidth="1"/>
    <col min="1292" max="1292" width="8.33203125" style="171" bestFit="1" customWidth="1"/>
    <col min="1293" max="1293" width="9.109375" style="171" customWidth="1"/>
    <col min="1294" max="1294" width="6.109375" style="171" customWidth="1"/>
    <col min="1295" max="1295" width="7.6640625" style="171" customWidth="1"/>
    <col min="1296" max="1301" width="15.44140625" style="171" customWidth="1"/>
    <col min="1302" max="1302" width="8.5546875" style="171" customWidth="1"/>
    <col min="1303" max="1307" width="0" style="171" hidden="1" customWidth="1"/>
    <col min="1308" max="1308" width="6.88671875" style="171" customWidth="1"/>
    <col min="1309" max="1309" width="5.6640625" style="171" customWidth="1"/>
    <col min="1310" max="1310" width="7" style="171" customWidth="1"/>
    <col min="1311" max="1311" width="15.44140625" style="171" customWidth="1"/>
    <col min="1312" max="1312" width="9.44140625" style="171" customWidth="1"/>
    <col min="1313" max="1313" width="15.44140625" style="171" customWidth="1"/>
    <col min="1314" max="1314" width="9.5546875" style="171" customWidth="1"/>
    <col min="1315" max="1315" width="9.44140625" style="171" customWidth="1"/>
    <col min="1316" max="1316" width="15.44140625" style="171" customWidth="1"/>
    <col min="1317" max="1317" width="0" style="171" hidden="1" customWidth="1"/>
    <col min="1318" max="1536" width="0" style="171" hidden="1"/>
    <col min="1537" max="1537" width="6.88671875" style="171" customWidth="1"/>
    <col min="1538" max="1538" width="5.6640625" style="171" customWidth="1"/>
    <col min="1539" max="1539" width="7" style="171" customWidth="1"/>
    <col min="1540" max="1542" width="15.44140625" style="171" customWidth="1"/>
    <col min="1543" max="1543" width="9.44140625" style="171" customWidth="1"/>
    <col min="1544" max="1544" width="15.44140625" style="171" customWidth="1"/>
    <col min="1545" max="1545" width="9.5546875" style="171" customWidth="1"/>
    <col min="1546" max="1546" width="9.44140625" style="171" customWidth="1"/>
    <col min="1547" max="1547" width="15.44140625" style="171" customWidth="1"/>
    <col min="1548" max="1548" width="8.33203125" style="171" bestFit="1" customWidth="1"/>
    <col min="1549" max="1549" width="9.109375" style="171" customWidth="1"/>
    <col min="1550" max="1550" width="6.109375" style="171" customWidth="1"/>
    <col min="1551" max="1551" width="7.6640625" style="171" customWidth="1"/>
    <col min="1552" max="1557" width="15.44140625" style="171" customWidth="1"/>
    <col min="1558" max="1558" width="8.5546875" style="171" customWidth="1"/>
    <col min="1559" max="1563" width="0" style="171" hidden="1" customWidth="1"/>
    <col min="1564" max="1564" width="6.88671875" style="171" customWidth="1"/>
    <col min="1565" max="1565" width="5.6640625" style="171" customWidth="1"/>
    <col min="1566" max="1566" width="7" style="171" customWidth="1"/>
    <col min="1567" max="1567" width="15.44140625" style="171" customWidth="1"/>
    <col min="1568" max="1568" width="9.44140625" style="171" customWidth="1"/>
    <col min="1569" max="1569" width="15.44140625" style="171" customWidth="1"/>
    <col min="1570" max="1570" width="9.5546875" style="171" customWidth="1"/>
    <col min="1571" max="1571" width="9.44140625" style="171" customWidth="1"/>
    <col min="1572" max="1572" width="15.44140625" style="171" customWidth="1"/>
    <col min="1573" max="1573" width="0" style="171" hidden="1" customWidth="1"/>
    <col min="1574" max="1792" width="0" style="171" hidden="1"/>
    <col min="1793" max="1793" width="6.88671875" style="171" customWidth="1"/>
    <col min="1794" max="1794" width="5.6640625" style="171" customWidth="1"/>
    <col min="1795" max="1795" width="7" style="171" customWidth="1"/>
    <col min="1796" max="1798" width="15.44140625" style="171" customWidth="1"/>
    <col min="1799" max="1799" width="9.44140625" style="171" customWidth="1"/>
    <col min="1800" max="1800" width="15.44140625" style="171" customWidth="1"/>
    <col min="1801" max="1801" width="9.5546875" style="171" customWidth="1"/>
    <col min="1802" max="1802" width="9.44140625" style="171" customWidth="1"/>
    <col min="1803" max="1803" width="15.44140625" style="171" customWidth="1"/>
    <col min="1804" max="1804" width="8.33203125" style="171" bestFit="1" customWidth="1"/>
    <col min="1805" max="1805" width="9.109375" style="171" customWidth="1"/>
    <col min="1806" max="1806" width="6.109375" style="171" customWidth="1"/>
    <col min="1807" max="1807" width="7.6640625" style="171" customWidth="1"/>
    <col min="1808" max="1813" width="15.44140625" style="171" customWidth="1"/>
    <col min="1814" max="1814" width="8.5546875" style="171" customWidth="1"/>
    <col min="1815" max="1819" width="0" style="171" hidden="1" customWidth="1"/>
    <col min="1820" max="1820" width="6.88671875" style="171" customWidth="1"/>
    <col min="1821" max="1821" width="5.6640625" style="171" customWidth="1"/>
    <col min="1822" max="1822" width="7" style="171" customWidth="1"/>
    <col min="1823" max="1823" width="15.44140625" style="171" customWidth="1"/>
    <col min="1824" max="1824" width="9.44140625" style="171" customWidth="1"/>
    <col min="1825" max="1825" width="15.44140625" style="171" customWidth="1"/>
    <col min="1826" max="1826" width="9.5546875" style="171" customWidth="1"/>
    <col min="1827" max="1827" width="9.44140625" style="171" customWidth="1"/>
    <col min="1828" max="1828" width="15.44140625" style="171" customWidth="1"/>
    <col min="1829" max="1829" width="0" style="171" hidden="1" customWidth="1"/>
    <col min="1830" max="2048" width="0" style="171" hidden="1"/>
    <col min="2049" max="2049" width="6.88671875" style="171" customWidth="1"/>
    <col min="2050" max="2050" width="5.6640625" style="171" customWidth="1"/>
    <col min="2051" max="2051" width="7" style="171" customWidth="1"/>
    <col min="2052" max="2054" width="15.44140625" style="171" customWidth="1"/>
    <col min="2055" max="2055" width="9.44140625" style="171" customWidth="1"/>
    <col min="2056" max="2056" width="15.44140625" style="171" customWidth="1"/>
    <col min="2057" max="2057" width="9.5546875" style="171" customWidth="1"/>
    <col min="2058" max="2058" width="9.44140625" style="171" customWidth="1"/>
    <col min="2059" max="2059" width="15.44140625" style="171" customWidth="1"/>
    <col min="2060" max="2060" width="8.33203125" style="171" bestFit="1" customWidth="1"/>
    <col min="2061" max="2061" width="9.109375" style="171" customWidth="1"/>
    <col min="2062" max="2062" width="6.109375" style="171" customWidth="1"/>
    <col min="2063" max="2063" width="7.6640625" style="171" customWidth="1"/>
    <col min="2064" max="2069" width="15.44140625" style="171" customWidth="1"/>
    <col min="2070" max="2070" width="8.5546875" style="171" customWidth="1"/>
    <col min="2071" max="2075" width="0" style="171" hidden="1" customWidth="1"/>
    <col min="2076" max="2076" width="6.88671875" style="171" customWidth="1"/>
    <col min="2077" max="2077" width="5.6640625" style="171" customWidth="1"/>
    <col min="2078" max="2078" width="7" style="171" customWidth="1"/>
    <col min="2079" max="2079" width="15.44140625" style="171" customWidth="1"/>
    <col min="2080" max="2080" width="9.44140625" style="171" customWidth="1"/>
    <col min="2081" max="2081" width="15.44140625" style="171" customWidth="1"/>
    <col min="2082" max="2082" width="9.5546875" style="171" customWidth="1"/>
    <col min="2083" max="2083" width="9.44140625" style="171" customWidth="1"/>
    <col min="2084" max="2084" width="15.44140625" style="171" customWidth="1"/>
    <col min="2085" max="2085" width="0" style="171" hidden="1" customWidth="1"/>
    <col min="2086" max="2304" width="0" style="171" hidden="1"/>
    <col min="2305" max="2305" width="6.88671875" style="171" customWidth="1"/>
    <col min="2306" max="2306" width="5.6640625" style="171" customWidth="1"/>
    <col min="2307" max="2307" width="7" style="171" customWidth="1"/>
    <col min="2308" max="2310" width="15.44140625" style="171" customWidth="1"/>
    <col min="2311" max="2311" width="9.44140625" style="171" customWidth="1"/>
    <col min="2312" max="2312" width="15.44140625" style="171" customWidth="1"/>
    <col min="2313" max="2313" width="9.5546875" style="171" customWidth="1"/>
    <col min="2314" max="2314" width="9.44140625" style="171" customWidth="1"/>
    <col min="2315" max="2315" width="15.44140625" style="171" customWidth="1"/>
    <col min="2316" max="2316" width="8.33203125" style="171" bestFit="1" customWidth="1"/>
    <col min="2317" max="2317" width="9.109375" style="171" customWidth="1"/>
    <col min="2318" max="2318" width="6.109375" style="171" customWidth="1"/>
    <col min="2319" max="2319" width="7.6640625" style="171" customWidth="1"/>
    <col min="2320" max="2325" width="15.44140625" style="171" customWidth="1"/>
    <col min="2326" max="2326" width="8.5546875" style="171" customWidth="1"/>
    <col min="2327" max="2331" width="0" style="171" hidden="1" customWidth="1"/>
    <col min="2332" max="2332" width="6.88671875" style="171" customWidth="1"/>
    <col min="2333" max="2333" width="5.6640625" style="171" customWidth="1"/>
    <col min="2334" max="2334" width="7" style="171" customWidth="1"/>
    <col min="2335" max="2335" width="15.44140625" style="171" customWidth="1"/>
    <col min="2336" max="2336" width="9.44140625" style="171" customWidth="1"/>
    <col min="2337" max="2337" width="15.44140625" style="171" customWidth="1"/>
    <col min="2338" max="2338" width="9.5546875" style="171" customWidth="1"/>
    <col min="2339" max="2339" width="9.44140625" style="171" customWidth="1"/>
    <col min="2340" max="2340" width="15.44140625" style="171" customWidth="1"/>
    <col min="2341" max="2341" width="0" style="171" hidden="1" customWidth="1"/>
    <col min="2342" max="2560" width="0" style="171" hidden="1"/>
    <col min="2561" max="2561" width="6.88671875" style="171" customWidth="1"/>
    <col min="2562" max="2562" width="5.6640625" style="171" customWidth="1"/>
    <col min="2563" max="2563" width="7" style="171" customWidth="1"/>
    <col min="2564" max="2566" width="15.44140625" style="171" customWidth="1"/>
    <col min="2567" max="2567" width="9.44140625" style="171" customWidth="1"/>
    <col min="2568" max="2568" width="15.44140625" style="171" customWidth="1"/>
    <col min="2569" max="2569" width="9.5546875" style="171" customWidth="1"/>
    <col min="2570" max="2570" width="9.44140625" style="171" customWidth="1"/>
    <col min="2571" max="2571" width="15.44140625" style="171" customWidth="1"/>
    <col min="2572" max="2572" width="8.33203125" style="171" bestFit="1" customWidth="1"/>
    <col min="2573" max="2573" width="9.109375" style="171" customWidth="1"/>
    <col min="2574" max="2574" width="6.109375" style="171" customWidth="1"/>
    <col min="2575" max="2575" width="7.6640625" style="171" customWidth="1"/>
    <col min="2576" max="2581" width="15.44140625" style="171" customWidth="1"/>
    <col min="2582" max="2582" width="8.5546875" style="171" customWidth="1"/>
    <col min="2583" max="2587" width="0" style="171" hidden="1" customWidth="1"/>
    <col min="2588" max="2588" width="6.88671875" style="171" customWidth="1"/>
    <col min="2589" max="2589" width="5.6640625" style="171" customWidth="1"/>
    <col min="2590" max="2590" width="7" style="171" customWidth="1"/>
    <col min="2591" max="2591" width="15.44140625" style="171" customWidth="1"/>
    <col min="2592" max="2592" width="9.44140625" style="171" customWidth="1"/>
    <col min="2593" max="2593" width="15.44140625" style="171" customWidth="1"/>
    <col min="2594" max="2594" width="9.5546875" style="171" customWidth="1"/>
    <col min="2595" max="2595" width="9.44140625" style="171" customWidth="1"/>
    <col min="2596" max="2596" width="15.44140625" style="171" customWidth="1"/>
    <col min="2597" max="2597" width="0" style="171" hidden="1" customWidth="1"/>
    <col min="2598" max="2816" width="0" style="171" hidden="1"/>
    <col min="2817" max="2817" width="6.88671875" style="171" customWidth="1"/>
    <col min="2818" max="2818" width="5.6640625" style="171" customWidth="1"/>
    <col min="2819" max="2819" width="7" style="171" customWidth="1"/>
    <col min="2820" max="2822" width="15.44140625" style="171" customWidth="1"/>
    <col min="2823" max="2823" width="9.44140625" style="171" customWidth="1"/>
    <col min="2824" max="2824" width="15.44140625" style="171" customWidth="1"/>
    <col min="2825" max="2825" width="9.5546875" style="171" customWidth="1"/>
    <col min="2826" max="2826" width="9.44140625" style="171" customWidth="1"/>
    <col min="2827" max="2827" width="15.44140625" style="171" customWidth="1"/>
    <col min="2828" max="2828" width="8.33203125" style="171" bestFit="1" customWidth="1"/>
    <col min="2829" max="2829" width="9.109375" style="171" customWidth="1"/>
    <col min="2830" max="2830" width="6.109375" style="171" customWidth="1"/>
    <col min="2831" max="2831" width="7.6640625" style="171" customWidth="1"/>
    <col min="2832" max="2837" width="15.44140625" style="171" customWidth="1"/>
    <col min="2838" max="2838" width="8.5546875" style="171" customWidth="1"/>
    <col min="2839" max="2843" width="0" style="171" hidden="1" customWidth="1"/>
    <col min="2844" max="2844" width="6.88671875" style="171" customWidth="1"/>
    <col min="2845" max="2845" width="5.6640625" style="171" customWidth="1"/>
    <col min="2846" max="2846" width="7" style="171" customWidth="1"/>
    <col min="2847" max="2847" width="15.44140625" style="171" customWidth="1"/>
    <col min="2848" max="2848" width="9.44140625" style="171" customWidth="1"/>
    <col min="2849" max="2849" width="15.44140625" style="171" customWidth="1"/>
    <col min="2850" max="2850" width="9.5546875" style="171" customWidth="1"/>
    <col min="2851" max="2851" width="9.44140625" style="171" customWidth="1"/>
    <col min="2852" max="2852" width="15.44140625" style="171" customWidth="1"/>
    <col min="2853" max="2853" width="0" style="171" hidden="1" customWidth="1"/>
    <col min="2854" max="3072" width="0" style="171" hidden="1"/>
    <col min="3073" max="3073" width="6.88671875" style="171" customWidth="1"/>
    <col min="3074" max="3074" width="5.6640625" style="171" customWidth="1"/>
    <col min="3075" max="3075" width="7" style="171" customWidth="1"/>
    <col min="3076" max="3078" width="15.44140625" style="171" customWidth="1"/>
    <col min="3079" max="3079" width="9.44140625" style="171" customWidth="1"/>
    <col min="3080" max="3080" width="15.44140625" style="171" customWidth="1"/>
    <col min="3081" max="3081" width="9.5546875" style="171" customWidth="1"/>
    <col min="3082" max="3082" width="9.44140625" style="171" customWidth="1"/>
    <col min="3083" max="3083" width="15.44140625" style="171" customWidth="1"/>
    <col min="3084" max="3084" width="8.33203125" style="171" bestFit="1" customWidth="1"/>
    <col min="3085" max="3085" width="9.109375" style="171" customWidth="1"/>
    <col min="3086" max="3086" width="6.109375" style="171" customWidth="1"/>
    <col min="3087" max="3087" width="7.6640625" style="171" customWidth="1"/>
    <col min="3088" max="3093" width="15.44140625" style="171" customWidth="1"/>
    <col min="3094" max="3094" width="8.5546875" style="171" customWidth="1"/>
    <col min="3095" max="3099" width="0" style="171" hidden="1" customWidth="1"/>
    <col min="3100" max="3100" width="6.88671875" style="171" customWidth="1"/>
    <col min="3101" max="3101" width="5.6640625" style="171" customWidth="1"/>
    <col min="3102" max="3102" width="7" style="171" customWidth="1"/>
    <col min="3103" max="3103" width="15.44140625" style="171" customWidth="1"/>
    <col min="3104" max="3104" width="9.44140625" style="171" customWidth="1"/>
    <col min="3105" max="3105" width="15.44140625" style="171" customWidth="1"/>
    <col min="3106" max="3106" width="9.5546875" style="171" customWidth="1"/>
    <col min="3107" max="3107" width="9.44140625" style="171" customWidth="1"/>
    <col min="3108" max="3108" width="15.44140625" style="171" customWidth="1"/>
    <col min="3109" max="3109" width="0" style="171" hidden="1" customWidth="1"/>
    <col min="3110" max="3328" width="0" style="171" hidden="1"/>
    <col min="3329" max="3329" width="6.88671875" style="171" customWidth="1"/>
    <col min="3330" max="3330" width="5.6640625" style="171" customWidth="1"/>
    <col min="3331" max="3331" width="7" style="171" customWidth="1"/>
    <col min="3332" max="3334" width="15.44140625" style="171" customWidth="1"/>
    <col min="3335" max="3335" width="9.44140625" style="171" customWidth="1"/>
    <col min="3336" max="3336" width="15.44140625" style="171" customWidth="1"/>
    <col min="3337" max="3337" width="9.5546875" style="171" customWidth="1"/>
    <col min="3338" max="3338" width="9.44140625" style="171" customWidth="1"/>
    <col min="3339" max="3339" width="15.44140625" style="171" customWidth="1"/>
    <col min="3340" max="3340" width="8.33203125" style="171" bestFit="1" customWidth="1"/>
    <col min="3341" max="3341" width="9.109375" style="171" customWidth="1"/>
    <col min="3342" max="3342" width="6.109375" style="171" customWidth="1"/>
    <col min="3343" max="3343" width="7.6640625" style="171" customWidth="1"/>
    <col min="3344" max="3349" width="15.44140625" style="171" customWidth="1"/>
    <col min="3350" max="3350" width="8.5546875" style="171" customWidth="1"/>
    <col min="3351" max="3355" width="0" style="171" hidden="1" customWidth="1"/>
    <col min="3356" max="3356" width="6.88671875" style="171" customWidth="1"/>
    <col min="3357" max="3357" width="5.6640625" style="171" customWidth="1"/>
    <col min="3358" max="3358" width="7" style="171" customWidth="1"/>
    <col min="3359" max="3359" width="15.44140625" style="171" customWidth="1"/>
    <col min="3360" max="3360" width="9.44140625" style="171" customWidth="1"/>
    <col min="3361" max="3361" width="15.44140625" style="171" customWidth="1"/>
    <col min="3362" max="3362" width="9.5546875" style="171" customWidth="1"/>
    <col min="3363" max="3363" width="9.44140625" style="171" customWidth="1"/>
    <col min="3364" max="3364" width="15.44140625" style="171" customWidth="1"/>
    <col min="3365" max="3365" width="0" style="171" hidden="1" customWidth="1"/>
    <col min="3366" max="3584" width="0" style="171" hidden="1"/>
    <col min="3585" max="3585" width="6.88671875" style="171" customWidth="1"/>
    <col min="3586" max="3586" width="5.6640625" style="171" customWidth="1"/>
    <col min="3587" max="3587" width="7" style="171" customWidth="1"/>
    <col min="3588" max="3590" width="15.44140625" style="171" customWidth="1"/>
    <col min="3591" max="3591" width="9.44140625" style="171" customWidth="1"/>
    <col min="3592" max="3592" width="15.44140625" style="171" customWidth="1"/>
    <col min="3593" max="3593" width="9.5546875" style="171" customWidth="1"/>
    <col min="3594" max="3594" width="9.44140625" style="171" customWidth="1"/>
    <col min="3595" max="3595" width="15.44140625" style="171" customWidth="1"/>
    <col min="3596" max="3596" width="8.33203125" style="171" bestFit="1" customWidth="1"/>
    <col min="3597" max="3597" width="9.109375" style="171" customWidth="1"/>
    <col min="3598" max="3598" width="6.109375" style="171" customWidth="1"/>
    <col min="3599" max="3599" width="7.6640625" style="171" customWidth="1"/>
    <col min="3600" max="3605" width="15.44140625" style="171" customWidth="1"/>
    <col min="3606" max="3606" width="8.5546875" style="171" customWidth="1"/>
    <col min="3607" max="3611" width="0" style="171" hidden="1" customWidth="1"/>
    <col min="3612" max="3612" width="6.88671875" style="171" customWidth="1"/>
    <col min="3613" max="3613" width="5.6640625" style="171" customWidth="1"/>
    <col min="3614" max="3614" width="7" style="171" customWidth="1"/>
    <col min="3615" max="3615" width="15.44140625" style="171" customWidth="1"/>
    <col min="3616" max="3616" width="9.44140625" style="171" customWidth="1"/>
    <col min="3617" max="3617" width="15.44140625" style="171" customWidth="1"/>
    <col min="3618" max="3618" width="9.5546875" style="171" customWidth="1"/>
    <col min="3619" max="3619" width="9.44140625" style="171" customWidth="1"/>
    <col min="3620" max="3620" width="15.44140625" style="171" customWidth="1"/>
    <col min="3621" max="3621" width="0" style="171" hidden="1" customWidth="1"/>
    <col min="3622" max="3840" width="0" style="171" hidden="1"/>
    <col min="3841" max="3841" width="6.88671875" style="171" customWidth="1"/>
    <col min="3842" max="3842" width="5.6640625" style="171" customWidth="1"/>
    <col min="3843" max="3843" width="7" style="171" customWidth="1"/>
    <col min="3844" max="3846" width="15.44140625" style="171" customWidth="1"/>
    <col min="3847" max="3847" width="9.44140625" style="171" customWidth="1"/>
    <col min="3848" max="3848" width="15.44140625" style="171" customWidth="1"/>
    <col min="3849" max="3849" width="9.5546875" style="171" customWidth="1"/>
    <col min="3850" max="3850" width="9.44140625" style="171" customWidth="1"/>
    <col min="3851" max="3851" width="15.44140625" style="171" customWidth="1"/>
    <col min="3852" max="3852" width="8.33203125" style="171" bestFit="1" customWidth="1"/>
    <col min="3853" max="3853" width="9.109375" style="171" customWidth="1"/>
    <col min="3854" max="3854" width="6.109375" style="171" customWidth="1"/>
    <col min="3855" max="3855" width="7.6640625" style="171" customWidth="1"/>
    <col min="3856" max="3861" width="15.44140625" style="171" customWidth="1"/>
    <col min="3862" max="3862" width="8.5546875" style="171" customWidth="1"/>
    <col min="3863" max="3867" width="0" style="171" hidden="1" customWidth="1"/>
    <col min="3868" max="3868" width="6.88671875" style="171" customWidth="1"/>
    <col min="3869" max="3869" width="5.6640625" style="171" customWidth="1"/>
    <col min="3870" max="3870" width="7" style="171" customWidth="1"/>
    <col min="3871" max="3871" width="15.44140625" style="171" customWidth="1"/>
    <col min="3872" max="3872" width="9.44140625" style="171" customWidth="1"/>
    <col min="3873" max="3873" width="15.44140625" style="171" customWidth="1"/>
    <col min="3874" max="3874" width="9.5546875" style="171" customWidth="1"/>
    <col min="3875" max="3875" width="9.44140625" style="171" customWidth="1"/>
    <col min="3876" max="3876" width="15.44140625" style="171" customWidth="1"/>
    <col min="3877" max="3877" width="0" style="171" hidden="1" customWidth="1"/>
    <col min="3878" max="4096" width="0" style="171" hidden="1"/>
    <col min="4097" max="4097" width="6.88671875" style="171" customWidth="1"/>
    <col min="4098" max="4098" width="5.6640625" style="171" customWidth="1"/>
    <col min="4099" max="4099" width="7" style="171" customWidth="1"/>
    <col min="4100" max="4102" width="15.44140625" style="171" customWidth="1"/>
    <col min="4103" max="4103" width="9.44140625" style="171" customWidth="1"/>
    <col min="4104" max="4104" width="15.44140625" style="171" customWidth="1"/>
    <col min="4105" max="4105" width="9.5546875" style="171" customWidth="1"/>
    <col min="4106" max="4106" width="9.44140625" style="171" customWidth="1"/>
    <col min="4107" max="4107" width="15.44140625" style="171" customWidth="1"/>
    <col min="4108" max="4108" width="8.33203125" style="171" bestFit="1" customWidth="1"/>
    <col min="4109" max="4109" width="9.109375" style="171" customWidth="1"/>
    <col min="4110" max="4110" width="6.109375" style="171" customWidth="1"/>
    <col min="4111" max="4111" width="7.6640625" style="171" customWidth="1"/>
    <col min="4112" max="4117" width="15.44140625" style="171" customWidth="1"/>
    <col min="4118" max="4118" width="8.5546875" style="171" customWidth="1"/>
    <col min="4119" max="4123" width="0" style="171" hidden="1" customWidth="1"/>
    <col min="4124" max="4124" width="6.88671875" style="171" customWidth="1"/>
    <col min="4125" max="4125" width="5.6640625" style="171" customWidth="1"/>
    <col min="4126" max="4126" width="7" style="171" customWidth="1"/>
    <col min="4127" max="4127" width="15.44140625" style="171" customWidth="1"/>
    <col min="4128" max="4128" width="9.44140625" style="171" customWidth="1"/>
    <col min="4129" max="4129" width="15.44140625" style="171" customWidth="1"/>
    <col min="4130" max="4130" width="9.5546875" style="171" customWidth="1"/>
    <col min="4131" max="4131" width="9.44140625" style="171" customWidth="1"/>
    <col min="4132" max="4132" width="15.44140625" style="171" customWidth="1"/>
    <col min="4133" max="4133" width="0" style="171" hidden="1" customWidth="1"/>
    <col min="4134" max="4352" width="0" style="171" hidden="1"/>
    <col min="4353" max="4353" width="6.88671875" style="171" customWidth="1"/>
    <col min="4354" max="4354" width="5.6640625" style="171" customWidth="1"/>
    <col min="4355" max="4355" width="7" style="171" customWidth="1"/>
    <col min="4356" max="4358" width="15.44140625" style="171" customWidth="1"/>
    <col min="4359" max="4359" width="9.44140625" style="171" customWidth="1"/>
    <col min="4360" max="4360" width="15.44140625" style="171" customWidth="1"/>
    <col min="4361" max="4361" width="9.5546875" style="171" customWidth="1"/>
    <col min="4362" max="4362" width="9.44140625" style="171" customWidth="1"/>
    <col min="4363" max="4363" width="15.44140625" style="171" customWidth="1"/>
    <col min="4364" max="4364" width="8.33203125" style="171" bestFit="1" customWidth="1"/>
    <col min="4365" max="4365" width="9.109375" style="171" customWidth="1"/>
    <col min="4366" max="4366" width="6.109375" style="171" customWidth="1"/>
    <col min="4367" max="4367" width="7.6640625" style="171" customWidth="1"/>
    <col min="4368" max="4373" width="15.44140625" style="171" customWidth="1"/>
    <col min="4374" max="4374" width="8.5546875" style="171" customWidth="1"/>
    <col min="4375" max="4379" width="0" style="171" hidden="1" customWidth="1"/>
    <col min="4380" max="4380" width="6.88671875" style="171" customWidth="1"/>
    <col min="4381" max="4381" width="5.6640625" style="171" customWidth="1"/>
    <col min="4382" max="4382" width="7" style="171" customWidth="1"/>
    <col min="4383" max="4383" width="15.44140625" style="171" customWidth="1"/>
    <col min="4384" max="4384" width="9.44140625" style="171" customWidth="1"/>
    <col min="4385" max="4385" width="15.44140625" style="171" customWidth="1"/>
    <col min="4386" max="4386" width="9.5546875" style="171" customWidth="1"/>
    <col min="4387" max="4387" width="9.44140625" style="171" customWidth="1"/>
    <col min="4388" max="4388" width="15.44140625" style="171" customWidth="1"/>
    <col min="4389" max="4389" width="0" style="171" hidden="1" customWidth="1"/>
    <col min="4390" max="4608" width="0" style="171" hidden="1"/>
    <col min="4609" max="4609" width="6.88671875" style="171" customWidth="1"/>
    <col min="4610" max="4610" width="5.6640625" style="171" customWidth="1"/>
    <col min="4611" max="4611" width="7" style="171" customWidth="1"/>
    <col min="4612" max="4614" width="15.44140625" style="171" customWidth="1"/>
    <col min="4615" max="4615" width="9.44140625" style="171" customWidth="1"/>
    <col min="4616" max="4616" width="15.44140625" style="171" customWidth="1"/>
    <col min="4617" max="4617" width="9.5546875" style="171" customWidth="1"/>
    <col min="4618" max="4618" width="9.44140625" style="171" customWidth="1"/>
    <col min="4619" max="4619" width="15.44140625" style="171" customWidth="1"/>
    <col min="4620" max="4620" width="8.33203125" style="171" bestFit="1" customWidth="1"/>
    <col min="4621" max="4621" width="9.109375" style="171" customWidth="1"/>
    <col min="4622" max="4622" width="6.109375" style="171" customWidth="1"/>
    <col min="4623" max="4623" width="7.6640625" style="171" customWidth="1"/>
    <col min="4624" max="4629" width="15.44140625" style="171" customWidth="1"/>
    <col min="4630" max="4630" width="8.5546875" style="171" customWidth="1"/>
    <col min="4631" max="4635" width="0" style="171" hidden="1" customWidth="1"/>
    <col min="4636" max="4636" width="6.88671875" style="171" customWidth="1"/>
    <col min="4637" max="4637" width="5.6640625" style="171" customWidth="1"/>
    <col min="4638" max="4638" width="7" style="171" customWidth="1"/>
    <col min="4639" max="4639" width="15.44140625" style="171" customWidth="1"/>
    <col min="4640" max="4640" width="9.44140625" style="171" customWidth="1"/>
    <col min="4641" max="4641" width="15.44140625" style="171" customWidth="1"/>
    <col min="4642" max="4642" width="9.5546875" style="171" customWidth="1"/>
    <col min="4643" max="4643" width="9.44140625" style="171" customWidth="1"/>
    <col min="4644" max="4644" width="15.44140625" style="171" customWidth="1"/>
    <col min="4645" max="4645" width="0" style="171" hidden="1" customWidth="1"/>
    <col min="4646" max="4864" width="0" style="171" hidden="1"/>
    <col min="4865" max="4865" width="6.88671875" style="171" customWidth="1"/>
    <col min="4866" max="4866" width="5.6640625" style="171" customWidth="1"/>
    <col min="4867" max="4867" width="7" style="171" customWidth="1"/>
    <col min="4868" max="4870" width="15.44140625" style="171" customWidth="1"/>
    <col min="4871" max="4871" width="9.44140625" style="171" customWidth="1"/>
    <col min="4872" max="4872" width="15.44140625" style="171" customWidth="1"/>
    <col min="4873" max="4873" width="9.5546875" style="171" customWidth="1"/>
    <col min="4874" max="4874" width="9.44140625" style="171" customWidth="1"/>
    <col min="4875" max="4875" width="15.44140625" style="171" customWidth="1"/>
    <col min="4876" max="4876" width="8.33203125" style="171" bestFit="1" customWidth="1"/>
    <col min="4877" max="4877" width="9.109375" style="171" customWidth="1"/>
    <col min="4878" max="4878" width="6.109375" style="171" customWidth="1"/>
    <col min="4879" max="4879" width="7.6640625" style="171" customWidth="1"/>
    <col min="4880" max="4885" width="15.44140625" style="171" customWidth="1"/>
    <col min="4886" max="4886" width="8.5546875" style="171" customWidth="1"/>
    <col min="4887" max="4891" width="0" style="171" hidden="1" customWidth="1"/>
    <col min="4892" max="4892" width="6.88671875" style="171" customWidth="1"/>
    <col min="4893" max="4893" width="5.6640625" style="171" customWidth="1"/>
    <col min="4894" max="4894" width="7" style="171" customWidth="1"/>
    <col min="4895" max="4895" width="15.44140625" style="171" customWidth="1"/>
    <col min="4896" max="4896" width="9.44140625" style="171" customWidth="1"/>
    <col min="4897" max="4897" width="15.44140625" style="171" customWidth="1"/>
    <col min="4898" max="4898" width="9.5546875" style="171" customWidth="1"/>
    <col min="4899" max="4899" width="9.44140625" style="171" customWidth="1"/>
    <col min="4900" max="4900" width="15.44140625" style="171" customWidth="1"/>
    <col min="4901" max="4901" width="0" style="171" hidden="1" customWidth="1"/>
    <col min="4902" max="5120" width="0" style="171" hidden="1"/>
    <col min="5121" max="5121" width="6.88671875" style="171" customWidth="1"/>
    <col min="5122" max="5122" width="5.6640625" style="171" customWidth="1"/>
    <col min="5123" max="5123" width="7" style="171" customWidth="1"/>
    <col min="5124" max="5126" width="15.44140625" style="171" customWidth="1"/>
    <col min="5127" max="5127" width="9.44140625" style="171" customWidth="1"/>
    <col min="5128" max="5128" width="15.44140625" style="171" customWidth="1"/>
    <col min="5129" max="5129" width="9.5546875" style="171" customWidth="1"/>
    <col min="5130" max="5130" width="9.44140625" style="171" customWidth="1"/>
    <col min="5131" max="5131" width="15.44140625" style="171" customWidth="1"/>
    <col min="5132" max="5132" width="8.33203125" style="171" bestFit="1" customWidth="1"/>
    <col min="5133" max="5133" width="9.109375" style="171" customWidth="1"/>
    <col min="5134" max="5134" width="6.109375" style="171" customWidth="1"/>
    <col min="5135" max="5135" width="7.6640625" style="171" customWidth="1"/>
    <col min="5136" max="5141" width="15.44140625" style="171" customWidth="1"/>
    <col min="5142" max="5142" width="8.5546875" style="171" customWidth="1"/>
    <col min="5143" max="5147" width="0" style="171" hidden="1" customWidth="1"/>
    <col min="5148" max="5148" width="6.88671875" style="171" customWidth="1"/>
    <col min="5149" max="5149" width="5.6640625" style="171" customWidth="1"/>
    <col min="5150" max="5150" width="7" style="171" customWidth="1"/>
    <col min="5151" max="5151" width="15.44140625" style="171" customWidth="1"/>
    <col min="5152" max="5152" width="9.44140625" style="171" customWidth="1"/>
    <col min="5153" max="5153" width="15.44140625" style="171" customWidth="1"/>
    <col min="5154" max="5154" width="9.5546875" style="171" customWidth="1"/>
    <col min="5155" max="5155" width="9.44140625" style="171" customWidth="1"/>
    <col min="5156" max="5156" width="15.44140625" style="171" customWidth="1"/>
    <col min="5157" max="5157" width="0" style="171" hidden="1" customWidth="1"/>
    <col min="5158" max="5376" width="0" style="171" hidden="1"/>
    <col min="5377" max="5377" width="6.88671875" style="171" customWidth="1"/>
    <col min="5378" max="5378" width="5.6640625" style="171" customWidth="1"/>
    <col min="5379" max="5379" width="7" style="171" customWidth="1"/>
    <col min="5380" max="5382" width="15.44140625" style="171" customWidth="1"/>
    <col min="5383" max="5383" width="9.44140625" style="171" customWidth="1"/>
    <col min="5384" max="5384" width="15.44140625" style="171" customWidth="1"/>
    <col min="5385" max="5385" width="9.5546875" style="171" customWidth="1"/>
    <col min="5386" max="5386" width="9.44140625" style="171" customWidth="1"/>
    <col min="5387" max="5387" width="15.44140625" style="171" customWidth="1"/>
    <col min="5388" max="5388" width="8.33203125" style="171" bestFit="1" customWidth="1"/>
    <col min="5389" max="5389" width="9.109375" style="171" customWidth="1"/>
    <col min="5390" max="5390" width="6.109375" style="171" customWidth="1"/>
    <col min="5391" max="5391" width="7.6640625" style="171" customWidth="1"/>
    <col min="5392" max="5397" width="15.44140625" style="171" customWidth="1"/>
    <col min="5398" max="5398" width="8.5546875" style="171" customWidth="1"/>
    <col min="5399" max="5403" width="0" style="171" hidden="1" customWidth="1"/>
    <col min="5404" max="5404" width="6.88671875" style="171" customWidth="1"/>
    <col min="5405" max="5405" width="5.6640625" style="171" customWidth="1"/>
    <col min="5406" max="5406" width="7" style="171" customWidth="1"/>
    <col min="5407" max="5407" width="15.44140625" style="171" customWidth="1"/>
    <col min="5408" max="5408" width="9.44140625" style="171" customWidth="1"/>
    <col min="5409" max="5409" width="15.44140625" style="171" customWidth="1"/>
    <col min="5410" max="5410" width="9.5546875" style="171" customWidth="1"/>
    <col min="5411" max="5411" width="9.44140625" style="171" customWidth="1"/>
    <col min="5412" max="5412" width="15.44140625" style="171" customWidth="1"/>
    <col min="5413" max="5413" width="0" style="171" hidden="1" customWidth="1"/>
    <col min="5414" max="5632" width="0" style="171" hidden="1"/>
    <col min="5633" max="5633" width="6.88671875" style="171" customWidth="1"/>
    <col min="5634" max="5634" width="5.6640625" style="171" customWidth="1"/>
    <col min="5635" max="5635" width="7" style="171" customWidth="1"/>
    <col min="5636" max="5638" width="15.44140625" style="171" customWidth="1"/>
    <col min="5639" max="5639" width="9.44140625" style="171" customWidth="1"/>
    <col min="5640" max="5640" width="15.44140625" style="171" customWidth="1"/>
    <col min="5641" max="5641" width="9.5546875" style="171" customWidth="1"/>
    <col min="5642" max="5642" width="9.44140625" style="171" customWidth="1"/>
    <col min="5643" max="5643" width="15.44140625" style="171" customWidth="1"/>
    <col min="5644" max="5644" width="8.33203125" style="171" bestFit="1" customWidth="1"/>
    <col min="5645" max="5645" width="9.109375" style="171" customWidth="1"/>
    <col min="5646" max="5646" width="6.109375" style="171" customWidth="1"/>
    <col min="5647" max="5647" width="7.6640625" style="171" customWidth="1"/>
    <col min="5648" max="5653" width="15.44140625" style="171" customWidth="1"/>
    <col min="5654" max="5654" width="8.5546875" style="171" customWidth="1"/>
    <col min="5655" max="5659" width="0" style="171" hidden="1" customWidth="1"/>
    <col min="5660" max="5660" width="6.88671875" style="171" customWidth="1"/>
    <col min="5661" max="5661" width="5.6640625" style="171" customWidth="1"/>
    <col min="5662" max="5662" width="7" style="171" customWidth="1"/>
    <col min="5663" max="5663" width="15.44140625" style="171" customWidth="1"/>
    <col min="5664" max="5664" width="9.44140625" style="171" customWidth="1"/>
    <col min="5665" max="5665" width="15.44140625" style="171" customWidth="1"/>
    <col min="5666" max="5666" width="9.5546875" style="171" customWidth="1"/>
    <col min="5667" max="5667" width="9.44140625" style="171" customWidth="1"/>
    <col min="5668" max="5668" width="15.44140625" style="171" customWidth="1"/>
    <col min="5669" max="5669" width="0" style="171" hidden="1" customWidth="1"/>
    <col min="5670" max="5888" width="0" style="171" hidden="1"/>
    <col min="5889" max="5889" width="6.88671875" style="171" customWidth="1"/>
    <col min="5890" max="5890" width="5.6640625" style="171" customWidth="1"/>
    <col min="5891" max="5891" width="7" style="171" customWidth="1"/>
    <col min="5892" max="5894" width="15.44140625" style="171" customWidth="1"/>
    <col min="5895" max="5895" width="9.44140625" style="171" customWidth="1"/>
    <col min="5896" max="5896" width="15.44140625" style="171" customWidth="1"/>
    <col min="5897" max="5897" width="9.5546875" style="171" customWidth="1"/>
    <col min="5898" max="5898" width="9.44140625" style="171" customWidth="1"/>
    <col min="5899" max="5899" width="15.44140625" style="171" customWidth="1"/>
    <col min="5900" max="5900" width="8.33203125" style="171" bestFit="1" customWidth="1"/>
    <col min="5901" max="5901" width="9.109375" style="171" customWidth="1"/>
    <col min="5902" max="5902" width="6.109375" style="171" customWidth="1"/>
    <col min="5903" max="5903" width="7.6640625" style="171" customWidth="1"/>
    <col min="5904" max="5909" width="15.44140625" style="171" customWidth="1"/>
    <col min="5910" max="5910" width="8.5546875" style="171" customWidth="1"/>
    <col min="5911" max="5915" width="0" style="171" hidden="1" customWidth="1"/>
    <col min="5916" max="5916" width="6.88671875" style="171" customWidth="1"/>
    <col min="5917" max="5917" width="5.6640625" style="171" customWidth="1"/>
    <col min="5918" max="5918" width="7" style="171" customWidth="1"/>
    <col min="5919" max="5919" width="15.44140625" style="171" customWidth="1"/>
    <col min="5920" max="5920" width="9.44140625" style="171" customWidth="1"/>
    <col min="5921" max="5921" width="15.44140625" style="171" customWidth="1"/>
    <col min="5922" max="5922" width="9.5546875" style="171" customWidth="1"/>
    <col min="5923" max="5923" width="9.44140625" style="171" customWidth="1"/>
    <col min="5924" max="5924" width="15.44140625" style="171" customWidth="1"/>
    <col min="5925" max="5925" width="0" style="171" hidden="1" customWidth="1"/>
    <col min="5926" max="6144" width="0" style="171" hidden="1"/>
    <col min="6145" max="6145" width="6.88671875" style="171" customWidth="1"/>
    <col min="6146" max="6146" width="5.6640625" style="171" customWidth="1"/>
    <col min="6147" max="6147" width="7" style="171" customWidth="1"/>
    <col min="6148" max="6150" width="15.44140625" style="171" customWidth="1"/>
    <col min="6151" max="6151" width="9.44140625" style="171" customWidth="1"/>
    <col min="6152" max="6152" width="15.44140625" style="171" customWidth="1"/>
    <col min="6153" max="6153" width="9.5546875" style="171" customWidth="1"/>
    <col min="6154" max="6154" width="9.44140625" style="171" customWidth="1"/>
    <col min="6155" max="6155" width="15.44140625" style="171" customWidth="1"/>
    <col min="6156" max="6156" width="8.33203125" style="171" bestFit="1" customWidth="1"/>
    <col min="6157" max="6157" width="9.109375" style="171" customWidth="1"/>
    <col min="6158" max="6158" width="6.109375" style="171" customWidth="1"/>
    <col min="6159" max="6159" width="7.6640625" style="171" customWidth="1"/>
    <col min="6160" max="6165" width="15.44140625" style="171" customWidth="1"/>
    <col min="6166" max="6166" width="8.5546875" style="171" customWidth="1"/>
    <col min="6167" max="6171" width="0" style="171" hidden="1" customWidth="1"/>
    <col min="6172" max="6172" width="6.88671875" style="171" customWidth="1"/>
    <col min="6173" max="6173" width="5.6640625" style="171" customWidth="1"/>
    <col min="6174" max="6174" width="7" style="171" customWidth="1"/>
    <col min="6175" max="6175" width="15.44140625" style="171" customWidth="1"/>
    <col min="6176" max="6176" width="9.44140625" style="171" customWidth="1"/>
    <col min="6177" max="6177" width="15.44140625" style="171" customWidth="1"/>
    <col min="6178" max="6178" width="9.5546875" style="171" customWidth="1"/>
    <col min="6179" max="6179" width="9.44140625" style="171" customWidth="1"/>
    <col min="6180" max="6180" width="15.44140625" style="171" customWidth="1"/>
    <col min="6181" max="6181" width="0" style="171" hidden="1" customWidth="1"/>
    <col min="6182" max="6400" width="0" style="171" hidden="1"/>
    <col min="6401" max="6401" width="6.88671875" style="171" customWidth="1"/>
    <col min="6402" max="6402" width="5.6640625" style="171" customWidth="1"/>
    <col min="6403" max="6403" width="7" style="171" customWidth="1"/>
    <col min="6404" max="6406" width="15.44140625" style="171" customWidth="1"/>
    <col min="6407" max="6407" width="9.44140625" style="171" customWidth="1"/>
    <col min="6408" max="6408" width="15.44140625" style="171" customWidth="1"/>
    <col min="6409" max="6409" width="9.5546875" style="171" customWidth="1"/>
    <col min="6410" max="6410" width="9.44140625" style="171" customWidth="1"/>
    <col min="6411" max="6411" width="15.44140625" style="171" customWidth="1"/>
    <col min="6412" max="6412" width="8.33203125" style="171" bestFit="1" customWidth="1"/>
    <col min="6413" max="6413" width="9.109375" style="171" customWidth="1"/>
    <col min="6414" max="6414" width="6.109375" style="171" customWidth="1"/>
    <col min="6415" max="6415" width="7.6640625" style="171" customWidth="1"/>
    <col min="6416" max="6421" width="15.44140625" style="171" customWidth="1"/>
    <col min="6422" max="6422" width="8.5546875" style="171" customWidth="1"/>
    <col min="6423" max="6427" width="0" style="171" hidden="1" customWidth="1"/>
    <col min="6428" max="6428" width="6.88671875" style="171" customWidth="1"/>
    <col min="6429" max="6429" width="5.6640625" style="171" customWidth="1"/>
    <col min="6430" max="6430" width="7" style="171" customWidth="1"/>
    <col min="6431" max="6431" width="15.44140625" style="171" customWidth="1"/>
    <col min="6432" max="6432" width="9.44140625" style="171" customWidth="1"/>
    <col min="6433" max="6433" width="15.44140625" style="171" customWidth="1"/>
    <col min="6434" max="6434" width="9.5546875" style="171" customWidth="1"/>
    <col min="6435" max="6435" width="9.44140625" style="171" customWidth="1"/>
    <col min="6436" max="6436" width="15.44140625" style="171" customWidth="1"/>
    <col min="6437" max="6437" width="0" style="171" hidden="1" customWidth="1"/>
    <col min="6438" max="6656" width="0" style="171" hidden="1"/>
    <col min="6657" max="6657" width="6.88671875" style="171" customWidth="1"/>
    <col min="6658" max="6658" width="5.6640625" style="171" customWidth="1"/>
    <col min="6659" max="6659" width="7" style="171" customWidth="1"/>
    <col min="6660" max="6662" width="15.44140625" style="171" customWidth="1"/>
    <col min="6663" max="6663" width="9.44140625" style="171" customWidth="1"/>
    <col min="6664" max="6664" width="15.44140625" style="171" customWidth="1"/>
    <col min="6665" max="6665" width="9.5546875" style="171" customWidth="1"/>
    <col min="6666" max="6666" width="9.44140625" style="171" customWidth="1"/>
    <col min="6667" max="6667" width="15.44140625" style="171" customWidth="1"/>
    <col min="6668" max="6668" width="8.33203125" style="171" bestFit="1" customWidth="1"/>
    <col min="6669" max="6669" width="9.109375" style="171" customWidth="1"/>
    <col min="6670" max="6670" width="6.109375" style="171" customWidth="1"/>
    <col min="6671" max="6671" width="7.6640625" style="171" customWidth="1"/>
    <col min="6672" max="6677" width="15.44140625" style="171" customWidth="1"/>
    <col min="6678" max="6678" width="8.5546875" style="171" customWidth="1"/>
    <col min="6679" max="6683" width="0" style="171" hidden="1" customWidth="1"/>
    <col min="6684" max="6684" width="6.88671875" style="171" customWidth="1"/>
    <col min="6685" max="6685" width="5.6640625" style="171" customWidth="1"/>
    <col min="6686" max="6686" width="7" style="171" customWidth="1"/>
    <col min="6687" max="6687" width="15.44140625" style="171" customWidth="1"/>
    <col min="6688" max="6688" width="9.44140625" style="171" customWidth="1"/>
    <col min="6689" max="6689" width="15.44140625" style="171" customWidth="1"/>
    <col min="6690" max="6690" width="9.5546875" style="171" customWidth="1"/>
    <col min="6691" max="6691" width="9.44140625" style="171" customWidth="1"/>
    <col min="6692" max="6692" width="15.44140625" style="171" customWidth="1"/>
    <col min="6693" max="6693" width="0" style="171" hidden="1" customWidth="1"/>
    <col min="6694" max="6912" width="0" style="171" hidden="1"/>
    <col min="6913" max="6913" width="6.88671875" style="171" customWidth="1"/>
    <col min="6914" max="6914" width="5.6640625" style="171" customWidth="1"/>
    <col min="6915" max="6915" width="7" style="171" customWidth="1"/>
    <col min="6916" max="6918" width="15.44140625" style="171" customWidth="1"/>
    <col min="6919" max="6919" width="9.44140625" style="171" customWidth="1"/>
    <col min="6920" max="6920" width="15.44140625" style="171" customWidth="1"/>
    <col min="6921" max="6921" width="9.5546875" style="171" customWidth="1"/>
    <col min="6922" max="6922" width="9.44140625" style="171" customWidth="1"/>
    <col min="6923" max="6923" width="15.44140625" style="171" customWidth="1"/>
    <col min="6924" max="6924" width="8.33203125" style="171" bestFit="1" customWidth="1"/>
    <col min="6925" max="6925" width="9.109375" style="171" customWidth="1"/>
    <col min="6926" max="6926" width="6.109375" style="171" customWidth="1"/>
    <col min="6927" max="6927" width="7.6640625" style="171" customWidth="1"/>
    <col min="6928" max="6933" width="15.44140625" style="171" customWidth="1"/>
    <col min="6934" max="6934" width="8.5546875" style="171" customWidth="1"/>
    <col min="6935" max="6939" width="0" style="171" hidden="1" customWidth="1"/>
    <col min="6940" max="6940" width="6.88671875" style="171" customWidth="1"/>
    <col min="6941" max="6941" width="5.6640625" style="171" customWidth="1"/>
    <col min="6942" max="6942" width="7" style="171" customWidth="1"/>
    <col min="6943" max="6943" width="15.44140625" style="171" customWidth="1"/>
    <col min="6944" max="6944" width="9.44140625" style="171" customWidth="1"/>
    <col min="6945" max="6945" width="15.44140625" style="171" customWidth="1"/>
    <col min="6946" max="6946" width="9.5546875" style="171" customWidth="1"/>
    <col min="6947" max="6947" width="9.44140625" style="171" customWidth="1"/>
    <col min="6948" max="6948" width="15.44140625" style="171" customWidth="1"/>
    <col min="6949" max="6949" width="0" style="171" hidden="1" customWidth="1"/>
    <col min="6950" max="7168" width="0" style="171" hidden="1"/>
    <col min="7169" max="7169" width="6.88671875" style="171" customWidth="1"/>
    <col min="7170" max="7170" width="5.6640625" style="171" customWidth="1"/>
    <col min="7171" max="7171" width="7" style="171" customWidth="1"/>
    <col min="7172" max="7174" width="15.44140625" style="171" customWidth="1"/>
    <col min="7175" max="7175" width="9.44140625" style="171" customWidth="1"/>
    <col min="7176" max="7176" width="15.44140625" style="171" customWidth="1"/>
    <col min="7177" max="7177" width="9.5546875" style="171" customWidth="1"/>
    <col min="7178" max="7178" width="9.44140625" style="171" customWidth="1"/>
    <col min="7179" max="7179" width="15.44140625" style="171" customWidth="1"/>
    <col min="7180" max="7180" width="8.33203125" style="171" bestFit="1" customWidth="1"/>
    <col min="7181" max="7181" width="9.109375" style="171" customWidth="1"/>
    <col min="7182" max="7182" width="6.109375" style="171" customWidth="1"/>
    <col min="7183" max="7183" width="7.6640625" style="171" customWidth="1"/>
    <col min="7184" max="7189" width="15.44140625" style="171" customWidth="1"/>
    <col min="7190" max="7190" width="8.5546875" style="171" customWidth="1"/>
    <col min="7191" max="7195" width="0" style="171" hidden="1" customWidth="1"/>
    <col min="7196" max="7196" width="6.88671875" style="171" customWidth="1"/>
    <col min="7197" max="7197" width="5.6640625" style="171" customWidth="1"/>
    <col min="7198" max="7198" width="7" style="171" customWidth="1"/>
    <col min="7199" max="7199" width="15.44140625" style="171" customWidth="1"/>
    <col min="7200" max="7200" width="9.44140625" style="171" customWidth="1"/>
    <col min="7201" max="7201" width="15.44140625" style="171" customWidth="1"/>
    <col min="7202" max="7202" width="9.5546875" style="171" customWidth="1"/>
    <col min="7203" max="7203" width="9.44140625" style="171" customWidth="1"/>
    <col min="7204" max="7204" width="15.44140625" style="171" customWidth="1"/>
    <col min="7205" max="7205" width="0" style="171" hidden="1" customWidth="1"/>
    <col min="7206" max="7424" width="0" style="171" hidden="1"/>
    <col min="7425" max="7425" width="6.88671875" style="171" customWidth="1"/>
    <col min="7426" max="7426" width="5.6640625" style="171" customWidth="1"/>
    <col min="7427" max="7427" width="7" style="171" customWidth="1"/>
    <col min="7428" max="7430" width="15.44140625" style="171" customWidth="1"/>
    <col min="7431" max="7431" width="9.44140625" style="171" customWidth="1"/>
    <col min="7432" max="7432" width="15.44140625" style="171" customWidth="1"/>
    <col min="7433" max="7433" width="9.5546875" style="171" customWidth="1"/>
    <col min="7434" max="7434" width="9.44140625" style="171" customWidth="1"/>
    <col min="7435" max="7435" width="15.44140625" style="171" customWidth="1"/>
    <col min="7436" max="7436" width="8.33203125" style="171" bestFit="1" customWidth="1"/>
    <col min="7437" max="7437" width="9.109375" style="171" customWidth="1"/>
    <col min="7438" max="7438" width="6.109375" style="171" customWidth="1"/>
    <col min="7439" max="7439" width="7.6640625" style="171" customWidth="1"/>
    <col min="7440" max="7445" width="15.44140625" style="171" customWidth="1"/>
    <col min="7446" max="7446" width="8.5546875" style="171" customWidth="1"/>
    <col min="7447" max="7451" width="0" style="171" hidden="1" customWidth="1"/>
    <col min="7452" max="7452" width="6.88671875" style="171" customWidth="1"/>
    <col min="7453" max="7453" width="5.6640625" style="171" customWidth="1"/>
    <col min="7454" max="7454" width="7" style="171" customWidth="1"/>
    <col min="7455" max="7455" width="15.44140625" style="171" customWidth="1"/>
    <col min="7456" max="7456" width="9.44140625" style="171" customWidth="1"/>
    <col min="7457" max="7457" width="15.44140625" style="171" customWidth="1"/>
    <col min="7458" max="7458" width="9.5546875" style="171" customWidth="1"/>
    <col min="7459" max="7459" width="9.44140625" style="171" customWidth="1"/>
    <col min="7460" max="7460" width="15.44140625" style="171" customWidth="1"/>
    <col min="7461" max="7461" width="0" style="171" hidden="1" customWidth="1"/>
    <col min="7462" max="7680" width="0" style="171" hidden="1"/>
    <col min="7681" max="7681" width="6.88671875" style="171" customWidth="1"/>
    <col min="7682" max="7682" width="5.6640625" style="171" customWidth="1"/>
    <col min="7683" max="7683" width="7" style="171" customWidth="1"/>
    <col min="7684" max="7686" width="15.44140625" style="171" customWidth="1"/>
    <col min="7687" max="7687" width="9.44140625" style="171" customWidth="1"/>
    <col min="7688" max="7688" width="15.44140625" style="171" customWidth="1"/>
    <col min="7689" max="7689" width="9.5546875" style="171" customWidth="1"/>
    <col min="7690" max="7690" width="9.44140625" style="171" customWidth="1"/>
    <col min="7691" max="7691" width="15.44140625" style="171" customWidth="1"/>
    <col min="7692" max="7692" width="8.33203125" style="171" bestFit="1" customWidth="1"/>
    <col min="7693" max="7693" width="9.109375" style="171" customWidth="1"/>
    <col min="7694" max="7694" width="6.109375" style="171" customWidth="1"/>
    <col min="7695" max="7695" width="7.6640625" style="171" customWidth="1"/>
    <col min="7696" max="7701" width="15.44140625" style="171" customWidth="1"/>
    <col min="7702" max="7702" width="8.5546875" style="171" customWidth="1"/>
    <col min="7703" max="7707" width="0" style="171" hidden="1" customWidth="1"/>
    <col min="7708" max="7708" width="6.88671875" style="171" customWidth="1"/>
    <col min="7709" max="7709" width="5.6640625" style="171" customWidth="1"/>
    <col min="7710" max="7710" width="7" style="171" customWidth="1"/>
    <col min="7711" max="7711" width="15.44140625" style="171" customWidth="1"/>
    <col min="7712" max="7712" width="9.44140625" style="171" customWidth="1"/>
    <col min="7713" max="7713" width="15.44140625" style="171" customWidth="1"/>
    <col min="7714" max="7714" width="9.5546875" style="171" customWidth="1"/>
    <col min="7715" max="7715" width="9.44140625" style="171" customWidth="1"/>
    <col min="7716" max="7716" width="15.44140625" style="171" customWidth="1"/>
    <col min="7717" max="7717" width="0" style="171" hidden="1" customWidth="1"/>
    <col min="7718" max="7936" width="0" style="171" hidden="1"/>
    <col min="7937" max="7937" width="6.88671875" style="171" customWidth="1"/>
    <col min="7938" max="7938" width="5.6640625" style="171" customWidth="1"/>
    <col min="7939" max="7939" width="7" style="171" customWidth="1"/>
    <col min="7940" max="7942" width="15.44140625" style="171" customWidth="1"/>
    <col min="7943" max="7943" width="9.44140625" style="171" customWidth="1"/>
    <col min="7944" max="7944" width="15.44140625" style="171" customWidth="1"/>
    <col min="7945" max="7945" width="9.5546875" style="171" customWidth="1"/>
    <col min="7946" max="7946" width="9.44140625" style="171" customWidth="1"/>
    <col min="7947" max="7947" width="15.44140625" style="171" customWidth="1"/>
    <col min="7948" max="7948" width="8.33203125" style="171" bestFit="1" customWidth="1"/>
    <col min="7949" max="7949" width="9.109375" style="171" customWidth="1"/>
    <col min="7950" max="7950" width="6.109375" style="171" customWidth="1"/>
    <col min="7951" max="7951" width="7.6640625" style="171" customWidth="1"/>
    <col min="7952" max="7957" width="15.44140625" style="171" customWidth="1"/>
    <col min="7958" max="7958" width="8.5546875" style="171" customWidth="1"/>
    <col min="7959" max="7963" width="0" style="171" hidden="1" customWidth="1"/>
    <col min="7964" max="7964" width="6.88671875" style="171" customWidth="1"/>
    <col min="7965" max="7965" width="5.6640625" style="171" customWidth="1"/>
    <col min="7966" max="7966" width="7" style="171" customWidth="1"/>
    <col min="7967" max="7967" width="15.44140625" style="171" customWidth="1"/>
    <col min="7968" max="7968" width="9.44140625" style="171" customWidth="1"/>
    <col min="7969" max="7969" width="15.44140625" style="171" customWidth="1"/>
    <col min="7970" max="7970" width="9.5546875" style="171" customWidth="1"/>
    <col min="7971" max="7971" width="9.44140625" style="171" customWidth="1"/>
    <col min="7972" max="7972" width="15.44140625" style="171" customWidth="1"/>
    <col min="7973" max="7973" width="0" style="171" hidden="1" customWidth="1"/>
    <col min="7974" max="8192" width="0" style="171" hidden="1"/>
    <col min="8193" max="8193" width="6.88671875" style="171" customWidth="1"/>
    <col min="8194" max="8194" width="5.6640625" style="171" customWidth="1"/>
    <col min="8195" max="8195" width="7" style="171" customWidth="1"/>
    <col min="8196" max="8198" width="15.44140625" style="171" customWidth="1"/>
    <col min="8199" max="8199" width="9.44140625" style="171" customWidth="1"/>
    <col min="8200" max="8200" width="15.44140625" style="171" customWidth="1"/>
    <col min="8201" max="8201" width="9.5546875" style="171" customWidth="1"/>
    <col min="8202" max="8202" width="9.44140625" style="171" customWidth="1"/>
    <col min="8203" max="8203" width="15.44140625" style="171" customWidth="1"/>
    <col min="8204" max="8204" width="8.33203125" style="171" bestFit="1" customWidth="1"/>
    <col min="8205" max="8205" width="9.109375" style="171" customWidth="1"/>
    <col min="8206" max="8206" width="6.109375" style="171" customWidth="1"/>
    <col min="8207" max="8207" width="7.6640625" style="171" customWidth="1"/>
    <col min="8208" max="8213" width="15.44140625" style="171" customWidth="1"/>
    <col min="8214" max="8214" width="8.5546875" style="171" customWidth="1"/>
    <col min="8215" max="8219" width="0" style="171" hidden="1" customWidth="1"/>
    <col min="8220" max="8220" width="6.88671875" style="171" customWidth="1"/>
    <col min="8221" max="8221" width="5.6640625" style="171" customWidth="1"/>
    <col min="8222" max="8222" width="7" style="171" customWidth="1"/>
    <col min="8223" max="8223" width="15.44140625" style="171" customWidth="1"/>
    <col min="8224" max="8224" width="9.44140625" style="171" customWidth="1"/>
    <col min="8225" max="8225" width="15.44140625" style="171" customWidth="1"/>
    <col min="8226" max="8226" width="9.5546875" style="171" customWidth="1"/>
    <col min="8227" max="8227" width="9.44140625" style="171" customWidth="1"/>
    <col min="8228" max="8228" width="15.44140625" style="171" customWidth="1"/>
    <col min="8229" max="8229" width="0" style="171" hidden="1" customWidth="1"/>
    <col min="8230" max="8448" width="0" style="171" hidden="1"/>
    <col min="8449" max="8449" width="6.88671875" style="171" customWidth="1"/>
    <col min="8450" max="8450" width="5.6640625" style="171" customWidth="1"/>
    <col min="8451" max="8451" width="7" style="171" customWidth="1"/>
    <col min="8452" max="8454" width="15.44140625" style="171" customWidth="1"/>
    <col min="8455" max="8455" width="9.44140625" style="171" customWidth="1"/>
    <col min="8456" max="8456" width="15.44140625" style="171" customWidth="1"/>
    <col min="8457" max="8457" width="9.5546875" style="171" customWidth="1"/>
    <col min="8458" max="8458" width="9.44140625" style="171" customWidth="1"/>
    <col min="8459" max="8459" width="15.44140625" style="171" customWidth="1"/>
    <col min="8460" max="8460" width="8.33203125" style="171" bestFit="1" customWidth="1"/>
    <col min="8461" max="8461" width="9.109375" style="171" customWidth="1"/>
    <col min="8462" max="8462" width="6.109375" style="171" customWidth="1"/>
    <col min="8463" max="8463" width="7.6640625" style="171" customWidth="1"/>
    <col min="8464" max="8469" width="15.44140625" style="171" customWidth="1"/>
    <col min="8470" max="8470" width="8.5546875" style="171" customWidth="1"/>
    <col min="8471" max="8475" width="0" style="171" hidden="1" customWidth="1"/>
    <col min="8476" max="8476" width="6.88671875" style="171" customWidth="1"/>
    <col min="8477" max="8477" width="5.6640625" style="171" customWidth="1"/>
    <col min="8478" max="8478" width="7" style="171" customWidth="1"/>
    <col min="8479" max="8479" width="15.44140625" style="171" customWidth="1"/>
    <col min="8480" max="8480" width="9.44140625" style="171" customWidth="1"/>
    <col min="8481" max="8481" width="15.44140625" style="171" customWidth="1"/>
    <col min="8482" max="8482" width="9.5546875" style="171" customWidth="1"/>
    <col min="8483" max="8483" width="9.44140625" style="171" customWidth="1"/>
    <col min="8484" max="8484" width="15.44140625" style="171" customWidth="1"/>
    <col min="8485" max="8485" width="0" style="171" hidden="1" customWidth="1"/>
    <col min="8486" max="8704" width="0" style="171" hidden="1"/>
    <col min="8705" max="8705" width="6.88671875" style="171" customWidth="1"/>
    <col min="8706" max="8706" width="5.6640625" style="171" customWidth="1"/>
    <col min="8707" max="8707" width="7" style="171" customWidth="1"/>
    <col min="8708" max="8710" width="15.44140625" style="171" customWidth="1"/>
    <col min="8711" max="8711" width="9.44140625" style="171" customWidth="1"/>
    <col min="8712" max="8712" width="15.44140625" style="171" customWidth="1"/>
    <col min="8713" max="8713" width="9.5546875" style="171" customWidth="1"/>
    <col min="8714" max="8714" width="9.44140625" style="171" customWidth="1"/>
    <col min="8715" max="8715" width="15.44140625" style="171" customWidth="1"/>
    <col min="8716" max="8716" width="8.33203125" style="171" bestFit="1" customWidth="1"/>
    <col min="8717" max="8717" width="9.109375" style="171" customWidth="1"/>
    <col min="8718" max="8718" width="6.109375" style="171" customWidth="1"/>
    <col min="8719" max="8719" width="7.6640625" style="171" customWidth="1"/>
    <col min="8720" max="8725" width="15.44140625" style="171" customWidth="1"/>
    <col min="8726" max="8726" width="8.5546875" style="171" customWidth="1"/>
    <col min="8727" max="8731" width="0" style="171" hidden="1" customWidth="1"/>
    <col min="8732" max="8732" width="6.88671875" style="171" customWidth="1"/>
    <col min="8733" max="8733" width="5.6640625" style="171" customWidth="1"/>
    <col min="8734" max="8734" width="7" style="171" customWidth="1"/>
    <col min="8735" max="8735" width="15.44140625" style="171" customWidth="1"/>
    <col min="8736" max="8736" width="9.44140625" style="171" customWidth="1"/>
    <col min="8737" max="8737" width="15.44140625" style="171" customWidth="1"/>
    <col min="8738" max="8738" width="9.5546875" style="171" customWidth="1"/>
    <col min="8739" max="8739" width="9.44140625" style="171" customWidth="1"/>
    <col min="8740" max="8740" width="15.44140625" style="171" customWidth="1"/>
    <col min="8741" max="8741" width="0" style="171" hidden="1" customWidth="1"/>
    <col min="8742" max="8960" width="0" style="171" hidden="1"/>
    <col min="8961" max="8961" width="6.88671875" style="171" customWidth="1"/>
    <col min="8962" max="8962" width="5.6640625" style="171" customWidth="1"/>
    <col min="8963" max="8963" width="7" style="171" customWidth="1"/>
    <col min="8964" max="8966" width="15.44140625" style="171" customWidth="1"/>
    <col min="8967" max="8967" width="9.44140625" style="171" customWidth="1"/>
    <col min="8968" max="8968" width="15.44140625" style="171" customWidth="1"/>
    <col min="8969" max="8969" width="9.5546875" style="171" customWidth="1"/>
    <col min="8970" max="8970" width="9.44140625" style="171" customWidth="1"/>
    <col min="8971" max="8971" width="15.44140625" style="171" customWidth="1"/>
    <col min="8972" max="8972" width="8.33203125" style="171" bestFit="1" customWidth="1"/>
    <col min="8973" max="8973" width="9.109375" style="171" customWidth="1"/>
    <col min="8974" max="8974" width="6.109375" style="171" customWidth="1"/>
    <col min="8975" max="8975" width="7.6640625" style="171" customWidth="1"/>
    <col min="8976" max="8981" width="15.44140625" style="171" customWidth="1"/>
    <col min="8982" max="8982" width="8.5546875" style="171" customWidth="1"/>
    <col min="8983" max="8987" width="0" style="171" hidden="1" customWidth="1"/>
    <col min="8988" max="8988" width="6.88671875" style="171" customWidth="1"/>
    <col min="8989" max="8989" width="5.6640625" style="171" customWidth="1"/>
    <col min="8990" max="8990" width="7" style="171" customWidth="1"/>
    <col min="8991" max="8991" width="15.44140625" style="171" customWidth="1"/>
    <col min="8992" max="8992" width="9.44140625" style="171" customWidth="1"/>
    <col min="8993" max="8993" width="15.44140625" style="171" customWidth="1"/>
    <col min="8994" max="8994" width="9.5546875" style="171" customWidth="1"/>
    <col min="8995" max="8995" width="9.44140625" style="171" customWidth="1"/>
    <col min="8996" max="8996" width="15.44140625" style="171" customWidth="1"/>
    <col min="8997" max="8997" width="0" style="171" hidden="1" customWidth="1"/>
    <col min="8998" max="9216" width="0" style="171" hidden="1"/>
    <col min="9217" max="9217" width="6.88671875" style="171" customWidth="1"/>
    <col min="9218" max="9218" width="5.6640625" style="171" customWidth="1"/>
    <col min="9219" max="9219" width="7" style="171" customWidth="1"/>
    <col min="9220" max="9222" width="15.44140625" style="171" customWidth="1"/>
    <col min="9223" max="9223" width="9.44140625" style="171" customWidth="1"/>
    <col min="9224" max="9224" width="15.44140625" style="171" customWidth="1"/>
    <col min="9225" max="9225" width="9.5546875" style="171" customWidth="1"/>
    <col min="9226" max="9226" width="9.44140625" style="171" customWidth="1"/>
    <col min="9227" max="9227" width="15.44140625" style="171" customWidth="1"/>
    <col min="9228" max="9228" width="8.33203125" style="171" bestFit="1" customWidth="1"/>
    <col min="9229" max="9229" width="9.109375" style="171" customWidth="1"/>
    <col min="9230" max="9230" width="6.109375" style="171" customWidth="1"/>
    <col min="9231" max="9231" width="7.6640625" style="171" customWidth="1"/>
    <col min="9232" max="9237" width="15.44140625" style="171" customWidth="1"/>
    <col min="9238" max="9238" width="8.5546875" style="171" customWidth="1"/>
    <col min="9239" max="9243" width="0" style="171" hidden="1" customWidth="1"/>
    <col min="9244" max="9244" width="6.88671875" style="171" customWidth="1"/>
    <col min="9245" max="9245" width="5.6640625" style="171" customWidth="1"/>
    <col min="9246" max="9246" width="7" style="171" customWidth="1"/>
    <col min="9247" max="9247" width="15.44140625" style="171" customWidth="1"/>
    <col min="9248" max="9248" width="9.44140625" style="171" customWidth="1"/>
    <col min="9249" max="9249" width="15.44140625" style="171" customWidth="1"/>
    <col min="9250" max="9250" width="9.5546875" style="171" customWidth="1"/>
    <col min="9251" max="9251" width="9.44140625" style="171" customWidth="1"/>
    <col min="9252" max="9252" width="15.44140625" style="171" customWidth="1"/>
    <col min="9253" max="9253" width="0" style="171" hidden="1" customWidth="1"/>
    <col min="9254" max="9472" width="0" style="171" hidden="1"/>
    <col min="9473" max="9473" width="6.88671875" style="171" customWidth="1"/>
    <col min="9474" max="9474" width="5.6640625" style="171" customWidth="1"/>
    <col min="9475" max="9475" width="7" style="171" customWidth="1"/>
    <col min="9476" max="9478" width="15.44140625" style="171" customWidth="1"/>
    <col min="9479" max="9479" width="9.44140625" style="171" customWidth="1"/>
    <col min="9480" max="9480" width="15.44140625" style="171" customWidth="1"/>
    <col min="9481" max="9481" width="9.5546875" style="171" customWidth="1"/>
    <col min="9482" max="9482" width="9.44140625" style="171" customWidth="1"/>
    <col min="9483" max="9483" width="15.44140625" style="171" customWidth="1"/>
    <col min="9484" max="9484" width="8.33203125" style="171" bestFit="1" customWidth="1"/>
    <col min="9485" max="9485" width="9.109375" style="171" customWidth="1"/>
    <col min="9486" max="9486" width="6.109375" style="171" customWidth="1"/>
    <col min="9487" max="9487" width="7.6640625" style="171" customWidth="1"/>
    <col min="9488" max="9493" width="15.44140625" style="171" customWidth="1"/>
    <col min="9494" max="9494" width="8.5546875" style="171" customWidth="1"/>
    <col min="9495" max="9499" width="0" style="171" hidden="1" customWidth="1"/>
    <col min="9500" max="9500" width="6.88671875" style="171" customWidth="1"/>
    <col min="9501" max="9501" width="5.6640625" style="171" customWidth="1"/>
    <col min="9502" max="9502" width="7" style="171" customWidth="1"/>
    <col min="9503" max="9503" width="15.44140625" style="171" customWidth="1"/>
    <col min="9504" max="9504" width="9.44140625" style="171" customWidth="1"/>
    <col min="9505" max="9505" width="15.44140625" style="171" customWidth="1"/>
    <col min="9506" max="9506" width="9.5546875" style="171" customWidth="1"/>
    <col min="9507" max="9507" width="9.44140625" style="171" customWidth="1"/>
    <col min="9508" max="9508" width="15.44140625" style="171" customWidth="1"/>
    <col min="9509" max="9509" width="0" style="171" hidden="1" customWidth="1"/>
    <col min="9510" max="9728" width="0" style="171" hidden="1"/>
    <col min="9729" max="9729" width="6.88671875" style="171" customWidth="1"/>
    <col min="9730" max="9730" width="5.6640625" style="171" customWidth="1"/>
    <col min="9731" max="9731" width="7" style="171" customWidth="1"/>
    <col min="9732" max="9734" width="15.44140625" style="171" customWidth="1"/>
    <col min="9735" max="9735" width="9.44140625" style="171" customWidth="1"/>
    <col min="9736" max="9736" width="15.44140625" style="171" customWidth="1"/>
    <col min="9737" max="9737" width="9.5546875" style="171" customWidth="1"/>
    <col min="9738" max="9738" width="9.44140625" style="171" customWidth="1"/>
    <col min="9739" max="9739" width="15.44140625" style="171" customWidth="1"/>
    <col min="9740" max="9740" width="8.33203125" style="171" bestFit="1" customWidth="1"/>
    <col min="9741" max="9741" width="9.109375" style="171" customWidth="1"/>
    <col min="9742" max="9742" width="6.109375" style="171" customWidth="1"/>
    <col min="9743" max="9743" width="7.6640625" style="171" customWidth="1"/>
    <col min="9744" max="9749" width="15.44140625" style="171" customWidth="1"/>
    <col min="9750" max="9750" width="8.5546875" style="171" customWidth="1"/>
    <col min="9751" max="9755" width="0" style="171" hidden="1" customWidth="1"/>
    <col min="9756" max="9756" width="6.88671875" style="171" customWidth="1"/>
    <col min="9757" max="9757" width="5.6640625" style="171" customWidth="1"/>
    <col min="9758" max="9758" width="7" style="171" customWidth="1"/>
    <col min="9759" max="9759" width="15.44140625" style="171" customWidth="1"/>
    <col min="9760" max="9760" width="9.44140625" style="171" customWidth="1"/>
    <col min="9761" max="9761" width="15.44140625" style="171" customWidth="1"/>
    <col min="9762" max="9762" width="9.5546875" style="171" customWidth="1"/>
    <col min="9763" max="9763" width="9.44140625" style="171" customWidth="1"/>
    <col min="9764" max="9764" width="15.44140625" style="171" customWidth="1"/>
    <col min="9765" max="9765" width="0" style="171" hidden="1" customWidth="1"/>
    <col min="9766" max="9984" width="0" style="171" hidden="1"/>
    <col min="9985" max="9985" width="6.88671875" style="171" customWidth="1"/>
    <col min="9986" max="9986" width="5.6640625" style="171" customWidth="1"/>
    <col min="9987" max="9987" width="7" style="171" customWidth="1"/>
    <col min="9988" max="9990" width="15.44140625" style="171" customWidth="1"/>
    <col min="9991" max="9991" width="9.44140625" style="171" customWidth="1"/>
    <col min="9992" max="9992" width="15.44140625" style="171" customWidth="1"/>
    <col min="9993" max="9993" width="9.5546875" style="171" customWidth="1"/>
    <col min="9994" max="9994" width="9.44140625" style="171" customWidth="1"/>
    <col min="9995" max="9995" width="15.44140625" style="171" customWidth="1"/>
    <col min="9996" max="9996" width="8.33203125" style="171" bestFit="1" customWidth="1"/>
    <col min="9997" max="9997" width="9.109375" style="171" customWidth="1"/>
    <col min="9998" max="9998" width="6.109375" style="171" customWidth="1"/>
    <col min="9999" max="9999" width="7.6640625" style="171" customWidth="1"/>
    <col min="10000" max="10005" width="15.44140625" style="171" customWidth="1"/>
    <col min="10006" max="10006" width="8.5546875" style="171" customWidth="1"/>
    <col min="10007" max="10011" width="0" style="171" hidden="1" customWidth="1"/>
    <col min="10012" max="10012" width="6.88671875" style="171" customWidth="1"/>
    <col min="10013" max="10013" width="5.6640625" style="171" customWidth="1"/>
    <col min="10014" max="10014" width="7" style="171" customWidth="1"/>
    <col min="10015" max="10015" width="15.44140625" style="171" customWidth="1"/>
    <col min="10016" max="10016" width="9.44140625" style="171" customWidth="1"/>
    <col min="10017" max="10017" width="15.44140625" style="171" customWidth="1"/>
    <col min="10018" max="10018" width="9.5546875" style="171" customWidth="1"/>
    <col min="10019" max="10019" width="9.44140625" style="171" customWidth="1"/>
    <col min="10020" max="10020" width="15.44140625" style="171" customWidth="1"/>
    <col min="10021" max="10021" width="0" style="171" hidden="1" customWidth="1"/>
    <col min="10022" max="10240" width="0" style="171" hidden="1"/>
    <col min="10241" max="10241" width="6.88671875" style="171" customWidth="1"/>
    <col min="10242" max="10242" width="5.6640625" style="171" customWidth="1"/>
    <col min="10243" max="10243" width="7" style="171" customWidth="1"/>
    <col min="10244" max="10246" width="15.44140625" style="171" customWidth="1"/>
    <col min="10247" max="10247" width="9.44140625" style="171" customWidth="1"/>
    <col min="10248" max="10248" width="15.44140625" style="171" customWidth="1"/>
    <col min="10249" max="10249" width="9.5546875" style="171" customWidth="1"/>
    <col min="10250" max="10250" width="9.44140625" style="171" customWidth="1"/>
    <col min="10251" max="10251" width="15.44140625" style="171" customWidth="1"/>
    <col min="10252" max="10252" width="8.33203125" style="171" bestFit="1" customWidth="1"/>
    <col min="10253" max="10253" width="9.109375" style="171" customWidth="1"/>
    <col min="10254" max="10254" width="6.109375" style="171" customWidth="1"/>
    <col min="10255" max="10255" width="7.6640625" style="171" customWidth="1"/>
    <col min="10256" max="10261" width="15.44140625" style="171" customWidth="1"/>
    <col min="10262" max="10262" width="8.5546875" style="171" customWidth="1"/>
    <col min="10263" max="10267" width="0" style="171" hidden="1" customWidth="1"/>
    <col min="10268" max="10268" width="6.88671875" style="171" customWidth="1"/>
    <col min="10269" max="10269" width="5.6640625" style="171" customWidth="1"/>
    <col min="10270" max="10270" width="7" style="171" customWidth="1"/>
    <col min="10271" max="10271" width="15.44140625" style="171" customWidth="1"/>
    <col min="10272" max="10272" width="9.44140625" style="171" customWidth="1"/>
    <col min="10273" max="10273" width="15.44140625" style="171" customWidth="1"/>
    <col min="10274" max="10274" width="9.5546875" style="171" customWidth="1"/>
    <col min="10275" max="10275" width="9.44140625" style="171" customWidth="1"/>
    <col min="10276" max="10276" width="15.44140625" style="171" customWidth="1"/>
    <col min="10277" max="10277" width="0" style="171" hidden="1" customWidth="1"/>
    <col min="10278" max="10496" width="0" style="171" hidden="1"/>
    <col min="10497" max="10497" width="6.88671875" style="171" customWidth="1"/>
    <col min="10498" max="10498" width="5.6640625" style="171" customWidth="1"/>
    <col min="10499" max="10499" width="7" style="171" customWidth="1"/>
    <col min="10500" max="10502" width="15.44140625" style="171" customWidth="1"/>
    <col min="10503" max="10503" width="9.44140625" style="171" customWidth="1"/>
    <col min="10504" max="10504" width="15.44140625" style="171" customWidth="1"/>
    <col min="10505" max="10505" width="9.5546875" style="171" customWidth="1"/>
    <col min="10506" max="10506" width="9.44140625" style="171" customWidth="1"/>
    <col min="10507" max="10507" width="15.44140625" style="171" customWidth="1"/>
    <col min="10508" max="10508" width="8.33203125" style="171" bestFit="1" customWidth="1"/>
    <col min="10509" max="10509" width="9.109375" style="171" customWidth="1"/>
    <col min="10510" max="10510" width="6.109375" style="171" customWidth="1"/>
    <col min="10511" max="10511" width="7.6640625" style="171" customWidth="1"/>
    <col min="10512" max="10517" width="15.44140625" style="171" customWidth="1"/>
    <col min="10518" max="10518" width="8.5546875" style="171" customWidth="1"/>
    <col min="10519" max="10523" width="0" style="171" hidden="1" customWidth="1"/>
    <col min="10524" max="10524" width="6.88671875" style="171" customWidth="1"/>
    <col min="10525" max="10525" width="5.6640625" style="171" customWidth="1"/>
    <col min="10526" max="10526" width="7" style="171" customWidth="1"/>
    <col min="10527" max="10527" width="15.44140625" style="171" customWidth="1"/>
    <col min="10528" max="10528" width="9.44140625" style="171" customWidth="1"/>
    <col min="10529" max="10529" width="15.44140625" style="171" customWidth="1"/>
    <col min="10530" max="10530" width="9.5546875" style="171" customWidth="1"/>
    <col min="10531" max="10531" width="9.44140625" style="171" customWidth="1"/>
    <col min="10532" max="10532" width="15.44140625" style="171" customWidth="1"/>
    <col min="10533" max="10533" width="0" style="171" hidden="1" customWidth="1"/>
    <col min="10534" max="10752" width="0" style="171" hidden="1"/>
    <col min="10753" max="10753" width="6.88671875" style="171" customWidth="1"/>
    <col min="10754" max="10754" width="5.6640625" style="171" customWidth="1"/>
    <col min="10755" max="10755" width="7" style="171" customWidth="1"/>
    <col min="10756" max="10758" width="15.44140625" style="171" customWidth="1"/>
    <col min="10759" max="10759" width="9.44140625" style="171" customWidth="1"/>
    <col min="10760" max="10760" width="15.44140625" style="171" customWidth="1"/>
    <col min="10761" max="10761" width="9.5546875" style="171" customWidth="1"/>
    <col min="10762" max="10762" width="9.44140625" style="171" customWidth="1"/>
    <col min="10763" max="10763" width="15.44140625" style="171" customWidth="1"/>
    <col min="10764" max="10764" width="8.33203125" style="171" bestFit="1" customWidth="1"/>
    <col min="10765" max="10765" width="9.109375" style="171" customWidth="1"/>
    <col min="10766" max="10766" width="6.109375" style="171" customWidth="1"/>
    <col min="10767" max="10767" width="7.6640625" style="171" customWidth="1"/>
    <col min="10768" max="10773" width="15.44140625" style="171" customWidth="1"/>
    <col min="10774" max="10774" width="8.5546875" style="171" customWidth="1"/>
    <col min="10775" max="10779" width="0" style="171" hidden="1" customWidth="1"/>
    <col min="10780" max="10780" width="6.88671875" style="171" customWidth="1"/>
    <col min="10781" max="10781" width="5.6640625" style="171" customWidth="1"/>
    <col min="10782" max="10782" width="7" style="171" customWidth="1"/>
    <col min="10783" max="10783" width="15.44140625" style="171" customWidth="1"/>
    <col min="10784" max="10784" width="9.44140625" style="171" customWidth="1"/>
    <col min="10785" max="10785" width="15.44140625" style="171" customWidth="1"/>
    <col min="10786" max="10786" width="9.5546875" style="171" customWidth="1"/>
    <col min="10787" max="10787" width="9.44140625" style="171" customWidth="1"/>
    <col min="10788" max="10788" width="15.44140625" style="171" customWidth="1"/>
    <col min="10789" max="10789" width="0" style="171" hidden="1" customWidth="1"/>
    <col min="10790" max="11008" width="0" style="171" hidden="1"/>
    <col min="11009" max="11009" width="6.88671875" style="171" customWidth="1"/>
    <col min="11010" max="11010" width="5.6640625" style="171" customWidth="1"/>
    <col min="11011" max="11011" width="7" style="171" customWidth="1"/>
    <col min="11012" max="11014" width="15.44140625" style="171" customWidth="1"/>
    <col min="11015" max="11015" width="9.44140625" style="171" customWidth="1"/>
    <col min="11016" max="11016" width="15.44140625" style="171" customWidth="1"/>
    <col min="11017" max="11017" width="9.5546875" style="171" customWidth="1"/>
    <col min="11018" max="11018" width="9.44140625" style="171" customWidth="1"/>
    <col min="11019" max="11019" width="15.44140625" style="171" customWidth="1"/>
    <col min="11020" max="11020" width="8.33203125" style="171" bestFit="1" customWidth="1"/>
    <col min="11021" max="11021" width="9.109375" style="171" customWidth="1"/>
    <col min="11022" max="11022" width="6.109375" style="171" customWidth="1"/>
    <col min="11023" max="11023" width="7.6640625" style="171" customWidth="1"/>
    <col min="11024" max="11029" width="15.44140625" style="171" customWidth="1"/>
    <col min="11030" max="11030" width="8.5546875" style="171" customWidth="1"/>
    <col min="11031" max="11035" width="0" style="171" hidden="1" customWidth="1"/>
    <col min="11036" max="11036" width="6.88671875" style="171" customWidth="1"/>
    <col min="11037" max="11037" width="5.6640625" style="171" customWidth="1"/>
    <col min="11038" max="11038" width="7" style="171" customWidth="1"/>
    <col min="11039" max="11039" width="15.44140625" style="171" customWidth="1"/>
    <col min="11040" max="11040" width="9.44140625" style="171" customWidth="1"/>
    <col min="11041" max="11041" width="15.44140625" style="171" customWidth="1"/>
    <col min="11042" max="11042" width="9.5546875" style="171" customWidth="1"/>
    <col min="11043" max="11043" width="9.44140625" style="171" customWidth="1"/>
    <col min="11044" max="11044" width="15.44140625" style="171" customWidth="1"/>
    <col min="11045" max="11045" width="0" style="171" hidden="1" customWidth="1"/>
    <col min="11046" max="11264" width="0" style="171" hidden="1"/>
    <col min="11265" max="11265" width="6.88671875" style="171" customWidth="1"/>
    <col min="11266" max="11266" width="5.6640625" style="171" customWidth="1"/>
    <col min="11267" max="11267" width="7" style="171" customWidth="1"/>
    <col min="11268" max="11270" width="15.44140625" style="171" customWidth="1"/>
    <col min="11271" max="11271" width="9.44140625" style="171" customWidth="1"/>
    <col min="11272" max="11272" width="15.44140625" style="171" customWidth="1"/>
    <col min="11273" max="11273" width="9.5546875" style="171" customWidth="1"/>
    <col min="11274" max="11274" width="9.44140625" style="171" customWidth="1"/>
    <col min="11275" max="11275" width="15.44140625" style="171" customWidth="1"/>
    <col min="11276" max="11276" width="8.33203125" style="171" bestFit="1" customWidth="1"/>
    <col min="11277" max="11277" width="9.109375" style="171" customWidth="1"/>
    <col min="11278" max="11278" width="6.109375" style="171" customWidth="1"/>
    <col min="11279" max="11279" width="7.6640625" style="171" customWidth="1"/>
    <col min="11280" max="11285" width="15.44140625" style="171" customWidth="1"/>
    <col min="11286" max="11286" width="8.5546875" style="171" customWidth="1"/>
    <col min="11287" max="11291" width="0" style="171" hidden="1" customWidth="1"/>
    <col min="11292" max="11292" width="6.88671875" style="171" customWidth="1"/>
    <col min="11293" max="11293" width="5.6640625" style="171" customWidth="1"/>
    <col min="11294" max="11294" width="7" style="171" customWidth="1"/>
    <col min="11295" max="11295" width="15.44140625" style="171" customWidth="1"/>
    <col min="11296" max="11296" width="9.44140625" style="171" customWidth="1"/>
    <col min="11297" max="11297" width="15.44140625" style="171" customWidth="1"/>
    <col min="11298" max="11298" width="9.5546875" style="171" customWidth="1"/>
    <col min="11299" max="11299" width="9.44140625" style="171" customWidth="1"/>
    <col min="11300" max="11300" width="15.44140625" style="171" customWidth="1"/>
    <col min="11301" max="11301" width="0" style="171" hidden="1" customWidth="1"/>
    <col min="11302" max="11520" width="0" style="171" hidden="1"/>
    <col min="11521" max="11521" width="6.88671875" style="171" customWidth="1"/>
    <col min="11522" max="11522" width="5.6640625" style="171" customWidth="1"/>
    <col min="11523" max="11523" width="7" style="171" customWidth="1"/>
    <col min="11524" max="11526" width="15.44140625" style="171" customWidth="1"/>
    <col min="11527" max="11527" width="9.44140625" style="171" customWidth="1"/>
    <col min="11528" max="11528" width="15.44140625" style="171" customWidth="1"/>
    <col min="11529" max="11529" width="9.5546875" style="171" customWidth="1"/>
    <col min="11530" max="11530" width="9.44140625" style="171" customWidth="1"/>
    <col min="11531" max="11531" width="15.44140625" style="171" customWidth="1"/>
    <col min="11532" max="11532" width="8.33203125" style="171" bestFit="1" customWidth="1"/>
    <col min="11533" max="11533" width="9.109375" style="171" customWidth="1"/>
    <col min="11534" max="11534" width="6.109375" style="171" customWidth="1"/>
    <col min="11535" max="11535" width="7.6640625" style="171" customWidth="1"/>
    <col min="11536" max="11541" width="15.44140625" style="171" customWidth="1"/>
    <col min="11542" max="11542" width="8.5546875" style="171" customWidth="1"/>
    <col min="11543" max="11547" width="0" style="171" hidden="1" customWidth="1"/>
    <col min="11548" max="11548" width="6.88671875" style="171" customWidth="1"/>
    <col min="11549" max="11549" width="5.6640625" style="171" customWidth="1"/>
    <col min="11550" max="11550" width="7" style="171" customWidth="1"/>
    <col min="11551" max="11551" width="15.44140625" style="171" customWidth="1"/>
    <col min="11552" max="11552" width="9.44140625" style="171" customWidth="1"/>
    <col min="11553" max="11553" width="15.44140625" style="171" customWidth="1"/>
    <col min="11554" max="11554" width="9.5546875" style="171" customWidth="1"/>
    <col min="11555" max="11555" width="9.44140625" style="171" customWidth="1"/>
    <col min="11556" max="11556" width="15.44140625" style="171" customWidth="1"/>
    <col min="11557" max="11557" width="0" style="171" hidden="1" customWidth="1"/>
    <col min="11558" max="11776" width="0" style="171" hidden="1"/>
    <col min="11777" max="11777" width="6.88671875" style="171" customWidth="1"/>
    <col min="11778" max="11778" width="5.6640625" style="171" customWidth="1"/>
    <col min="11779" max="11779" width="7" style="171" customWidth="1"/>
    <col min="11780" max="11782" width="15.44140625" style="171" customWidth="1"/>
    <col min="11783" max="11783" width="9.44140625" style="171" customWidth="1"/>
    <col min="11784" max="11784" width="15.44140625" style="171" customWidth="1"/>
    <col min="11785" max="11785" width="9.5546875" style="171" customWidth="1"/>
    <col min="11786" max="11786" width="9.44140625" style="171" customWidth="1"/>
    <col min="11787" max="11787" width="15.44140625" style="171" customWidth="1"/>
    <col min="11788" max="11788" width="8.33203125" style="171" bestFit="1" customWidth="1"/>
    <col min="11789" max="11789" width="9.109375" style="171" customWidth="1"/>
    <col min="11790" max="11790" width="6.109375" style="171" customWidth="1"/>
    <col min="11791" max="11791" width="7.6640625" style="171" customWidth="1"/>
    <col min="11792" max="11797" width="15.44140625" style="171" customWidth="1"/>
    <col min="11798" max="11798" width="8.5546875" style="171" customWidth="1"/>
    <col min="11799" max="11803" width="0" style="171" hidden="1" customWidth="1"/>
    <col min="11804" max="11804" width="6.88671875" style="171" customWidth="1"/>
    <col min="11805" max="11805" width="5.6640625" style="171" customWidth="1"/>
    <col min="11806" max="11806" width="7" style="171" customWidth="1"/>
    <col min="11807" max="11807" width="15.44140625" style="171" customWidth="1"/>
    <col min="11808" max="11808" width="9.44140625" style="171" customWidth="1"/>
    <col min="11809" max="11809" width="15.44140625" style="171" customWidth="1"/>
    <col min="11810" max="11810" width="9.5546875" style="171" customWidth="1"/>
    <col min="11811" max="11811" width="9.44140625" style="171" customWidth="1"/>
    <col min="11812" max="11812" width="15.44140625" style="171" customWidth="1"/>
    <col min="11813" max="11813" width="0" style="171" hidden="1" customWidth="1"/>
    <col min="11814" max="12032" width="0" style="171" hidden="1"/>
    <col min="12033" max="12033" width="6.88671875" style="171" customWidth="1"/>
    <col min="12034" max="12034" width="5.6640625" style="171" customWidth="1"/>
    <col min="12035" max="12035" width="7" style="171" customWidth="1"/>
    <col min="12036" max="12038" width="15.44140625" style="171" customWidth="1"/>
    <col min="12039" max="12039" width="9.44140625" style="171" customWidth="1"/>
    <col min="12040" max="12040" width="15.44140625" style="171" customWidth="1"/>
    <col min="12041" max="12041" width="9.5546875" style="171" customWidth="1"/>
    <col min="12042" max="12042" width="9.44140625" style="171" customWidth="1"/>
    <col min="12043" max="12043" width="15.44140625" style="171" customWidth="1"/>
    <col min="12044" max="12044" width="8.33203125" style="171" bestFit="1" customWidth="1"/>
    <col min="12045" max="12045" width="9.109375" style="171" customWidth="1"/>
    <col min="12046" max="12046" width="6.109375" style="171" customWidth="1"/>
    <col min="12047" max="12047" width="7.6640625" style="171" customWidth="1"/>
    <col min="12048" max="12053" width="15.44140625" style="171" customWidth="1"/>
    <col min="12054" max="12054" width="8.5546875" style="171" customWidth="1"/>
    <col min="12055" max="12059" width="0" style="171" hidden="1" customWidth="1"/>
    <col min="12060" max="12060" width="6.88671875" style="171" customWidth="1"/>
    <col min="12061" max="12061" width="5.6640625" style="171" customWidth="1"/>
    <col min="12062" max="12062" width="7" style="171" customWidth="1"/>
    <col min="12063" max="12063" width="15.44140625" style="171" customWidth="1"/>
    <col min="12064" max="12064" width="9.44140625" style="171" customWidth="1"/>
    <col min="12065" max="12065" width="15.44140625" style="171" customWidth="1"/>
    <col min="12066" max="12066" width="9.5546875" style="171" customWidth="1"/>
    <col min="12067" max="12067" width="9.44140625" style="171" customWidth="1"/>
    <col min="12068" max="12068" width="15.44140625" style="171" customWidth="1"/>
    <col min="12069" max="12069" width="0" style="171" hidden="1" customWidth="1"/>
    <col min="12070" max="12288" width="0" style="171" hidden="1"/>
    <col min="12289" max="12289" width="6.88671875" style="171" customWidth="1"/>
    <col min="12290" max="12290" width="5.6640625" style="171" customWidth="1"/>
    <col min="12291" max="12291" width="7" style="171" customWidth="1"/>
    <col min="12292" max="12294" width="15.44140625" style="171" customWidth="1"/>
    <col min="12295" max="12295" width="9.44140625" style="171" customWidth="1"/>
    <col min="12296" max="12296" width="15.44140625" style="171" customWidth="1"/>
    <col min="12297" max="12297" width="9.5546875" style="171" customWidth="1"/>
    <col min="12298" max="12298" width="9.44140625" style="171" customWidth="1"/>
    <col min="12299" max="12299" width="15.44140625" style="171" customWidth="1"/>
    <col min="12300" max="12300" width="8.33203125" style="171" bestFit="1" customWidth="1"/>
    <col min="12301" max="12301" width="9.109375" style="171" customWidth="1"/>
    <col min="12302" max="12302" width="6.109375" style="171" customWidth="1"/>
    <col min="12303" max="12303" width="7.6640625" style="171" customWidth="1"/>
    <col min="12304" max="12309" width="15.44140625" style="171" customWidth="1"/>
    <col min="12310" max="12310" width="8.5546875" style="171" customWidth="1"/>
    <col min="12311" max="12315" width="0" style="171" hidden="1" customWidth="1"/>
    <col min="12316" max="12316" width="6.88671875" style="171" customWidth="1"/>
    <col min="12317" max="12317" width="5.6640625" style="171" customWidth="1"/>
    <col min="12318" max="12318" width="7" style="171" customWidth="1"/>
    <col min="12319" max="12319" width="15.44140625" style="171" customWidth="1"/>
    <col min="12320" max="12320" width="9.44140625" style="171" customWidth="1"/>
    <col min="12321" max="12321" width="15.44140625" style="171" customWidth="1"/>
    <col min="12322" max="12322" width="9.5546875" style="171" customWidth="1"/>
    <col min="12323" max="12323" width="9.44140625" style="171" customWidth="1"/>
    <col min="12324" max="12324" width="15.44140625" style="171" customWidth="1"/>
    <col min="12325" max="12325" width="0" style="171" hidden="1" customWidth="1"/>
    <col min="12326" max="12544" width="0" style="171" hidden="1"/>
    <col min="12545" max="12545" width="6.88671875" style="171" customWidth="1"/>
    <col min="12546" max="12546" width="5.6640625" style="171" customWidth="1"/>
    <col min="12547" max="12547" width="7" style="171" customWidth="1"/>
    <col min="12548" max="12550" width="15.44140625" style="171" customWidth="1"/>
    <col min="12551" max="12551" width="9.44140625" style="171" customWidth="1"/>
    <col min="12552" max="12552" width="15.44140625" style="171" customWidth="1"/>
    <col min="12553" max="12553" width="9.5546875" style="171" customWidth="1"/>
    <col min="12554" max="12554" width="9.44140625" style="171" customWidth="1"/>
    <col min="12555" max="12555" width="15.44140625" style="171" customWidth="1"/>
    <col min="12556" max="12556" width="8.33203125" style="171" bestFit="1" customWidth="1"/>
    <col min="12557" max="12557" width="9.109375" style="171" customWidth="1"/>
    <col min="12558" max="12558" width="6.109375" style="171" customWidth="1"/>
    <col min="12559" max="12559" width="7.6640625" style="171" customWidth="1"/>
    <col min="12560" max="12565" width="15.44140625" style="171" customWidth="1"/>
    <col min="12566" max="12566" width="8.5546875" style="171" customWidth="1"/>
    <col min="12567" max="12571" width="0" style="171" hidden="1" customWidth="1"/>
    <col min="12572" max="12572" width="6.88671875" style="171" customWidth="1"/>
    <col min="12573" max="12573" width="5.6640625" style="171" customWidth="1"/>
    <col min="12574" max="12574" width="7" style="171" customWidth="1"/>
    <col min="12575" max="12575" width="15.44140625" style="171" customWidth="1"/>
    <col min="12576" max="12576" width="9.44140625" style="171" customWidth="1"/>
    <col min="12577" max="12577" width="15.44140625" style="171" customWidth="1"/>
    <col min="12578" max="12578" width="9.5546875" style="171" customWidth="1"/>
    <col min="12579" max="12579" width="9.44140625" style="171" customWidth="1"/>
    <col min="12580" max="12580" width="15.44140625" style="171" customWidth="1"/>
    <col min="12581" max="12581" width="0" style="171" hidden="1" customWidth="1"/>
    <col min="12582" max="12800" width="0" style="171" hidden="1"/>
    <col min="12801" max="12801" width="6.88671875" style="171" customWidth="1"/>
    <col min="12802" max="12802" width="5.6640625" style="171" customWidth="1"/>
    <col min="12803" max="12803" width="7" style="171" customWidth="1"/>
    <col min="12804" max="12806" width="15.44140625" style="171" customWidth="1"/>
    <col min="12807" max="12807" width="9.44140625" style="171" customWidth="1"/>
    <col min="12808" max="12808" width="15.44140625" style="171" customWidth="1"/>
    <col min="12809" max="12809" width="9.5546875" style="171" customWidth="1"/>
    <col min="12810" max="12810" width="9.44140625" style="171" customWidth="1"/>
    <col min="12811" max="12811" width="15.44140625" style="171" customWidth="1"/>
    <col min="12812" max="12812" width="8.33203125" style="171" bestFit="1" customWidth="1"/>
    <col min="12813" max="12813" width="9.109375" style="171" customWidth="1"/>
    <col min="12814" max="12814" width="6.109375" style="171" customWidth="1"/>
    <col min="12815" max="12815" width="7.6640625" style="171" customWidth="1"/>
    <col min="12816" max="12821" width="15.44140625" style="171" customWidth="1"/>
    <col min="12822" max="12822" width="8.5546875" style="171" customWidth="1"/>
    <col min="12823" max="12827" width="0" style="171" hidden="1" customWidth="1"/>
    <col min="12828" max="12828" width="6.88671875" style="171" customWidth="1"/>
    <col min="12829" max="12829" width="5.6640625" style="171" customWidth="1"/>
    <col min="12830" max="12830" width="7" style="171" customWidth="1"/>
    <col min="12831" max="12831" width="15.44140625" style="171" customWidth="1"/>
    <col min="12832" max="12832" width="9.44140625" style="171" customWidth="1"/>
    <col min="12833" max="12833" width="15.44140625" style="171" customWidth="1"/>
    <col min="12834" max="12834" width="9.5546875" style="171" customWidth="1"/>
    <col min="12835" max="12835" width="9.44140625" style="171" customWidth="1"/>
    <col min="12836" max="12836" width="15.44140625" style="171" customWidth="1"/>
    <col min="12837" max="12837" width="0" style="171" hidden="1" customWidth="1"/>
    <col min="12838" max="13056" width="0" style="171" hidden="1"/>
    <col min="13057" max="13057" width="6.88671875" style="171" customWidth="1"/>
    <col min="13058" max="13058" width="5.6640625" style="171" customWidth="1"/>
    <col min="13059" max="13059" width="7" style="171" customWidth="1"/>
    <col min="13060" max="13062" width="15.44140625" style="171" customWidth="1"/>
    <col min="13063" max="13063" width="9.44140625" style="171" customWidth="1"/>
    <col min="13064" max="13064" width="15.44140625" style="171" customWidth="1"/>
    <col min="13065" max="13065" width="9.5546875" style="171" customWidth="1"/>
    <col min="13066" max="13066" width="9.44140625" style="171" customWidth="1"/>
    <col min="13067" max="13067" width="15.44140625" style="171" customWidth="1"/>
    <col min="13068" max="13068" width="8.33203125" style="171" bestFit="1" customWidth="1"/>
    <col min="13069" max="13069" width="9.109375" style="171" customWidth="1"/>
    <col min="13070" max="13070" width="6.109375" style="171" customWidth="1"/>
    <col min="13071" max="13071" width="7.6640625" style="171" customWidth="1"/>
    <col min="13072" max="13077" width="15.44140625" style="171" customWidth="1"/>
    <col min="13078" max="13078" width="8.5546875" style="171" customWidth="1"/>
    <col min="13079" max="13083" width="0" style="171" hidden="1" customWidth="1"/>
    <col min="13084" max="13084" width="6.88671875" style="171" customWidth="1"/>
    <col min="13085" max="13085" width="5.6640625" style="171" customWidth="1"/>
    <col min="13086" max="13086" width="7" style="171" customWidth="1"/>
    <col min="13087" max="13087" width="15.44140625" style="171" customWidth="1"/>
    <col min="13088" max="13088" width="9.44140625" style="171" customWidth="1"/>
    <col min="13089" max="13089" width="15.44140625" style="171" customWidth="1"/>
    <col min="13090" max="13090" width="9.5546875" style="171" customWidth="1"/>
    <col min="13091" max="13091" width="9.44140625" style="171" customWidth="1"/>
    <col min="13092" max="13092" width="15.44140625" style="171" customWidth="1"/>
    <col min="13093" max="13093" width="0" style="171" hidden="1" customWidth="1"/>
    <col min="13094" max="13312" width="0" style="171" hidden="1"/>
    <col min="13313" max="13313" width="6.88671875" style="171" customWidth="1"/>
    <col min="13314" max="13314" width="5.6640625" style="171" customWidth="1"/>
    <col min="13315" max="13315" width="7" style="171" customWidth="1"/>
    <col min="13316" max="13318" width="15.44140625" style="171" customWidth="1"/>
    <col min="13319" max="13319" width="9.44140625" style="171" customWidth="1"/>
    <col min="13320" max="13320" width="15.44140625" style="171" customWidth="1"/>
    <col min="13321" max="13321" width="9.5546875" style="171" customWidth="1"/>
    <col min="13322" max="13322" width="9.44140625" style="171" customWidth="1"/>
    <col min="13323" max="13323" width="15.44140625" style="171" customWidth="1"/>
    <col min="13324" max="13324" width="8.33203125" style="171" bestFit="1" customWidth="1"/>
    <col min="13325" max="13325" width="9.109375" style="171" customWidth="1"/>
    <col min="13326" max="13326" width="6.109375" style="171" customWidth="1"/>
    <col min="13327" max="13327" width="7.6640625" style="171" customWidth="1"/>
    <col min="13328" max="13333" width="15.44140625" style="171" customWidth="1"/>
    <col min="13334" max="13334" width="8.5546875" style="171" customWidth="1"/>
    <col min="13335" max="13339" width="0" style="171" hidden="1" customWidth="1"/>
    <col min="13340" max="13340" width="6.88671875" style="171" customWidth="1"/>
    <col min="13341" max="13341" width="5.6640625" style="171" customWidth="1"/>
    <col min="13342" max="13342" width="7" style="171" customWidth="1"/>
    <col min="13343" max="13343" width="15.44140625" style="171" customWidth="1"/>
    <col min="13344" max="13344" width="9.44140625" style="171" customWidth="1"/>
    <col min="13345" max="13345" width="15.44140625" style="171" customWidth="1"/>
    <col min="13346" max="13346" width="9.5546875" style="171" customWidth="1"/>
    <col min="13347" max="13347" width="9.44140625" style="171" customWidth="1"/>
    <col min="13348" max="13348" width="15.44140625" style="171" customWidth="1"/>
    <col min="13349" max="13349" width="0" style="171" hidden="1" customWidth="1"/>
    <col min="13350" max="13568" width="0" style="171" hidden="1"/>
    <col min="13569" max="13569" width="6.88671875" style="171" customWidth="1"/>
    <col min="13570" max="13570" width="5.6640625" style="171" customWidth="1"/>
    <col min="13571" max="13571" width="7" style="171" customWidth="1"/>
    <col min="13572" max="13574" width="15.44140625" style="171" customWidth="1"/>
    <col min="13575" max="13575" width="9.44140625" style="171" customWidth="1"/>
    <col min="13576" max="13576" width="15.44140625" style="171" customWidth="1"/>
    <col min="13577" max="13577" width="9.5546875" style="171" customWidth="1"/>
    <col min="13578" max="13578" width="9.44140625" style="171" customWidth="1"/>
    <col min="13579" max="13579" width="15.44140625" style="171" customWidth="1"/>
    <col min="13580" max="13580" width="8.33203125" style="171" bestFit="1" customWidth="1"/>
    <col min="13581" max="13581" width="9.109375" style="171" customWidth="1"/>
    <col min="13582" max="13582" width="6.109375" style="171" customWidth="1"/>
    <col min="13583" max="13583" width="7.6640625" style="171" customWidth="1"/>
    <col min="13584" max="13589" width="15.44140625" style="171" customWidth="1"/>
    <col min="13590" max="13590" width="8.5546875" style="171" customWidth="1"/>
    <col min="13591" max="13595" width="0" style="171" hidden="1" customWidth="1"/>
    <col min="13596" max="13596" width="6.88671875" style="171" customWidth="1"/>
    <col min="13597" max="13597" width="5.6640625" style="171" customWidth="1"/>
    <col min="13598" max="13598" width="7" style="171" customWidth="1"/>
    <col min="13599" max="13599" width="15.44140625" style="171" customWidth="1"/>
    <col min="13600" max="13600" width="9.44140625" style="171" customWidth="1"/>
    <col min="13601" max="13601" width="15.44140625" style="171" customWidth="1"/>
    <col min="13602" max="13602" width="9.5546875" style="171" customWidth="1"/>
    <col min="13603" max="13603" width="9.44140625" style="171" customWidth="1"/>
    <col min="13604" max="13604" width="15.44140625" style="171" customWidth="1"/>
    <col min="13605" max="13605" width="0" style="171" hidden="1" customWidth="1"/>
    <col min="13606" max="13824" width="0" style="171" hidden="1"/>
    <col min="13825" max="13825" width="6.88671875" style="171" customWidth="1"/>
    <col min="13826" max="13826" width="5.6640625" style="171" customWidth="1"/>
    <col min="13827" max="13827" width="7" style="171" customWidth="1"/>
    <col min="13828" max="13830" width="15.44140625" style="171" customWidth="1"/>
    <col min="13831" max="13831" width="9.44140625" style="171" customWidth="1"/>
    <col min="13832" max="13832" width="15.44140625" style="171" customWidth="1"/>
    <col min="13833" max="13833" width="9.5546875" style="171" customWidth="1"/>
    <col min="13834" max="13834" width="9.44140625" style="171" customWidth="1"/>
    <col min="13835" max="13835" width="15.44140625" style="171" customWidth="1"/>
    <col min="13836" max="13836" width="8.33203125" style="171" bestFit="1" customWidth="1"/>
    <col min="13837" max="13837" width="9.109375" style="171" customWidth="1"/>
    <col min="13838" max="13838" width="6.109375" style="171" customWidth="1"/>
    <col min="13839" max="13839" width="7.6640625" style="171" customWidth="1"/>
    <col min="13840" max="13845" width="15.44140625" style="171" customWidth="1"/>
    <col min="13846" max="13846" width="8.5546875" style="171" customWidth="1"/>
    <col min="13847" max="13851" width="0" style="171" hidden="1" customWidth="1"/>
    <col min="13852" max="13852" width="6.88671875" style="171" customWidth="1"/>
    <col min="13853" max="13853" width="5.6640625" style="171" customWidth="1"/>
    <col min="13854" max="13854" width="7" style="171" customWidth="1"/>
    <col min="13855" max="13855" width="15.44140625" style="171" customWidth="1"/>
    <col min="13856" max="13856" width="9.44140625" style="171" customWidth="1"/>
    <col min="13857" max="13857" width="15.44140625" style="171" customWidth="1"/>
    <col min="13858" max="13858" width="9.5546875" style="171" customWidth="1"/>
    <col min="13859" max="13859" width="9.44140625" style="171" customWidth="1"/>
    <col min="13860" max="13860" width="15.44140625" style="171" customWidth="1"/>
    <col min="13861" max="13861" width="0" style="171" hidden="1" customWidth="1"/>
    <col min="13862" max="14080" width="0" style="171" hidden="1"/>
    <col min="14081" max="14081" width="6.88671875" style="171" customWidth="1"/>
    <col min="14082" max="14082" width="5.6640625" style="171" customWidth="1"/>
    <col min="14083" max="14083" width="7" style="171" customWidth="1"/>
    <col min="14084" max="14086" width="15.44140625" style="171" customWidth="1"/>
    <col min="14087" max="14087" width="9.44140625" style="171" customWidth="1"/>
    <col min="14088" max="14088" width="15.44140625" style="171" customWidth="1"/>
    <col min="14089" max="14089" width="9.5546875" style="171" customWidth="1"/>
    <col min="14090" max="14090" width="9.44140625" style="171" customWidth="1"/>
    <col min="14091" max="14091" width="15.44140625" style="171" customWidth="1"/>
    <col min="14092" max="14092" width="8.33203125" style="171" bestFit="1" customWidth="1"/>
    <col min="14093" max="14093" width="9.109375" style="171" customWidth="1"/>
    <col min="14094" max="14094" width="6.109375" style="171" customWidth="1"/>
    <col min="14095" max="14095" width="7.6640625" style="171" customWidth="1"/>
    <col min="14096" max="14101" width="15.44140625" style="171" customWidth="1"/>
    <col min="14102" max="14102" width="8.5546875" style="171" customWidth="1"/>
    <col min="14103" max="14107" width="0" style="171" hidden="1" customWidth="1"/>
    <col min="14108" max="14108" width="6.88671875" style="171" customWidth="1"/>
    <col min="14109" max="14109" width="5.6640625" style="171" customWidth="1"/>
    <col min="14110" max="14110" width="7" style="171" customWidth="1"/>
    <col min="14111" max="14111" width="15.44140625" style="171" customWidth="1"/>
    <col min="14112" max="14112" width="9.44140625" style="171" customWidth="1"/>
    <col min="14113" max="14113" width="15.44140625" style="171" customWidth="1"/>
    <col min="14114" max="14114" width="9.5546875" style="171" customWidth="1"/>
    <col min="14115" max="14115" width="9.44140625" style="171" customWidth="1"/>
    <col min="14116" max="14116" width="15.44140625" style="171" customWidth="1"/>
    <col min="14117" max="14117" width="0" style="171" hidden="1" customWidth="1"/>
    <col min="14118" max="14336" width="0" style="171" hidden="1"/>
    <col min="14337" max="14337" width="6.88671875" style="171" customWidth="1"/>
    <col min="14338" max="14338" width="5.6640625" style="171" customWidth="1"/>
    <col min="14339" max="14339" width="7" style="171" customWidth="1"/>
    <col min="14340" max="14342" width="15.44140625" style="171" customWidth="1"/>
    <col min="14343" max="14343" width="9.44140625" style="171" customWidth="1"/>
    <col min="14344" max="14344" width="15.44140625" style="171" customWidth="1"/>
    <col min="14345" max="14345" width="9.5546875" style="171" customWidth="1"/>
    <col min="14346" max="14346" width="9.44140625" style="171" customWidth="1"/>
    <col min="14347" max="14347" width="15.44140625" style="171" customWidth="1"/>
    <col min="14348" max="14348" width="8.33203125" style="171" bestFit="1" customWidth="1"/>
    <col min="14349" max="14349" width="9.109375" style="171" customWidth="1"/>
    <col min="14350" max="14350" width="6.109375" style="171" customWidth="1"/>
    <col min="14351" max="14351" width="7.6640625" style="171" customWidth="1"/>
    <col min="14352" max="14357" width="15.44140625" style="171" customWidth="1"/>
    <col min="14358" max="14358" width="8.5546875" style="171" customWidth="1"/>
    <col min="14359" max="14363" width="0" style="171" hidden="1" customWidth="1"/>
    <col min="14364" max="14364" width="6.88671875" style="171" customWidth="1"/>
    <col min="14365" max="14365" width="5.6640625" style="171" customWidth="1"/>
    <col min="14366" max="14366" width="7" style="171" customWidth="1"/>
    <col min="14367" max="14367" width="15.44140625" style="171" customWidth="1"/>
    <col min="14368" max="14368" width="9.44140625" style="171" customWidth="1"/>
    <col min="14369" max="14369" width="15.44140625" style="171" customWidth="1"/>
    <col min="14370" max="14370" width="9.5546875" style="171" customWidth="1"/>
    <col min="14371" max="14371" width="9.44140625" style="171" customWidth="1"/>
    <col min="14372" max="14372" width="15.44140625" style="171" customWidth="1"/>
    <col min="14373" max="14373" width="0" style="171" hidden="1" customWidth="1"/>
    <col min="14374" max="14592" width="0" style="171" hidden="1"/>
    <col min="14593" max="14593" width="6.88671875" style="171" customWidth="1"/>
    <col min="14594" max="14594" width="5.6640625" style="171" customWidth="1"/>
    <col min="14595" max="14595" width="7" style="171" customWidth="1"/>
    <col min="14596" max="14598" width="15.44140625" style="171" customWidth="1"/>
    <col min="14599" max="14599" width="9.44140625" style="171" customWidth="1"/>
    <col min="14600" max="14600" width="15.44140625" style="171" customWidth="1"/>
    <col min="14601" max="14601" width="9.5546875" style="171" customWidth="1"/>
    <col min="14602" max="14602" width="9.44140625" style="171" customWidth="1"/>
    <col min="14603" max="14603" width="15.44140625" style="171" customWidth="1"/>
    <col min="14604" max="14604" width="8.33203125" style="171" bestFit="1" customWidth="1"/>
    <col min="14605" max="14605" width="9.109375" style="171" customWidth="1"/>
    <col min="14606" max="14606" width="6.109375" style="171" customWidth="1"/>
    <col min="14607" max="14607" width="7.6640625" style="171" customWidth="1"/>
    <col min="14608" max="14613" width="15.44140625" style="171" customWidth="1"/>
    <col min="14614" max="14614" width="8.5546875" style="171" customWidth="1"/>
    <col min="14615" max="14619" width="0" style="171" hidden="1" customWidth="1"/>
    <col min="14620" max="14620" width="6.88671875" style="171" customWidth="1"/>
    <col min="14621" max="14621" width="5.6640625" style="171" customWidth="1"/>
    <col min="14622" max="14622" width="7" style="171" customWidth="1"/>
    <col min="14623" max="14623" width="15.44140625" style="171" customWidth="1"/>
    <col min="14624" max="14624" width="9.44140625" style="171" customWidth="1"/>
    <col min="14625" max="14625" width="15.44140625" style="171" customWidth="1"/>
    <col min="14626" max="14626" width="9.5546875" style="171" customWidth="1"/>
    <col min="14627" max="14627" width="9.44140625" style="171" customWidth="1"/>
    <col min="14628" max="14628" width="15.44140625" style="171" customWidth="1"/>
    <col min="14629" max="14629" width="0" style="171" hidden="1" customWidth="1"/>
    <col min="14630" max="14848" width="0" style="171" hidden="1"/>
    <col min="14849" max="14849" width="6.88671875" style="171" customWidth="1"/>
    <col min="14850" max="14850" width="5.6640625" style="171" customWidth="1"/>
    <col min="14851" max="14851" width="7" style="171" customWidth="1"/>
    <col min="14852" max="14854" width="15.44140625" style="171" customWidth="1"/>
    <col min="14855" max="14855" width="9.44140625" style="171" customWidth="1"/>
    <col min="14856" max="14856" width="15.44140625" style="171" customWidth="1"/>
    <col min="14857" max="14857" width="9.5546875" style="171" customWidth="1"/>
    <col min="14858" max="14858" width="9.44140625" style="171" customWidth="1"/>
    <col min="14859" max="14859" width="15.44140625" style="171" customWidth="1"/>
    <col min="14860" max="14860" width="8.33203125" style="171" bestFit="1" customWidth="1"/>
    <col min="14861" max="14861" width="9.109375" style="171" customWidth="1"/>
    <col min="14862" max="14862" width="6.109375" style="171" customWidth="1"/>
    <col min="14863" max="14863" width="7.6640625" style="171" customWidth="1"/>
    <col min="14864" max="14869" width="15.44140625" style="171" customWidth="1"/>
    <col min="14870" max="14870" width="8.5546875" style="171" customWidth="1"/>
    <col min="14871" max="14875" width="0" style="171" hidden="1" customWidth="1"/>
    <col min="14876" max="14876" width="6.88671875" style="171" customWidth="1"/>
    <col min="14877" max="14877" width="5.6640625" style="171" customWidth="1"/>
    <col min="14878" max="14878" width="7" style="171" customWidth="1"/>
    <col min="14879" max="14879" width="15.44140625" style="171" customWidth="1"/>
    <col min="14880" max="14880" width="9.44140625" style="171" customWidth="1"/>
    <col min="14881" max="14881" width="15.44140625" style="171" customWidth="1"/>
    <col min="14882" max="14882" width="9.5546875" style="171" customWidth="1"/>
    <col min="14883" max="14883" width="9.44140625" style="171" customWidth="1"/>
    <col min="14884" max="14884" width="15.44140625" style="171" customWidth="1"/>
    <col min="14885" max="14885" width="0" style="171" hidden="1" customWidth="1"/>
    <col min="14886" max="15104" width="0" style="171" hidden="1"/>
    <col min="15105" max="15105" width="6.88671875" style="171" customWidth="1"/>
    <col min="15106" max="15106" width="5.6640625" style="171" customWidth="1"/>
    <col min="15107" max="15107" width="7" style="171" customWidth="1"/>
    <col min="15108" max="15110" width="15.44140625" style="171" customWidth="1"/>
    <col min="15111" max="15111" width="9.44140625" style="171" customWidth="1"/>
    <col min="15112" max="15112" width="15.44140625" style="171" customWidth="1"/>
    <col min="15113" max="15113" width="9.5546875" style="171" customWidth="1"/>
    <col min="15114" max="15114" width="9.44140625" style="171" customWidth="1"/>
    <col min="15115" max="15115" width="15.44140625" style="171" customWidth="1"/>
    <col min="15116" max="15116" width="8.33203125" style="171" bestFit="1" customWidth="1"/>
    <col min="15117" max="15117" width="9.109375" style="171" customWidth="1"/>
    <col min="15118" max="15118" width="6.109375" style="171" customWidth="1"/>
    <col min="15119" max="15119" width="7.6640625" style="171" customWidth="1"/>
    <col min="15120" max="15125" width="15.44140625" style="171" customWidth="1"/>
    <col min="15126" max="15126" width="8.5546875" style="171" customWidth="1"/>
    <col min="15127" max="15131" width="0" style="171" hidden="1" customWidth="1"/>
    <col min="15132" max="15132" width="6.88671875" style="171" customWidth="1"/>
    <col min="15133" max="15133" width="5.6640625" style="171" customWidth="1"/>
    <col min="15134" max="15134" width="7" style="171" customWidth="1"/>
    <col min="15135" max="15135" width="15.44140625" style="171" customWidth="1"/>
    <col min="15136" max="15136" width="9.44140625" style="171" customWidth="1"/>
    <col min="15137" max="15137" width="15.44140625" style="171" customWidth="1"/>
    <col min="15138" max="15138" width="9.5546875" style="171" customWidth="1"/>
    <col min="15139" max="15139" width="9.44140625" style="171" customWidth="1"/>
    <col min="15140" max="15140" width="15.44140625" style="171" customWidth="1"/>
    <col min="15141" max="15141" width="0" style="171" hidden="1" customWidth="1"/>
    <col min="15142" max="15360" width="0" style="171" hidden="1"/>
    <col min="15361" max="15361" width="6.88671875" style="171" customWidth="1"/>
    <col min="15362" max="15362" width="5.6640625" style="171" customWidth="1"/>
    <col min="15363" max="15363" width="7" style="171" customWidth="1"/>
    <col min="15364" max="15366" width="15.44140625" style="171" customWidth="1"/>
    <col min="15367" max="15367" width="9.44140625" style="171" customWidth="1"/>
    <col min="15368" max="15368" width="15.44140625" style="171" customWidth="1"/>
    <col min="15369" max="15369" width="9.5546875" style="171" customWidth="1"/>
    <col min="15370" max="15370" width="9.44140625" style="171" customWidth="1"/>
    <col min="15371" max="15371" width="15.44140625" style="171" customWidth="1"/>
    <col min="15372" max="15372" width="8.33203125" style="171" bestFit="1" customWidth="1"/>
    <col min="15373" max="15373" width="9.109375" style="171" customWidth="1"/>
    <col min="15374" max="15374" width="6.109375" style="171" customWidth="1"/>
    <col min="15375" max="15375" width="7.6640625" style="171" customWidth="1"/>
    <col min="15376" max="15381" width="15.44140625" style="171" customWidth="1"/>
    <col min="15382" max="15382" width="8.5546875" style="171" customWidth="1"/>
    <col min="15383" max="15387" width="0" style="171" hidden="1" customWidth="1"/>
    <col min="15388" max="15388" width="6.88671875" style="171" customWidth="1"/>
    <col min="15389" max="15389" width="5.6640625" style="171" customWidth="1"/>
    <col min="15390" max="15390" width="7" style="171" customWidth="1"/>
    <col min="15391" max="15391" width="15.44140625" style="171" customWidth="1"/>
    <col min="15392" max="15392" width="9.44140625" style="171" customWidth="1"/>
    <col min="15393" max="15393" width="15.44140625" style="171" customWidth="1"/>
    <col min="15394" max="15394" width="9.5546875" style="171" customWidth="1"/>
    <col min="15395" max="15395" width="9.44140625" style="171" customWidth="1"/>
    <col min="15396" max="15396" width="15.44140625" style="171" customWidth="1"/>
    <col min="15397" max="15397" width="0" style="171" hidden="1" customWidth="1"/>
    <col min="15398" max="15616" width="0" style="171" hidden="1"/>
    <col min="15617" max="15617" width="6.88671875" style="171" customWidth="1"/>
    <col min="15618" max="15618" width="5.6640625" style="171" customWidth="1"/>
    <col min="15619" max="15619" width="7" style="171" customWidth="1"/>
    <col min="15620" max="15622" width="15.44140625" style="171" customWidth="1"/>
    <col min="15623" max="15623" width="9.44140625" style="171" customWidth="1"/>
    <col min="15624" max="15624" width="15.44140625" style="171" customWidth="1"/>
    <col min="15625" max="15625" width="9.5546875" style="171" customWidth="1"/>
    <col min="15626" max="15626" width="9.44140625" style="171" customWidth="1"/>
    <col min="15627" max="15627" width="15.44140625" style="171" customWidth="1"/>
    <col min="15628" max="15628" width="8.33203125" style="171" bestFit="1" customWidth="1"/>
    <col min="15629" max="15629" width="9.109375" style="171" customWidth="1"/>
    <col min="15630" max="15630" width="6.109375" style="171" customWidth="1"/>
    <col min="15631" max="15631" width="7.6640625" style="171" customWidth="1"/>
    <col min="15632" max="15637" width="15.44140625" style="171" customWidth="1"/>
    <col min="15638" max="15638" width="8.5546875" style="171" customWidth="1"/>
    <col min="15639" max="15643" width="0" style="171" hidden="1" customWidth="1"/>
    <col min="15644" max="15644" width="6.88671875" style="171" customWidth="1"/>
    <col min="15645" max="15645" width="5.6640625" style="171" customWidth="1"/>
    <col min="15646" max="15646" width="7" style="171" customWidth="1"/>
    <col min="15647" max="15647" width="15.44140625" style="171" customWidth="1"/>
    <col min="15648" max="15648" width="9.44140625" style="171" customWidth="1"/>
    <col min="15649" max="15649" width="15.44140625" style="171" customWidth="1"/>
    <col min="15650" max="15650" width="9.5546875" style="171" customWidth="1"/>
    <col min="15651" max="15651" width="9.44140625" style="171" customWidth="1"/>
    <col min="15652" max="15652" width="15.44140625" style="171" customWidth="1"/>
    <col min="15653" max="15653" width="0" style="171" hidden="1" customWidth="1"/>
    <col min="15654" max="15872" width="0" style="171" hidden="1"/>
    <col min="15873" max="15873" width="6.88671875" style="171" customWidth="1"/>
    <col min="15874" max="15874" width="5.6640625" style="171" customWidth="1"/>
    <col min="15875" max="15875" width="7" style="171" customWidth="1"/>
    <col min="15876" max="15878" width="15.44140625" style="171" customWidth="1"/>
    <col min="15879" max="15879" width="9.44140625" style="171" customWidth="1"/>
    <col min="15880" max="15880" width="15.44140625" style="171" customWidth="1"/>
    <col min="15881" max="15881" width="9.5546875" style="171" customWidth="1"/>
    <col min="15882" max="15882" width="9.44140625" style="171" customWidth="1"/>
    <col min="15883" max="15883" width="15.44140625" style="171" customWidth="1"/>
    <col min="15884" max="15884" width="8.33203125" style="171" bestFit="1" customWidth="1"/>
    <col min="15885" max="15885" width="9.109375" style="171" customWidth="1"/>
    <col min="15886" max="15886" width="6.109375" style="171" customWidth="1"/>
    <col min="15887" max="15887" width="7.6640625" style="171" customWidth="1"/>
    <col min="15888" max="15893" width="15.44140625" style="171" customWidth="1"/>
    <col min="15894" max="15894" width="8.5546875" style="171" customWidth="1"/>
    <col min="15895" max="15899" width="0" style="171" hidden="1" customWidth="1"/>
    <col min="15900" max="15900" width="6.88671875" style="171" customWidth="1"/>
    <col min="15901" max="15901" width="5.6640625" style="171" customWidth="1"/>
    <col min="15902" max="15902" width="7" style="171" customWidth="1"/>
    <col min="15903" max="15903" width="15.44140625" style="171" customWidth="1"/>
    <col min="15904" max="15904" width="9.44140625" style="171" customWidth="1"/>
    <col min="15905" max="15905" width="15.44140625" style="171" customWidth="1"/>
    <col min="15906" max="15906" width="9.5546875" style="171" customWidth="1"/>
    <col min="15907" max="15907" width="9.44140625" style="171" customWidth="1"/>
    <col min="15908" max="15908" width="15.44140625" style="171" customWidth="1"/>
    <col min="15909" max="15909" width="0" style="171" hidden="1" customWidth="1"/>
    <col min="15910" max="16128" width="0" style="171" hidden="1"/>
    <col min="16129" max="16129" width="6.88671875" style="171" customWidth="1"/>
    <col min="16130" max="16130" width="5.6640625" style="171" customWidth="1"/>
    <col min="16131" max="16131" width="7" style="171" customWidth="1"/>
    <col min="16132" max="16134" width="15.44140625" style="171" customWidth="1"/>
    <col min="16135" max="16135" width="9.44140625" style="171" customWidth="1"/>
    <col min="16136" max="16136" width="15.44140625" style="171" customWidth="1"/>
    <col min="16137" max="16137" width="9.5546875" style="171" customWidth="1"/>
    <col min="16138" max="16138" width="9.44140625" style="171" customWidth="1"/>
    <col min="16139" max="16139" width="15.44140625" style="171" customWidth="1"/>
    <col min="16140" max="16140" width="8.33203125" style="171" bestFit="1" customWidth="1"/>
    <col min="16141" max="16141" width="9.109375" style="171" customWidth="1"/>
    <col min="16142" max="16142" width="6.109375" style="171" customWidth="1"/>
    <col min="16143" max="16143" width="7.6640625" style="171" customWidth="1"/>
    <col min="16144" max="16149" width="15.44140625" style="171" customWidth="1"/>
    <col min="16150" max="16150" width="8.5546875" style="171" customWidth="1"/>
    <col min="16151" max="16155" width="0" style="171" hidden="1" customWidth="1"/>
    <col min="16156" max="16156" width="6.88671875" style="171" customWidth="1"/>
    <col min="16157" max="16157" width="5.6640625" style="171" customWidth="1"/>
    <col min="16158" max="16158" width="7" style="171" customWidth="1"/>
    <col min="16159" max="16159" width="15.44140625" style="171" customWidth="1"/>
    <col min="16160" max="16160" width="9.44140625" style="171" customWidth="1"/>
    <col min="16161" max="16161" width="15.44140625" style="171" customWidth="1"/>
    <col min="16162" max="16162" width="9.5546875" style="171" customWidth="1"/>
    <col min="16163" max="16163" width="9.44140625" style="171" customWidth="1"/>
    <col min="16164" max="16164" width="15.44140625" style="171" customWidth="1"/>
    <col min="16165" max="16165" width="0" style="171" hidden="1" customWidth="1"/>
    <col min="16166" max="16384" width="0" style="171" hidden="1"/>
  </cols>
  <sheetData>
    <row r="1" spans="1:36" ht="27" customHeight="1" thickBot="1" x14ac:dyDescent="0.25">
      <c r="A1" s="169"/>
      <c r="B1" s="170"/>
      <c r="C1" s="170"/>
      <c r="D1" s="169"/>
      <c r="E1" s="169" t="s">
        <v>279</v>
      </c>
      <c r="F1" s="169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</row>
    <row r="2" spans="1:36" ht="13.2" x14ac:dyDescent="0.25">
      <c r="A2" s="172" t="str">
        <f>IF(Sheet1!D$8=1,IF(NOT(Sheet1!D$192=1), "6.  Costs and Benefits Display (    ECONOMIC ANALYSIS  -  NO STATUS QUO FORMAT    ):","6.  Costs and Benefits Display (     ECONOMIC ANALYSIS FORMAT    ):"),IF(Sheet1!D8=2,IF(NOT(Sheet1!D$192=1),"6.  Costs and Benefits Display (COST COMPARISON( NO SQ) FORMAT (complies w/policy  Oct 1996 f/ OSCR Initiatives)    ):","6.  Costs and Benefits Display (COST COMPARISON FORMAT (complies with policy amended Oct 1996 for OSCR initiatives)   ):"),IF(NOT(Sheet1!D$192=1),"6. Cost and Benefits Display (COST COMPARISON (NO SQ) FORMAT (complies with policy dated Dec 1996)    ):","6.  Cost and Benefits Display (COST COMPARISON FORMAT (complies with policy dated Dec 1996)    ):")))</f>
        <v>6.  Costs and Benefits Display (     ECONOMIC ANALYSIS FORMAT    ):</v>
      </c>
      <c r="B2" s="173"/>
      <c r="C2" s="173"/>
      <c r="D2" s="173"/>
      <c r="E2" s="174"/>
      <c r="F2" s="174"/>
      <c r="G2" s="173"/>
      <c r="H2" s="173"/>
      <c r="I2" s="175"/>
      <c r="J2" s="173"/>
      <c r="K2" s="176"/>
      <c r="L2" s="177"/>
      <c r="M2" s="178" t="s">
        <v>280</v>
      </c>
      <c r="N2" s="179"/>
      <c r="O2" s="173"/>
      <c r="P2" s="180"/>
      <c r="Q2" s="180"/>
      <c r="R2" s="180"/>
      <c r="S2" s="180"/>
      <c r="T2" s="180"/>
      <c r="U2" s="181"/>
      <c r="V2" s="182"/>
      <c r="W2" s="183"/>
      <c r="AB2" s="178" t="s">
        <v>331</v>
      </c>
      <c r="AC2" s="184"/>
      <c r="AD2" s="185"/>
      <c r="AE2" s="186"/>
      <c r="AF2" s="187"/>
      <c r="AG2" s="186"/>
      <c r="AH2" s="188"/>
      <c r="AI2" s="187"/>
      <c r="AJ2" s="189"/>
    </row>
    <row r="3" spans="1:36" ht="13.8" thickBot="1" x14ac:dyDescent="0.3">
      <c r="A3" s="190"/>
      <c r="B3" s="191" t="str">
        <f>IF(AND(Sheet1!D$8=2,Sheet1!D$22&lt;&gt;3),"(*) WARNING:  This ''COST COMPARISON  FORMAT'' only applies for ''OSCR INITIATIVES'' - USE OTHER FORMAT!!!!",IF(AND(Sheet1!D$8=3,Sheet1!D$22=3),"(*) WARNING: This ''COST COMPARISON FORMAT'' does apply for ''OSCR INITIATIVES'' - USE OTHER FORMAT!! "," "))</f>
        <v xml:space="preserve"> </v>
      </c>
      <c r="C3" s="192"/>
      <c r="D3" s="192"/>
      <c r="E3" s="193"/>
      <c r="F3" s="194"/>
      <c r="G3" s="192"/>
      <c r="H3" s="192"/>
      <c r="I3" s="192"/>
      <c r="J3" s="195"/>
      <c r="K3" s="196"/>
      <c r="L3" s="177"/>
      <c r="M3" s="197"/>
      <c r="N3" s="198"/>
      <c r="O3" s="192"/>
      <c r="P3" s="199"/>
      <c r="Q3" s="199"/>
      <c r="R3" s="199"/>
      <c r="S3" s="199"/>
      <c r="T3" s="199"/>
      <c r="U3" s="200"/>
      <c r="V3" s="182"/>
      <c r="W3" s="183"/>
      <c r="AB3" s="201" t="s">
        <v>282</v>
      </c>
      <c r="AC3" s="202"/>
      <c r="AD3" s="203"/>
      <c r="AE3" s="204"/>
      <c r="AF3" s="205"/>
      <c r="AG3" s="204"/>
      <c r="AH3" s="206"/>
      <c r="AI3" s="205"/>
      <c r="AJ3" s="207"/>
    </row>
    <row r="4" spans="1:36" ht="11.4" x14ac:dyDescent="0.2">
      <c r="A4" s="208" t="s">
        <v>283</v>
      </c>
      <c r="B4" s="208" t="s">
        <v>284</v>
      </c>
      <c r="C4" s="209"/>
      <c r="D4" s="210" t="str">
        <f>IF(Sheet1!D$192=1,"6c.","n/a.")</f>
        <v>6c.</v>
      </c>
      <c r="E4" s="210" t="str">
        <f>IF(Sheet1!D$192=1,"6d.","6c.")</f>
        <v>6d.</v>
      </c>
      <c r="F4" s="210" t="str">
        <f>IF(Sheet1!D$192=1,"6e.","n/a.")</f>
        <v>6e.</v>
      </c>
      <c r="G4" s="210" t="str">
        <f>IF(Sheet1!D$192=1,"6f.","6d.")</f>
        <v>6f.</v>
      </c>
      <c r="H4" s="210" t="str">
        <f>IF(Sheet1!D$192=1,"6g.","6e.")</f>
        <v>6g.</v>
      </c>
      <c r="I4" s="210" t="str">
        <f>IF(Sheet1!D$192=1,"6h.","6f.")</f>
        <v>6h.</v>
      </c>
      <c r="J4" s="210" t="str">
        <f>IF(Sheet1!D$192=1,"6i.","6g.")</f>
        <v>6i.</v>
      </c>
      <c r="K4" s="210" t="str">
        <f>IF(Sheet1!D$192=1,"6j.","6h.")</f>
        <v>6j.</v>
      </c>
      <c r="L4" s="177"/>
      <c r="M4" s="210" t="str">
        <f>IF(Sheet1!D$192=1,"6k.","6j.")</f>
        <v>6k.</v>
      </c>
      <c r="N4" s="210" t="str">
        <f>IF(Sheet1!D$192=1,"6l.","6k.")</f>
        <v>6l.</v>
      </c>
      <c r="O4" s="210" t="str">
        <f>IF(Sheet1!D$192=1,"6m.","6l.")</f>
        <v>6m.</v>
      </c>
      <c r="P4" s="210" t="str">
        <f>IF(Sheet1!D$192=1,"6n.","6m.")</f>
        <v>6n.</v>
      </c>
      <c r="Q4" s="210" t="str">
        <f>IF(Sheet1!D$192=1,"6o.","6n.")</f>
        <v>6o.</v>
      </c>
      <c r="R4" s="210" t="str">
        <f>IF(Sheet1!D$192=1,"6p.","6o.")</f>
        <v>6p.</v>
      </c>
      <c r="S4" s="210" t="str">
        <f>IF(Sheet1!D$192=1,"6q.","6p.")</f>
        <v>6q.</v>
      </c>
      <c r="T4" s="210" t="str">
        <f>IF(Sheet1!D$192=1,"6r.","6q.")</f>
        <v>6r.</v>
      </c>
      <c r="U4" s="210" t="str">
        <f>IF(Sheet1!D$192=1,"6s.","6r.")</f>
        <v>6s.</v>
      </c>
      <c r="V4" s="211"/>
      <c r="W4" s="212"/>
      <c r="AB4" s="208" t="s">
        <v>285</v>
      </c>
      <c r="AC4" s="208" t="s">
        <v>286</v>
      </c>
      <c r="AD4" s="209"/>
      <c r="AE4" s="210" t="str">
        <f>IF(Sheet1!D$196=1,"A3.","n/a.")</f>
        <v>n/a.</v>
      </c>
      <c r="AF4" s="210" t="str">
        <f>IF(Sheet1!D$196=1,"A4.","n/a.")</f>
        <v>n/a.</v>
      </c>
      <c r="AG4" s="210" t="str">
        <f>IF(Sheet1!D$196=1,"A5.","n/a.")</f>
        <v>n/a.</v>
      </c>
      <c r="AH4" s="210" t="str">
        <f>IF(Sheet1!D$196=1,"A6.","n/a.")</f>
        <v>n/a.</v>
      </c>
      <c r="AI4" s="210" t="str">
        <f>IF(Sheet1!D$196=1,"A7.","n/a.")</f>
        <v>n/a.</v>
      </c>
      <c r="AJ4" s="210" t="str">
        <f>IF(Sheet1!D$196=1,"A8.","n/a.")</f>
        <v>n/a.</v>
      </c>
    </row>
    <row r="5" spans="1:36" ht="12" x14ac:dyDescent="0.25">
      <c r="A5" s="213"/>
      <c r="B5" s="213"/>
      <c r="C5" s="214"/>
      <c r="D5" s="213"/>
      <c r="E5" s="215"/>
      <c r="F5" s="216" t="str">
        <f>IF(Sheet1!D$192=1,"Monetary Benefits","Costs")</f>
        <v>Monetary Benefits</v>
      </c>
      <c r="G5" s="217" t="str">
        <f>IF(OR(Sheet1!D$8=2,Sheet1!D$8=3)," ","Discount")</f>
        <v>Discount</v>
      </c>
      <c r="H5" s="215"/>
      <c r="I5" s="218" t="s">
        <v>287</v>
      </c>
      <c r="J5" s="217" t="s">
        <v>288</v>
      </c>
      <c r="K5" s="215"/>
      <c r="L5" s="219"/>
      <c r="M5" s="213"/>
      <c r="N5" s="213"/>
      <c r="O5" s="213"/>
      <c r="P5" s="220" t="str">
        <f>IF(OR(Sheet1!D$8=2,Sheet1!D$8=3,Sheet1!D$22=3),"''  Restricted ''"," ")</f>
        <v xml:space="preserve"> </v>
      </c>
      <c r="Q5" s="220" t="str">
        <f>IF(OR(Sheet1!D$8=2,Sheet1!D$8=3,Sheet1!D$22=3),"''  Restricted ''"," ")</f>
        <v xml:space="preserve"> </v>
      </c>
      <c r="R5" s="220" t="str">
        <f>IF(OR(Sheet1!D$8=2,Sheet1!D$8=3,Sheet1!D$22=3),"''  Restricted ''"," ")</f>
        <v xml:space="preserve"> </v>
      </c>
      <c r="S5" s="220" t="str">
        <f>IF(OR(Sheet1!D$8=2,Sheet1!D$8=3,Sheet1!D$22=3),"''  Restricted ''"," ")</f>
        <v xml:space="preserve"> </v>
      </c>
      <c r="T5" s="220" t="str">
        <f>IF(OR(Sheet1!D$8=2,Sheet1!D$8=3,Sheet1!D$22=3),"''  Restricted ''"," ")</f>
        <v xml:space="preserve"> </v>
      </c>
      <c r="U5" s="220" t="str">
        <f>IF(OR(Sheet1!D$8=2,Sheet1!D$8=3,Sheet1!D$22=3),"''  Restricted ''"," ")</f>
        <v xml:space="preserve"> </v>
      </c>
      <c r="V5" s="211"/>
      <c r="W5" s="212"/>
      <c r="AA5" s="220" t="str">
        <f>IF(OR(Sheet1!J$8=2,Sheet1!J$8=3,Sheet1!J$22=3),"''  Restricted ''"," ")</f>
        <v xml:space="preserve"> </v>
      </c>
      <c r="AB5" s="213"/>
      <c r="AC5" s="213"/>
      <c r="AD5" s="214"/>
      <c r="AE5" s="213"/>
      <c r="AF5" s="217" t="str">
        <f>IF(OR(Sheet1!D$8=2,Sheet1!D$8=3)," ","Discount")</f>
        <v>Discount</v>
      </c>
      <c r="AG5" s="215"/>
      <c r="AH5" s="218" t="s">
        <v>287</v>
      </c>
      <c r="AI5" s="217" t="s">
        <v>288</v>
      </c>
      <c r="AJ5" s="221" t="s">
        <v>289</v>
      </c>
    </row>
    <row r="6" spans="1:36" ht="12" x14ac:dyDescent="0.25">
      <c r="A6" s="215"/>
      <c r="B6" s="215"/>
      <c r="C6" s="222"/>
      <c r="D6" s="221" t="s">
        <v>290</v>
      </c>
      <c r="E6" s="221" t="s">
        <v>332</v>
      </c>
      <c r="F6" s="215"/>
      <c r="G6" s="223" t="str">
        <f>IF(OR(Sheet1!$D$8=2,Sheet1!D$8=3)," ","Factors")</f>
        <v>Factors</v>
      </c>
      <c r="H6" s="215"/>
      <c r="I6" s="224" t="s">
        <v>292</v>
      </c>
      <c r="J6" s="223" t="s">
        <v>293</v>
      </c>
      <c r="K6" s="215"/>
      <c r="L6" s="219"/>
      <c r="M6" s="215"/>
      <c r="N6" s="215"/>
      <c r="O6" s="216"/>
      <c r="P6" s="225" t="s">
        <v>290</v>
      </c>
      <c r="Q6" s="225" t="s">
        <v>332</v>
      </c>
      <c r="R6" s="226" t="s">
        <v>294</v>
      </c>
      <c r="S6" s="227"/>
      <c r="T6" s="227"/>
      <c r="U6" s="224" t="s">
        <v>294</v>
      </c>
      <c r="V6" s="211"/>
      <c r="W6" s="212"/>
      <c r="AA6" s="224" t="s">
        <v>295</v>
      </c>
      <c r="AB6" s="215"/>
      <c r="AC6" s="215"/>
      <c r="AD6" s="222"/>
      <c r="AE6" s="221" t="s">
        <v>332</v>
      </c>
      <c r="AF6" s="223" t="str">
        <f>IF(OR(Sheet1!D$8=2,Sheet1!D$8=3)," ","Factors")</f>
        <v>Factors</v>
      </c>
      <c r="AG6" s="215"/>
      <c r="AH6" s="224" t="s">
        <v>292</v>
      </c>
      <c r="AI6" s="223" t="s">
        <v>293</v>
      </c>
      <c r="AJ6" s="220" t="str">
        <f>IF(OR(Sheet1!D$8=2,Sheet1!D$8=3,Sheet1!D$22=3),"'' Restricted"," ")</f>
        <v xml:space="preserve"> </v>
      </c>
    </row>
    <row r="7" spans="1:36" ht="12" x14ac:dyDescent="0.25">
      <c r="A7" s="215"/>
      <c r="B7" s="215"/>
      <c r="C7" s="228"/>
      <c r="D7" s="215"/>
      <c r="E7" s="215"/>
      <c r="F7" s="216" t="str">
        <f>IF(Sheet1!D$192=1,"Operating Cost"," ")</f>
        <v>Operating Cost</v>
      </c>
      <c r="G7" s="224" t="str">
        <f>IF(OR(Sheet1!D$8=2,Sheet1!D$8=3)," ","dated")</f>
        <v>dated</v>
      </c>
      <c r="H7" s="216" t="str">
        <f>IF(Sheet1!D$192=1,"Monetary Benefits","Costs")</f>
        <v>Monetary Benefits</v>
      </c>
      <c r="I7" s="224" t="s">
        <v>296</v>
      </c>
      <c r="J7" s="224" t="s">
        <v>297</v>
      </c>
      <c r="K7" s="216" t="str">
        <f>IF(Sheet1!D$192=1,"Monetary Benefits","Costs")</f>
        <v>Monetary Benefits</v>
      </c>
      <c r="L7" s="219"/>
      <c r="M7" s="215"/>
      <c r="N7" s="215"/>
      <c r="O7" s="229"/>
      <c r="P7" s="230" t="s">
        <v>298</v>
      </c>
      <c r="Q7" s="230" t="s">
        <v>298</v>
      </c>
      <c r="R7" s="216" t="str">
        <f>IF(Sheet1!D$192=1,"Operating Cost"," ")</f>
        <v>Operating Cost</v>
      </c>
      <c r="S7" s="226" t="s">
        <v>294</v>
      </c>
      <c r="T7" s="226" t="s">
        <v>294</v>
      </c>
      <c r="U7" s="224" t="s">
        <v>299</v>
      </c>
      <c r="V7" s="211"/>
      <c r="W7" s="212"/>
      <c r="AA7" s="224" t="s">
        <v>299</v>
      </c>
      <c r="AB7" s="215"/>
      <c r="AC7" s="215"/>
      <c r="AD7" s="228"/>
      <c r="AE7" s="215"/>
      <c r="AF7" s="224" t="str">
        <f>IF(OR(Sheet1!D$8=2,Sheet1!D$8=3)," ","dated")</f>
        <v>dated</v>
      </c>
      <c r="AG7" s="221" t="s">
        <v>289</v>
      </c>
      <c r="AH7" s="224" t="s">
        <v>296</v>
      </c>
      <c r="AI7" s="224" t="s">
        <v>297</v>
      </c>
      <c r="AJ7" s="231" t="str">
        <f>IF(OR(Sheet1!D$8=2,Sheet1!D$22=3)," For OSCR PayBack''"," ")</f>
        <v xml:space="preserve"> </v>
      </c>
    </row>
    <row r="8" spans="1:36" ht="24.75" customHeight="1" x14ac:dyDescent="0.25">
      <c r="A8" s="221"/>
      <c r="B8" s="221" t="s">
        <v>300</v>
      </c>
      <c r="C8" s="232"/>
      <c r="D8" s="229" t="s">
        <v>298</v>
      </c>
      <c r="E8" s="229" t="s">
        <v>298</v>
      </c>
      <c r="F8" s="233" t="str">
        <f>IF(Sheet1!D$192=1,"Differential (Constant $'s)", "  Costs      (Constant $'s)")</f>
        <v>Differential (Constant $'s)</v>
      </c>
      <c r="G8" s="234">
        <f>IF(OR(Sheet1!D$8=2,Sheet1!D$8=3)," ",Discount!B$6)</f>
        <v>45288</v>
      </c>
      <c r="H8" s="233" t="str">
        <f>IF(OR(Sheet1!D$8=2,Sheet1!D$8=3),"(Constant $'s)","(Discounted $'s)      ( Present Value )")</f>
        <v>(Discounted $'s)      ( Present Value )</v>
      </c>
      <c r="I8" s="235">
        <f>VLOOKUP(Sheet1!D$235,Sheet1!A$232:H$239,8)</f>
        <v>2024</v>
      </c>
      <c r="J8" s="234">
        <f>VLOOKUP(Sheet1!D$235,Sheet1!A$232:H$239,6)</f>
        <v>45348</v>
      </c>
      <c r="K8" s="221" t="s">
        <v>301</v>
      </c>
      <c r="L8" s="236"/>
      <c r="M8" s="221"/>
      <c r="N8" s="221" t="s">
        <v>300</v>
      </c>
      <c r="O8" s="237"/>
      <c r="P8" s="238" t="s">
        <v>302</v>
      </c>
      <c r="Q8" s="238" t="s">
        <v>302</v>
      </c>
      <c r="R8" s="233" t="str">
        <f>IF(Sheet1!D$192=1,"Differential (Constant $'s)", "  Costs      (Constant $'s)")</f>
        <v>Differential (Constant $'s)</v>
      </c>
      <c r="S8" s="233" t="str">
        <f>IF(OR(Sheet1!D$8=2,Sheet1!D$8=3),"(Constant $'s)","(Discounted $'s)      ( Present Value )")</f>
        <v>(Discounted $'s)      ( Present Value )</v>
      </c>
      <c r="T8" s="239" t="s">
        <v>301</v>
      </c>
      <c r="U8" s="225" t="s">
        <v>301</v>
      </c>
      <c r="V8" s="240"/>
      <c r="W8" s="241" t="s">
        <v>303</v>
      </c>
      <c r="X8" s="242" t="s">
        <v>303</v>
      </c>
      <c r="Y8" s="242" t="s">
        <v>303</v>
      </c>
      <c r="Z8" s="242" t="s">
        <v>303</v>
      </c>
      <c r="AA8" s="225" t="s">
        <v>301</v>
      </c>
      <c r="AB8" s="221"/>
      <c r="AC8" s="221" t="s">
        <v>300</v>
      </c>
      <c r="AD8" s="232"/>
      <c r="AE8" s="221" t="s">
        <v>289</v>
      </c>
      <c r="AF8" s="234">
        <f>IF(OR(Sheet1!D$8=2,Sheet1!D$8=3)," ",Discount!B$6)</f>
        <v>45288</v>
      </c>
      <c r="AG8" s="233" t="str">
        <f>IF(OR(Sheet1!D$8=2,Sheet1!D$8=3),"(Constant $'s)","(Discounted $'s)      ( Present Value )")</f>
        <v>(Discounted $'s)      ( Present Value )</v>
      </c>
      <c r="AH8" s="235">
        <f>VLOOKUP(Sheet1!D$215,Sheet1!A$212:H$219,8)</f>
        <v>2024</v>
      </c>
      <c r="AI8" s="234">
        <f>VLOOKUP(Sheet1!D$215,Sheet1!A$212:H$219,6)</f>
        <v>45348</v>
      </c>
      <c r="AJ8" s="221" t="s">
        <v>301</v>
      </c>
    </row>
    <row r="9" spans="1:36" ht="12" x14ac:dyDescent="0.25">
      <c r="A9" s="221"/>
      <c r="B9" s="221"/>
      <c r="C9" s="243"/>
      <c r="D9" s="229" t="s">
        <v>304</v>
      </c>
      <c r="E9" s="229" t="s">
        <v>304</v>
      </c>
      <c r="F9" s="244" t="str">
        <f>VLOOKUP(Sheet1!D$67,Sheet1!A$66:B$68,2)</f>
        <v xml:space="preserve"> ($)</v>
      </c>
      <c r="G9" s="221"/>
      <c r="H9" s="244" t="str">
        <f>VLOOKUP(Sheet1!D$67,Sheet1!A$66:B$68,2)</f>
        <v xml:space="preserve"> ($)</v>
      </c>
      <c r="I9" s="224" t="s">
        <v>305</v>
      </c>
      <c r="J9" s="245" t="str">
        <f>VLOOKUP(Sheet1!D$235,Sheet1!A$232:H$232,7)</f>
        <v>DASA-CE</v>
      </c>
      <c r="K9" s="244" t="str">
        <f>VLOOKUP(Sheet1!D$67,Sheet1!A$66:B$68,2)</f>
        <v xml:space="preserve"> ($)</v>
      </c>
      <c r="L9" s="219"/>
      <c r="M9" s="221"/>
      <c r="N9" s="221"/>
      <c r="O9" s="215"/>
      <c r="P9" s="230" t="s">
        <v>304</v>
      </c>
      <c r="Q9" s="230" t="s">
        <v>304</v>
      </c>
      <c r="R9" s="246" t="str">
        <f>VLOOKUP(Sheet1!D$67,Sheet1!A$66:B$68,2)</f>
        <v xml:space="preserve"> ($)</v>
      </c>
      <c r="S9" s="246" t="str">
        <f>VLOOKUP(Sheet1!D$67,Sheet1!A$66:B$68,2)</f>
        <v xml:space="preserve"> ($)</v>
      </c>
      <c r="T9" s="246" t="str">
        <f>VLOOKUP(Sheet1!D$67,Sheet1!A$66:B$68,2)</f>
        <v xml:space="preserve"> ($)</v>
      </c>
      <c r="U9" s="247" t="str">
        <f>VLOOKUP(Sheet1!D$67,Sheet1!A$66:B$68,2)</f>
        <v xml:space="preserve"> ($)</v>
      </c>
      <c r="V9" s="211"/>
      <c r="W9" s="212"/>
      <c r="AA9" s="247" t="str">
        <f>VLOOKUP(Sheet1!D$67,Sheet1!A$66:B$68,2)</f>
        <v xml:space="preserve"> ($)</v>
      </c>
      <c r="AB9" s="221"/>
      <c r="AC9" s="221"/>
      <c r="AD9" s="243"/>
      <c r="AE9" s="221" t="s">
        <v>304</v>
      </c>
      <c r="AF9" s="221"/>
      <c r="AG9" s="244" t="str">
        <f>VLOOKUP(Sheet1!D$67,Sheet1!A$66:B$68,2)</f>
        <v xml:space="preserve"> ($)</v>
      </c>
      <c r="AH9" s="224" t="s">
        <v>305</v>
      </c>
      <c r="AI9" s="245" t="str">
        <f>VLOOKUP(Sheet1!D$215,Sheet1!A$212:H$212,7)</f>
        <v>DASA-CE</v>
      </c>
      <c r="AJ9" s="244" t="str">
        <f>VLOOKUP(Sheet1!D$67,Sheet1!A$66:B$68,2)</f>
        <v xml:space="preserve"> ($)</v>
      </c>
    </row>
    <row r="10" spans="1:36" ht="36" x14ac:dyDescent="0.25">
      <c r="A10" s="248" t="s">
        <v>306</v>
      </c>
      <c r="B10" s="248" t="s">
        <v>307</v>
      </c>
      <c r="C10" s="232"/>
      <c r="D10" s="249" t="str">
        <f>" "&amp;" ' "&amp;VLOOKUP(Sheet1!D$82,Sheet1!A$82:B$135,2)&amp;" '     Constant Dollars "&amp;VLOOKUP(Sheet1!D$67,Sheet1!A$66:B$68,2)</f>
        <v xml:space="preserve">  ' 2024 '     Constant Dollars  ($)</v>
      </c>
      <c r="E10" s="250" t="str">
        <f>"  "&amp;" ' "&amp;VLOOKUP(Sheet1!D$82,Sheet1!A$82:B$135,2)&amp;" '        Constant Dollars "&amp;VLOOKUP(Sheet1!D$67,Sheet1!A$66:B$68,2)</f>
        <v xml:space="preserve">   ' 2024 '        Constant Dollars  ($)</v>
      </c>
      <c r="F10" s="251" t="str">
        <f>IF(Sheet1!D$192=1,"(6c. - 6d.)","(6c.)")</f>
        <v>(6c. - 6d.)</v>
      </c>
      <c r="G10" s="252">
        <f>IF(OR(Sheet1!D$8=2,Sheet1!D$8=3)," ",HLOOKUP(Sheet1!D$148,DiscLinearInterp,2))</f>
        <v>2.1999999999999999E-2</v>
      </c>
      <c r="H10" s="251" t="str">
        <f>IF(Sheet1!D$192=1,"(6e. x  6f.)","(6c.  x  6d.)")</f>
        <v>(6e. x  6f.)</v>
      </c>
      <c r="I10" s="251"/>
      <c r="J10" s="253" t="str">
        <f>CHOOSE(Sheet1!D$235,"OMA weighted","APA weighted","MIPA weighted","WTCV weighted","AMMO weighted","OPA weighted","RDTE weighted","MCA weighted")</f>
        <v>OMA weighted</v>
      </c>
      <c r="K10" s="251" t="str">
        <f>IF(Sheet1!D$192=1,"((6e.  /  6h.) x 6i.)","((6c. / 6f. ) x 6g.)")</f>
        <v>((6e.  /  6h.) x 6i.)</v>
      </c>
      <c r="L10" s="254" t="str">
        <f>IF(Sheet1!D$192=1,IF(AND(AA10&gt;AJ$61,AA9&lt;=AJ$61),"&lt;-Payback"," ")," ")</f>
        <v xml:space="preserve"> </v>
      </c>
      <c r="M10" s="248" t="s">
        <v>306</v>
      </c>
      <c r="N10" s="255" t="s">
        <v>307</v>
      </c>
      <c r="O10" s="256" t="s">
        <v>308</v>
      </c>
      <c r="P10" s="249" t="str">
        <f>" "&amp;" ' "&amp;VLOOKUP(Sheet1!D$82,Sheet1!A$82:B$135,2)&amp;" '     Constant Dollars "&amp;VLOOKUP(Sheet1!D$67,Sheet1!A$66:B$68,2)</f>
        <v xml:space="preserve">  ' 2024 '     Constant Dollars  ($)</v>
      </c>
      <c r="Q10" s="249" t="str">
        <f>"  "&amp;" ' "&amp;VLOOKUP(Sheet1!D$82,Sheet1!A$82:B$135,2)&amp;" '        Constant Dollars "&amp;VLOOKUP(Sheet1!D$67,Sheet1!A$66:B$68,2)</f>
        <v xml:space="preserve">   ' 2024 '        Constant Dollars  ($)</v>
      </c>
      <c r="R10" s="257" t="str">
        <f>IF(Sheet1!D$192=1,"(6n. - 6o.)","n/a")</f>
        <v>(6n. - 6o.)</v>
      </c>
      <c r="S10" s="257" t="str">
        <f>IF(Sheet1!D$192=1,"(6p. x 6f.)","n/a")</f>
        <v>(6p. x 6f.)</v>
      </c>
      <c r="T10" s="257" t="str">
        <f>IF(Sheet1!D$192=1,"((6p. /  6h.) x 6i.)","n/a")</f>
        <v>((6p. /  6h.) x 6i.)</v>
      </c>
      <c r="U10" s="258">
        <v>0</v>
      </c>
      <c r="V10" s="254" t="str">
        <f t="shared" ref="V10:V60" si="0">IF(AND(U10&gt;AJ$61,U9&lt;=AJ$61),".."," ")</f>
        <v xml:space="preserve"> </v>
      </c>
      <c r="W10" s="259">
        <f>IF(AND(AA10&gt;AJ$61,AA9&lt;=AJ$61),99,0)</f>
        <v>0</v>
      </c>
      <c r="X10" s="171">
        <v>0</v>
      </c>
      <c r="Z10" s="260"/>
      <c r="AA10" s="171">
        <v>0</v>
      </c>
      <c r="AB10" s="248" t="s">
        <v>306</v>
      </c>
      <c r="AC10" s="248" t="s">
        <v>307</v>
      </c>
      <c r="AD10" s="232"/>
      <c r="AE10" s="249" t="str">
        <f>"  "&amp;" ' "&amp;VLOOKUP(Sheet1!D$82,Sheet1!A$82:B$135,2)&amp;" '        Constant Dollars "&amp;VLOOKUP(Sheet1!D$67,Sheet1!A$66:B$68,2)</f>
        <v xml:space="preserve">   ' 2024 '        Constant Dollars  ($)</v>
      </c>
      <c r="AF10" s="252">
        <f>IF(OR(Sheet1!D$8=2,Sheet1!D$8=3)," ",HLOOKUP(Sheet1!D$148,RealRates,3))</f>
        <v>2.1999999999999999E-2</v>
      </c>
      <c r="AG10" s="251" t="str">
        <f>IF(Sheet1!D$196=1,"(A3. x  A4.)","n/a")</f>
        <v>n/a</v>
      </c>
      <c r="AH10" s="251"/>
      <c r="AI10" s="253" t="str">
        <f>CHOOSE(Sheet1!D$215,"RDTE weighted","APA weighted","MIPA weighted","WTCV weighted","AMMO weighted","OPA weighted","OMA weighted","MCA weighted")</f>
        <v>RDTE weighted</v>
      </c>
      <c r="AJ10" s="251" t="str">
        <f>IF(Sheet1!D$196=1,"((A3.  /  A6.) x  A7.)","n/a")</f>
        <v>n/a</v>
      </c>
    </row>
    <row r="11" spans="1:36" ht="12" customHeight="1" x14ac:dyDescent="0.2">
      <c r="A11" s="261">
        <f>IF(OR(Sheet1!D$192=1,Sheet1!D$196=1),VLOOKUP(1,Sheet1!A148:B197,2),NA())</f>
        <v>1</v>
      </c>
      <c r="B11" s="261">
        <f>IF(OR(Sheet1!D$192=1,Sheet1!D$196=1),VLOOKUP(Sheet1!D$86,Sheet1!A80:B147,2),NA())</f>
        <v>2024</v>
      </c>
      <c r="C11" s="262"/>
      <c r="D11" s="263">
        <f>IF(AND(Sheet1!D$192=1,A11&lt;&gt;" "),ROUND(VLOOKUP(A11,StatusQuo!A$19:M$68,12),Sheet1!D$75),IF(Sheet1!D$192=1," ","SQ not feasible "))</f>
        <v>0</v>
      </c>
      <c r="E11" s="263" t="str">
        <f>IF(AND(Sheet1!D$196=1,A11&lt;&gt;" "),ROUND(VLOOKUP(A11,AlternativeD!A$110:M$159,12),Sheet1!D$75),IF(Sheet1!D$196=1," ","Alt  'D'  not feasible"))</f>
        <v>Alt  'D'  not feasible</v>
      </c>
      <c r="F11" s="263" t="str">
        <f>IF(AND(A11&lt;&gt;" ",Sheet1!D$192=1,Sheet1!D$196=1),D11-E11,IF(AND(Sheet1!D$196=1,A11&lt;&gt;" ")," "," "))</f>
        <v xml:space="preserve"> </v>
      </c>
      <c r="G11" s="264">
        <f>IF(A11&lt;=Sheet1!D$148, (1/((1+G$10)^(A11-0.5)))," ")</f>
        <v>0.98917823531116333</v>
      </c>
      <c r="H11" s="263" t="str">
        <f>IF(AND(A11&lt;&gt;" ",Sheet1!D$192=1,Sheet1!D$196=1),ROUND(F11*G11,Sheet1!D$75),IF(AND(A11&lt;&gt;" ",Sheet1!D$196=1),ROUND(E11*G11,Sheet1!D$75)," "))</f>
        <v xml:space="preserve"> </v>
      </c>
      <c r="I11" s="264">
        <f>IF(A11&lt;&gt;" ",ROUND(VLOOKUP(Sheet1!E$82,CHOOSE(Sheet1!D$235,Inflate7,Inflate2,Inflate3,Inflate4,Inflate5,Inflate6,Inflate1,Inflate8),2),4)," ")</f>
        <v>1</v>
      </c>
      <c r="J11" s="264">
        <f>IF(A11&lt;&gt;" ",ROUND(VLOOKUP(B11,CHOOSE(Sheet1!D$235,Inflate7,Inflate2,Inflate3,Inflate4,Inflate5,Inflate6,Inflate1,Inflate8),3),4)," ")</f>
        <v>1.0186999999999999</v>
      </c>
      <c r="K11" s="265" t="str">
        <f>IF(AND(A11&lt;&gt;" ",Sheet1!D$192=1,Sheet1!D$196=1),ROUND((F11/I11)*J11,Sheet1!D$75),IF(AND(A11&lt;&gt;" ",Sheet1!D$196=1),ROUND((E11/I11)*J11,Sheet1!D$75)," "))</f>
        <v xml:space="preserve"> </v>
      </c>
      <c r="L11" s="254" t="str">
        <f>IF(Sheet1!D$192=1,IF(AND(AA11&gt;AJ$61,AA10&lt;=AJ$61),"&lt;-Payback"," ")," ")</f>
        <v xml:space="preserve"> </v>
      </c>
      <c r="M11" s="261">
        <f>IF(OR(Sheet1!D$192=1,Sheet1!D$196=1),VLOOKUP(1,Sheet1!A148:B197,2),NA())</f>
        <v>1</v>
      </c>
      <c r="N11" s="261">
        <f>IF(OR(Sheet1!D$192=1,Sheet1!D$196=1),VLOOKUP(Sheet1!D$86,Sheet1!A80:B147,2),NA())</f>
        <v>2024</v>
      </c>
      <c r="O11" s="266" t="e">
        <f>IF(OR(Sheet1!D$192=1,Sheet1!D$196=1),IF(NOT(Sheet1!D$192=1),0,IF(ROUND(VLOOKUP(A11,StatusQuo!A$19:M$68,13),Sheet1!D$75)-ROUND(VLOOKUP(A11,AlternativeD!A$110:M$159,13),Sheet1!D$75)&gt;0,1,0))," ")</f>
        <v>#VALUE!</v>
      </c>
      <c r="P11" s="263" t="str">
        <f>IF(AND(A11&lt;&gt;" ",Sheet1!D$192=1,Sheet1!D$196=1),IF(AND(OR(Sheet1!D$8=2,Sheet1!D$22=3),O11&gt;10),0,ROUND(VLOOKUP(A11,StatusQuo!A$19:M$68,13),Sheet1!D$75)),IF(NOT(Sheet1!D$192=1),"not feasible",IF(A11=" "," ", "Savings is  n/a=&gt;")))</f>
        <v>Savings is  n/a=&gt;</v>
      </c>
      <c r="Q11" s="263" t="str">
        <f>IF(AND(A11&lt;&gt;" ",Sheet1!D$192=1,Sheet1!D$196=1),IF(AND(OR(Sheet1!D$8=2,Sheet1!D$22=3),O11&gt;10),0,ROUND(VLOOKUP(A11,AlternativeD!A$110:M$159,13),Sheet1!D$75)),IF(NOT(Sheet1!D$196=1),"not feasible",IF(A11=" "," ","&lt;== Savings is n/a")))</f>
        <v>not feasible</v>
      </c>
      <c r="R11" s="263" t="str">
        <f>IF(AND(A11&lt;&gt;" ",Sheet1!D$192=1,Sheet1!D$196=1),IF(G$81&lt;&gt;" ","??????? ",P11-Q11)," ")</f>
        <v xml:space="preserve"> </v>
      </c>
      <c r="S11" s="263" t="str">
        <f>IF(AND(A11&lt;&gt;" ",Sheet1!D$192=1,Sheet1!D$196=1),ROUND(R11*G11,Sheet1!D$75)," ")</f>
        <v xml:space="preserve"> </v>
      </c>
      <c r="T11" s="263" t="str">
        <f>IF(AND(A11&lt;&gt;" ",Sheet1!D$192=1,Sheet1!D$196=1),ROUND((R11/I11)*J11,Sheet1!D$75)," ")</f>
        <v xml:space="preserve"> </v>
      </c>
      <c r="U11" s="267">
        <f>SUM(T$11:T11)</f>
        <v>0</v>
      </c>
      <c r="V11" s="254" t="str">
        <f t="shared" si="0"/>
        <v xml:space="preserve"> </v>
      </c>
      <c r="W11" s="268">
        <f t="shared" ref="W11:W42" si="1">IF(AND(AA11&gt;AJ$61,AA10&lt;=AJ$61),99,W10+1)</f>
        <v>1</v>
      </c>
      <c r="X11" s="171">
        <f t="shared" ref="X11:X42" si="2">+A11</f>
        <v>1</v>
      </c>
      <c r="Y11" s="269" t="str">
        <f>IF(K61&gt;=AJ61,VLOOKUP(99,W10:X42,2)," ")</f>
        <v xml:space="preserve"> </v>
      </c>
      <c r="Z11" s="270" t="s">
        <v>309</v>
      </c>
      <c r="AA11" s="265">
        <f>SUM(K$11:K11)</f>
        <v>0</v>
      </c>
      <c r="AB11" s="261">
        <f>IF(OR(Sheet1!D$192=1,Sheet1!D$196=1),VLOOKUP(1,Sheet1!A148:B197,2),NA())</f>
        <v>1</v>
      </c>
      <c r="AC11" s="261">
        <f>IF(OR(Sheet1!D$192=1,Sheet1!D$196=1),VLOOKUP(Sheet1!D$86,Sheet1!A80:B147,2),NA())</f>
        <v>2024</v>
      </c>
      <c r="AD11" s="262"/>
      <c r="AE11" s="263" t="str">
        <f>IF(AND(Sheet1!D$196=1,AB11&lt;&gt;" "),ROUND(VLOOKUP(AB11,AlternativeD!A$17:M$66,12),Sheet1!D$75),IF(Sheet1!D$196=1," ","Alt  'D'  not feasible"))</f>
        <v>Alt  'D'  not feasible</v>
      </c>
      <c r="AF11" s="264">
        <f>IF(AB11&lt;=Sheet1!D$148, (1/((1+AF$10)^(AB11-0.5)))," ")</f>
        <v>0.98917823531116333</v>
      </c>
      <c r="AG11" s="263" t="str">
        <f>IF(AND(Sheet1!D$196=1,AB11&lt;&gt;" "),ROUND(+AE11*AF11,Sheet1!D$75)," ")</f>
        <v xml:space="preserve"> </v>
      </c>
      <c r="AH11" s="264">
        <f>IF(AB11&lt;&gt;" ",ROUND(VLOOKUP(Sheet1!E$82,CHOOSE(Sheet1!D$215,Inflate1,Inflate2,Inflate3,Inflate4,Inflate5,Inflate6,Inflate7,Inflate8),2),4)," ")</f>
        <v>1</v>
      </c>
      <c r="AI11" s="264">
        <f>IF(AB11&lt;&gt;" ",ROUND(VLOOKUP(AC11,CHOOSE(Sheet1!D$215,Inflate1,Inflate2,Inflate3,Inflate4,Inflate5,Inflate6,Inflate7,Inflate8),3),4)," ")</f>
        <v>1.0225</v>
      </c>
      <c r="AJ11" s="263" t="b">
        <f>IF(AND(Sheet1!D$196=1,AB11&lt;&gt;" "),IF(AND(O11&lt;=10,OR(Sheet1!D$8=2,Sheet1!D$8=3,Sheet1!D$22=3)),ROUND((AE11/AH11)*AI11,Sheet1!D$75),IF(AND(Sheet1!D$8&lt;&gt;2,Sheet1!D$8&lt;&gt;3,Sheet1!D$22&lt;&gt;3),ROUND((AE11/AH11)*AI11,Sheet1!D$75)," ")))</f>
        <v>0</v>
      </c>
    </row>
    <row r="12" spans="1:36" ht="12" customHeight="1" x14ac:dyDescent="0.2">
      <c r="A12" s="579" t="str">
        <f>IF(OR(Sheet1!D$192=1,Sheet1!D$196=1),IF(OR((A11&gt;=(Sheet1!D$148+$A$11)-1),AND(Sheet1!D$8=3,A11&gt;=6))," ",A11+1),NA())</f>
        <v xml:space="preserve"> </v>
      </c>
      <c r="B12" s="271" t="str">
        <f>IF(OR(Sheet1!D$192=1,Sheet1!D$196=1),IF(OR((B11&gt;=(Sheet1!D$148+$B$11)-1),AND(Sheet1!D$8=3,A11&gt;=6))," ",B11+1),NA())</f>
        <v xml:space="preserve"> </v>
      </c>
      <c r="C12" s="273"/>
      <c r="D12" s="263" t="str">
        <f>IF(AND(Sheet1!D$192=1,A12&lt;&gt;" "),ROUND(VLOOKUP(A12,StatusQuo!A$19:M$68,12),Sheet1!D$75),IF(Sheet1!D$192=1," ","SQ not feasible "))</f>
        <v xml:space="preserve"> </v>
      </c>
      <c r="E12" s="263" t="str">
        <f>IF(AND(Sheet1!D$196=1,A12&lt;&gt;" "),ROUND(VLOOKUP(A12,AlternativeD!A$110:M$159,12),Sheet1!D$75),IF(Sheet1!D$196=1," ","Alt  'D'  not feasible"))</f>
        <v>Alt  'D'  not feasible</v>
      </c>
      <c r="F12" s="263" t="str">
        <f>IF(AND(A12&lt;&gt;" ",Sheet1!D$192=1,Sheet1!D$196=1),D12-E12,IF(AND(Sheet1!D$196=1,A12&lt;&gt;" ")," "," "))</f>
        <v xml:space="preserve"> </v>
      </c>
      <c r="G12" s="264" t="str">
        <f>IF(A12&lt;=Sheet1!D$148, (1/((1+G$10)^(A12-0.5)))," ")</f>
        <v xml:space="preserve"> </v>
      </c>
      <c r="H12" s="263" t="str">
        <f>IF(AND(A12&lt;&gt;" ",Sheet1!D$192=1,Sheet1!D$196=1),ROUND(F12*G12,Sheet1!D$75),IF(AND(A12&lt;&gt;" ",Sheet1!D$196=1),ROUND(E12*G12,Sheet1!D$75)," "))</f>
        <v xml:space="preserve"> </v>
      </c>
      <c r="I12" s="264" t="str">
        <f>IF(A12&lt;&gt;" ",ROUND(VLOOKUP(Sheet1!E$82,CHOOSE(Sheet1!D$235,Inflate7,Inflate2,Inflate3,Inflate4,Inflate5,Inflate6,Inflate1,Inflate8),2),4)," ")</f>
        <v xml:space="preserve"> </v>
      </c>
      <c r="J12" s="264" t="str">
        <f>IF(A12&lt;&gt;" ",ROUND(VLOOKUP(B12,CHOOSE(Sheet1!D$235,Inflate7,Inflate2,Inflate3,Inflate4,Inflate5,Inflate6,Inflate1,Inflate8),3),4)," ")</f>
        <v xml:space="preserve"> </v>
      </c>
      <c r="K12" s="265" t="str">
        <f>IF(AND(A12&lt;&gt;" ",Sheet1!D$192=1,Sheet1!D$196=1),ROUND((F12/I12)*J12,Sheet1!D$75),IF(AND(A12&lt;&gt;" ",Sheet1!D$196=1),ROUND((E12/I12)*J12,Sheet1!D$75)," "))</f>
        <v xml:space="preserve"> </v>
      </c>
      <c r="L12" s="254" t="str">
        <f>IF(Sheet1!D$192=1,IF(AND(AA12&gt;AJ$61,AA11&lt;=AJ$61),"&lt;-Payback"," ")," ")</f>
        <v xml:space="preserve"> </v>
      </c>
      <c r="M12" s="271" t="str">
        <f>IF(OR(Sheet1!D$192=1,Sheet1!D$196=1),IF(OR((A11&gt;=(Sheet1!D$148+$A$11)-1),AND(Sheet1!D$8=3,A11&gt;=6))," ",A11+1),NA())</f>
        <v xml:space="preserve"> </v>
      </c>
      <c r="N12" s="271" t="str">
        <f>IF(OR(Sheet1!D$192=1,Sheet1!D$196=1),IF(OR((B11&gt;=(Sheet1!D$148+$B$11)-1),AND(Sheet1!D$8=3,A11&gt;=6))," ",B11+1),NA())</f>
        <v xml:space="preserve"> </v>
      </c>
      <c r="O12" s="266" t="e">
        <f>IF(AND(Sheet1!D$8=3,M12=" ")," ",IF(OR(Sheet1!D$192=1,Sheet1!D$196=1),IF(O11&gt;0,IF(AND(OR(Sheet1!D$8=2,Sheet1!D$22=3),O11&gt;=10)," ",O11+1),IF(NOT(Sheet1!D$192=1),0,IF(ROUND(VLOOKUP(A12,StatusQuo!A$19:M$68,13),Sheet1!D$75)-ROUND(VLOOKUP(A12,AlternativeD!A$110:M$159,13),Sheet1!D$75)&gt;0,1,0)))," "))</f>
        <v>#VALUE!</v>
      </c>
      <c r="P12" s="263" t="str">
        <f>IF(AND(A12&lt;&gt;" ",Sheet1!D$192=1,Sheet1!D$196=1),IF(AND(OR(Sheet1!D$8=2,Sheet1!D$22=3),O12&gt;10),0,ROUND(VLOOKUP(A12,StatusQuo!A$19:M$68,13),Sheet1!D$75)),IF(NOT(Sheet1!D$192=1),"not feasible",IF(A12=" "," ", "Savings is  n/a=&gt;")))</f>
        <v xml:space="preserve"> </v>
      </c>
      <c r="Q12" s="263" t="str">
        <f>IF(AND(A12&lt;&gt;" ",Sheet1!D$192=1,Sheet1!D$196=1),IF(AND(OR(Sheet1!D$8=2,Sheet1!D$22=3),O12&gt;10),0,ROUND(VLOOKUP(A12,AlternativeD!A$110:M$159,13),Sheet1!D$75)),IF(NOT(Sheet1!D$196=1),"not feasible",IF(A12=" "," ","&lt;== Savings is n/a")))</f>
        <v>not feasible</v>
      </c>
      <c r="R12" s="263" t="str">
        <f>IF(AND(A12&lt;&gt;" ",Sheet1!D$192=1,Sheet1!D$196=1),IF(G$81&lt;&gt;" ","??????? ",P12-Q12)," ")</f>
        <v xml:space="preserve"> </v>
      </c>
      <c r="S12" s="263" t="str">
        <f>IF(AND(A12&lt;&gt;" ",Sheet1!D$192=1,Sheet1!D$196=1),ROUND(R12*G12,Sheet1!D$75)," ")</f>
        <v xml:space="preserve"> </v>
      </c>
      <c r="T12" s="263" t="str">
        <f>IF(AND(A12&lt;&gt;" ",Sheet1!D$192=1,Sheet1!D$196=1),ROUND((R12/I12)*J12,Sheet1!D$75)," ")</f>
        <v xml:space="preserve"> </v>
      </c>
      <c r="U12" s="265">
        <f>SUM(T$11:T12)</f>
        <v>0</v>
      </c>
      <c r="V12" s="254" t="str">
        <f t="shared" si="0"/>
        <v xml:space="preserve"> </v>
      </c>
      <c r="W12" s="268">
        <f t="shared" si="1"/>
        <v>2</v>
      </c>
      <c r="X12" s="171" t="str">
        <f t="shared" si="2"/>
        <v xml:space="preserve"> </v>
      </c>
      <c r="Y12" s="269" t="e">
        <f>IF(K61&gt;=AJ61,IF(Y11-1=0,0,VLOOKUP(Y11-1,A11:AA42,27))," ")</f>
        <v>#VALUE!</v>
      </c>
      <c r="Z12" s="270" t="s">
        <v>310</v>
      </c>
      <c r="AA12" s="265">
        <f>SUM(K$11:K12)</f>
        <v>0</v>
      </c>
      <c r="AB12" s="271" t="str">
        <f>IF(OR(Sheet1!D$192=1,Sheet1!D$196=1),IF(OR((AB11&gt;=(Sheet1!D$148+$A$11)-1),AND(Sheet1!D$8=3,AB11&gt;=6))," ",AB11+1),NA())</f>
        <v xml:space="preserve"> </v>
      </c>
      <c r="AC12" s="271" t="str">
        <f>IF(OR(Sheet1!D$192=1,Sheet1!D$196=1),IF(OR((AC11&gt;=(Sheet1!D$148+$B$11)-1),AND(Sheet1!D$8=3,AB11&gt;=6))," ",AC11+1),NA())</f>
        <v xml:space="preserve"> </v>
      </c>
      <c r="AD12" s="262"/>
      <c r="AE12" s="263" t="str">
        <f>IF(AND(Sheet1!D$196=1,AB12&lt;&gt;" "),ROUND(VLOOKUP(AB12,AlternativeD!A$17:M$66,12),Sheet1!D$75),IF(Sheet1!D$196=1," ","Alt  'D'  not feasible"))</f>
        <v>Alt  'D'  not feasible</v>
      </c>
      <c r="AF12" s="264" t="str">
        <f>IF(AB12&lt;=Sheet1!D$148, (1/((1+AF$10)^(AB12-0.5)))," ")</f>
        <v xml:space="preserve"> </v>
      </c>
      <c r="AG12" s="263" t="str">
        <f>IF(AND(Sheet1!D$196=1,AB12&lt;&gt;" "),ROUND(+AE12*AF12,Sheet1!D$75)," ")</f>
        <v xml:space="preserve"> </v>
      </c>
      <c r="AH12" s="264" t="str">
        <f>IF(AB12&lt;&gt;" ",ROUND(VLOOKUP(Sheet1!E$82,CHOOSE(Sheet1!D$215,Inflate1,Inflate2,Inflate3,Inflate4,Inflate5,Inflate6,Inflate7,Inflate8),2),4)," ")</f>
        <v xml:space="preserve"> </v>
      </c>
      <c r="AI12" s="264" t="str">
        <f>IF(AB12&lt;&gt;" ",ROUND(VLOOKUP(AC12,CHOOSE(Sheet1!D$215,Inflate1,Inflate2,Inflate3,Inflate4,Inflate5,Inflate6,Inflate7,Inflate8),3),4)," ")</f>
        <v xml:space="preserve"> </v>
      </c>
      <c r="AJ12" s="263" t="b">
        <f>IF(AND(Sheet1!D$196=1,AB12&lt;&gt;" "),IF(AND(O12&lt;=10,OR(Sheet1!D$8=2,Sheet1!D$8=3,Sheet1!D$22=3)),ROUND((AE12/AH12)*AI12,Sheet1!D$75),IF(AND(Sheet1!D$8&lt;&gt;2,Sheet1!D$8&lt;&gt;3,Sheet1!D$22&lt;&gt;3),ROUND((AE12/AH12)*AI12,Sheet1!D$75)," ")))</f>
        <v>0</v>
      </c>
    </row>
    <row r="13" spans="1:36" ht="12" customHeight="1" x14ac:dyDescent="0.2">
      <c r="A13" s="579" t="str">
        <f>IF(OR(Sheet1!D$192=1,Sheet1!D$196=1),IF(OR((A12&gt;=(Sheet1!D$148+$A$11)-1),AND(Sheet1!D$8=3,A12&gt;=6))," ",A12+1),NA())</f>
        <v xml:space="preserve"> </v>
      </c>
      <c r="B13" s="271" t="str">
        <f>IF(OR(Sheet1!D$192=1,Sheet1!D$196=1),IF(OR((B12&gt;=(Sheet1!D$148+$B$11)-1),AND(Sheet1!D$8=3,A12&gt;=6))," ",B12+1),NA())</f>
        <v xml:space="preserve"> </v>
      </c>
      <c r="C13" s="273"/>
      <c r="D13" s="263" t="str">
        <f>IF(AND(Sheet1!D$192=1,A13&lt;&gt;" "),ROUND(VLOOKUP(A13,StatusQuo!A$19:M$68,12),Sheet1!D$75),IF(Sheet1!D$192=1," ","SQ not feasible "))</f>
        <v xml:space="preserve"> </v>
      </c>
      <c r="E13" s="263" t="str">
        <f>IF(AND(Sheet1!D$196=1,A13&lt;&gt;" "),ROUND(VLOOKUP(A13,AlternativeD!A$110:M$159,12),Sheet1!D$75),IF(Sheet1!D$196=1," ","Alt  'D'  not feasible"))</f>
        <v>Alt  'D'  not feasible</v>
      </c>
      <c r="F13" s="263" t="str">
        <f>IF(AND(A13&lt;&gt;" ",Sheet1!D$192=1,Sheet1!D$196=1),D13-E13,IF(AND(Sheet1!D$196=1,A13&lt;&gt;" ")," "," "))</f>
        <v xml:space="preserve"> </v>
      </c>
      <c r="G13" s="264" t="str">
        <f>IF(A13&lt;=Sheet1!D$148, (1/((1+G$10)^(A13-0.5)))," ")</f>
        <v xml:space="preserve"> </v>
      </c>
      <c r="H13" s="263" t="str">
        <f>IF(AND(A13&lt;&gt;" ",Sheet1!D$192=1,Sheet1!D$196=1),ROUND(F13*G13,Sheet1!D$75),IF(AND(A13&lt;&gt;" ",Sheet1!D$196=1),ROUND(E13*G13,Sheet1!D$75)," "))</f>
        <v xml:space="preserve"> </v>
      </c>
      <c r="I13" s="264" t="str">
        <f>IF(A13&lt;&gt;" ",ROUND(VLOOKUP(Sheet1!E$82,CHOOSE(Sheet1!D$235,Inflate7,Inflate2,Inflate3,Inflate4,Inflate5,Inflate6,Inflate1,Inflate8),2),4)," ")</f>
        <v xml:space="preserve"> </v>
      </c>
      <c r="J13" s="264" t="str">
        <f>IF(A13&lt;&gt;" ",ROUND(VLOOKUP(B13,CHOOSE(Sheet1!D$235,Inflate7,Inflate2,Inflate3,Inflate4,Inflate5,Inflate6,Inflate1,Inflate8),3),4)," ")</f>
        <v xml:space="preserve"> </v>
      </c>
      <c r="K13" s="265" t="str">
        <f>IF(AND(A13&lt;&gt;" ",Sheet1!D$192=1,Sheet1!D$196=1),ROUND((F13/I13)*J13,Sheet1!D$75),IF(AND(A13&lt;&gt;" ",Sheet1!D$196=1),ROUND((E13/I13)*J13,Sheet1!D$75)," "))</f>
        <v xml:space="preserve"> </v>
      </c>
      <c r="L13" s="254" t="str">
        <f>IF(Sheet1!D$192=1,IF(AND(AA13&gt;AJ$61,AA12&lt;=AJ$61),"&lt;-Payback"," ")," ")</f>
        <v xml:space="preserve"> </v>
      </c>
      <c r="M13" s="271" t="str">
        <f>IF(OR(Sheet1!D$192=1,Sheet1!D$196=1),IF(OR((A12&gt;=(Sheet1!D$148+$A$11)-1),AND(Sheet1!D$8=3,A12&gt;=6))," ",A12+1),NA())</f>
        <v xml:space="preserve"> </v>
      </c>
      <c r="N13" s="271" t="str">
        <f>IF(OR(Sheet1!D$192=1,Sheet1!D$196=1),IF(OR((B12&gt;=(Sheet1!D$148+$B$11)-1),AND(Sheet1!D$8=3,A12&gt;=6))," ",B12+1),NA())</f>
        <v xml:space="preserve"> </v>
      </c>
      <c r="O13" s="266" t="e">
        <f>IF(AND(Sheet1!D$8=3,M13=" ")," ",IF(OR(Sheet1!D$192=1,Sheet1!D$196=1),IF(O12&gt;0,IF(AND(OR(Sheet1!D$8=2,Sheet1!D$22=3),O12&gt;=10)," ",O12+1),IF(NOT(Sheet1!D$192=1),0,IF(ROUND(VLOOKUP(A13,StatusQuo!A$19:M$68,13),Sheet1!D$75)-ROUND(VLOOKUP(A13,AlternativeD!A$110:M$159,13),Sheet1!D$75)&gt;0,1,0)))," "))</f>
        <v>#VALUE!</v>
      </c>
      <c r="P13" s="263" t="str">
        <f>IF(AND(A13&lt;&gt;" ",Sheet1!D$192=1,Sheet1!D$196=1),IF(AND(OR(Sheet1!D$8=2,Sheet1!D$22=3),O13&gt;10),0,ROUND(VLOOKUP(A13,StatusQuo!A$19:M$68,13),Sheet1!D$75)),IF(NOT(Sheet1!D$192=1),"not feasible",IF(A13=" "," ", "Savings is  n/a=&gt;")))</f>
        <v xml:space="preserve"> </v>
      </c>
      <c r="Q13" s="263" t="str">
        <f>IF(AND(A13&lt;&gt;" ",Sheet1!D$192=1,Sheet1!D$196=1),IF(AND(OR(Sheet1!D$8=2,Sheet1!D$22=3),O13&gt;10),0,ROUND(VLOOKUP(A13,AlternativeD!A$110:M$159,13),Sheet1!D$75)),IF(NOT(Sheet1!D$196=1),"not feasible",IF(A13=" "," ","&lt;== Savings is n/a")))</f>
        <v>not feasible</v>
      </c>
      <c r="R13" s="263" t="str">
        <f>IF(AND(A13&lt;&gt;" ",Sheet1!D$192=1,Sheet1!D$196=1),IF(G$81&lt;&gt;" ","??????? ",P13-Q13)," ")</f>
        <v xml:space="preserve"> </v>
      </c>
      <c r="S13" s="263" t="str">
        <f>IF(AND(A13&lt;&gt;" ",Sheet1!D$192=1,Sheet1!D$196=1),ROUND(R13*G13,Sheet1!D$75)," ")</f>
        <v xml:space="preserve"> </v>
      </c>
      <c r="T13" s="263" t="str">
        <f>IF(AND(A13&lt;&gt;" ",Sheet1!D$192=1,Sheet1!D$196=1),ROUND((R13/I13)*J13,Sheet1!D$75)," ")</f>
        <v xml:space="preserve"> </v>
      </c>
      <c r="U13" s="265">
        <f>SUM(T$11:T13)</f>
        <v>0</v>
      </c>
      <c r="V13" s="254" t="str">
        <f t="shared" si="0"/>
        <v xml:space="preserve"> </v>
      </c>
      <c r="W13" s="268">
        <f t="shared" si="1"/>
        <v>3</v>
      </c>
      <c r="X13" s="171" t="str">
        <f t="shared" si="2"/>
        <v xml:space="preserve"> </v>
      </c>
      <c r="Y13" s="269">
        <f>IF(K61&gt;=AJ61,VLOOKUP(Y11,A11:AA42,27)," ")</f>
        <v>0</v>
      </c>
      <c r="Z13" s="270" t="s">
        <v>323</v>
      </c>
      <c r="AA13" s="265">
        <f>SUM(K$11:K13)</f>
        <v>0</v>
      </c>
      <c r="AB13" s="271" t="str">
        <f>IF(OR(Sheet1!D$192=1,Sheet1!D$196=1),IF(OR((AB12&gt;=(Sheet1!D$148+$A$11)-1),AND(Sheet1!D$8=3,AB12&gt;=6))," ",AB12+1),NA())</f>
        <v xml:space="preserve"> </v>
      </c>
      <c r="AC13" s="271" t="str">
        <f>IF(OR(Sheet1!D$192=1,Sheet1!D$196=1),IF(OR((AC12&gt;=(Sheet1!D$148+$B$11)-1),AND(Sheet1!D$8=3,AB12&gt;=6))," ",AC12+1),NA())</f>
        <v xml:space="preserve"> </v>
      </c>
      <c r="AD13" s="262"/>
      <c r="AE13" s="263" t="str">
        <f>IF(AND(Sheet1!D$196=1,AB13&lt;&gt;" "),ROUND(VLOOKUP(AB13,AlternativeD!A$17:M$66,12),Sheet1!D$75),IF(Sheet1!D$196=1," ","Alt  'D'  not feasible"))</f>
        <v>Alt  'D'  not feasible</v>
      </c>
      <c r="AF13" s="264" t="str">
        <f>IF(AB13&lt;=Sheet1!D$148, (1/((1+AF$10)^(AB13-0.5)))," ")</f>
        <v xml:space="preserve"> </v>
      </c>
      <c r="AG13" s="263" t="str">
        <f>IF(AND(Sheet1!D$196=1,AB13&lt;&gt;" "),ROUND(+AE13*AF13,Sheet1!D$75)," ")</f>
        <v xml:space="preserve"> </v>
      </c>
      <c r="AH13" s="264" t="str">
        <f>IF(AB13&lt;&gt;" ",ROUND(VLOOKUP(Sheet1!E$82,CHOOSE(Sheet1!D$215,Inflate1,Inflate2,Inflate3,Inflate4,Inflate5,Inflate6,Inflate7,Inflate8),2),4)," ")</f>
        <v xml:space="preserve"> </v>
      </c>
      <c r="AI13" s="264" t="str">
        <f>IF(AB13&lt;&gt;" ",ROUND(VLOOKUP(AC13,CHOOSE(Sheet1!D$215,Inflate1,Inflate2,Inflate3,Inflate4,Inflate5,Inflate6,Inflate7,Inflate8),3),4)," ")</f>
        <v xml:space="preserve"> </v>
      </c>
      <c r="AJ13" s="263" t="b">
        <f>IF(AND(Sheet1!D$196=1,AB13&lt;&gt;" "),IF(AND(O13&lt;=10,OR(Sheet1!D$8=2,Sheet1!D$8=3,Sheet1!D$22=3)),ROUND((AE13/AH13)*AI13,Sheet1!D$75),IF(AND(Sheet1!D$8&lt;&gt;2,Sheet1!D$8&lt;&gt;3,Sheet1!D$22&lt;&gt;3),ROUND((AE13/AH13)*AI13,Sheet1!D$75)," ")))</f>
        <v>0</v>
      </c>
    </row>
    <row r="14" spans="1:36" ht="12" customHeight="1" x14ac:dyDescent="0.2">
      <c r="A14" s="579" t="str">
        <f>IF(OR(Sheet1!D$192=1,Sheet1!D$196=1),IF(OR((A13&gt;=(Sheet1!D$148+$A$11)-1),AND(Sheet1!D$8=3,A13&gt;=6))," ",A13+1),NA())</f>
        <v xml:space="preserve"> </v>
      </c>
      <c r="B14" s="271" t="str">
        <f>IF(OR(Sheet1!D$192=1,Sheet1!D$196=1),IF(OR((B13&gt;=(Sheet1!D$148+$B$11)-1),AND(Sheet1!D$8=3,A13&gt;=6))," ",B13+1),NA())</f>
        <v xml:space="preserve"> </v>
      </c>
      <c r="C14" s="273"/>
      <c r="D14" s="263" t="str">
        <f>IF(AND(Sheet1!D$192=1,A14&lt;&gt;" "),ROUND(VLOOKUP(A14,StatusQuo!A$19:M$68,12),Sheet1!D$75),IF(Sheet1!D$192=1," ","SQ not feasible "))</f>
        <v xml:space="preserve"> </v>
      </c>
      <c r="E14" s="263" t="str">
        <f>IF(AND(Sheet1!D$196=1,A14&lt;&gt;" "),ROUND(VLOOKUP(A14,AlternativeD!A$110:M$159,12),Sheet1!D$75),IF(Sheet1!D$196=1," ","Alt  'D'  not feasible"))</f>
        <v>Alt  'D'  not feasible</v>
      </c>
      <c r="F14" s="263" t="str">
        <f>IF(AND(A14&lt;&gt;" ",Sheet1!D$192=1,Sheet1!D$196=1),D14-E14,IF(AND(Sheet1!D$196=1,A14&lt;&gt;" ")," "," "))</f>
        <v xml:space="preserve"> </v>
      </c>
      <c r="G14" s="264" t="str">
        <f>IF(A14&lt;=Sheet1!D$148, (1/((1+G$10)^(A14-0.5)))," ")</f>
        <v xml:space="preserve"> </v>
      </c>
      <c r="H14" s="263" t="str">
        <f>IF(AND(A14&lt;&gt;" ",Sheet1!D$192=1,Sheet1!D$196=1),ROUND(F14*G14,Sheet1!D$75),IF(AND(A14&lt;&gt;" ",Sheet1!D$196=1),ROUND(E14*G14,Sheet1!D$75)," "))</f>
        <v xml:space="preserve"> </v>
      </c>
      <c r="I14" s="264" t="str">
        <f>IF(A14&lt;&gt;" ",ROUND(VLOOKUP(Sheet1!E$82,CHOOSE(Sheet1!D$235,Inflate7,Inflate2,Inflate3,Inflate4,Inflate5,Inflate6,Inflate1,Inflate8),2),4)," ")</f>
        <v xml:space="preserve"> </v>
      </c>
      <c r="J14" s="264" t="str">
        <f>IF(A14&lt;&gt;" ",ROUND(VLOOKUP(B14,CHOOSE(Sheet1!D$235,Inflate7,Inflate2,Inflate3,Inflate4,Inflate5,Inflate6,Inflate1,Inflate8),3),4)," ")</f>
        <v xml:space="preserve"> </v>
      </c>
      <c r="K14" s="265" t="str">
        <f>IF(AND(A14&lt;&gt;" ",Sheet1!D$192=1,Sheet1!D$196=1),ROUND((F14/I14)*J14,Sheet1!D$75),IF(AND(A14&lt;&gt;" ",Sheet1!D$196=1),ROUND((E14/I14)*J14,Sheet1!D$75)," "))</f>
        <v xml:space="preserve"> </v>
      </c>
      <c r="L14" s="254" t="str">
        <f>IF(Sheet1!D$192=1,IF(AND(AA14&gt;AJ$61,AA13&lt;=AJ$61),"&lt;-Payback"," ")," ")</f>
        <v xml:space="preserve"> </v>
      </c>
      <c r="M14" s="271" t="str">
        <f>IF(OR(Sheet1!D$192=1,Sheet1!D$196=1),IF(OR((A13&gt;=(Sheet1!D$148+$A$11)-1),AND(Sheet1!D$8=3,A13&gt;=6))," ",A13+1),NA())</f>
        <v xml:space="preserve"> </v>
      </c>
      <c r="N14" s="271" t="str">
        <f>IF(OR(Sheet1!D$192=1,Sheet1!D$196=1),IF(OR((B13&gt;=(Sheet1!D$148+$B$11)-1),AND(Sheet1!D$8=3,A13&gt;=6))," ",B13+1),NA())</f>
        <v xml:space="preserve"> </v>
      </c>
      <c r="O14" s="266" t="e">
        <f>IF(AND(Sheet1!D$8=3,M14=" ")," ",IF(OR(Sheet1!D$192=1,Sheet1!D$196=1),IF(O13&gt;0,IF(AND(OR(Sheet1!D$8=2,Sheet1!D$22=3),O13&gt;=10)," ",O13+1),IF(NOT(Sheet1!D$192=1),0,IF(ROUND(VLOOKUP(A14,StatusQuo!A$19:M$68,13),Sheet1!D$75)-ROUND(VLOOKUP(A14,AlternativeD!A$110:M$159,13),Sheet1!D$75)&gt;0,1,0)))," "))</f>
        <v>#VALUE!</v>
      </c>
      <c r="P14" s="263" t="str">
        <f>IF(AND(A14&lt;&gt;" ",Sheet1!D$192=1,Sheet1!D$196=1),IF(AND(OR(Sheet1!D$8=2,Sheet1!D$22=3),O14&gt;10),0,ROUND(VLOOKUP(A14,StatusQuo!A$19:M$68,13),Sheet1!D$75)),IF(NOT(Sheet1!D$192=1),"not feasible",IF(A14=" "," ", "Savings is  n/a=&gt;")))</f>
        <v xml:space="preserve"> </v>
      </c>
      <c r="Q14" s="263" t="str">
        <f>IF(AND(A14&lt;&gt;" ",Sheet1!D$192=1,Sheet1!D$196=1),IF(AND(OR(Sheet1!D$8=2,Sheet1!D$22=3),O14&gt;10),0,ROUND(VLOOKUP(A14,AlternativeD!A$110:M$159,13),Sheet1!D$75)),IF(NOT(Sheet1!D$196=1),"not feasible",IF(A14=" "," ","&lt;== Savings is n/a")))</f>
        <v>not feasible</v>
      </c>
      <c r="R14" s="263" t="str">
        <f>IF(AND(A14&lt;&gt;" ",Sheet1!D$192=1,Sheet1!D$196=1),IF(G$81&lt;&gt;" ","??????? ",P14-Q14)," ")</f>
        <v xml:space="preserve"> </v>
      </c>
      <c r="S14" s="263" t="str">
        <f>IF(AND(A14&lt;&gt;" ",Sheet1!D$192=1,Sheet1!D$196=1),ROUND(R14*G14,Sheet1!D$75)," ")</f>
        <v xml:space="preserve"> </v>
      </c>
      <c r="T14" s="263" t="str">
        <f>IF(AND(A14&lt;&gt;" ",Sheet1!D$192=1,Sheet1!D$196=1),ROUND((R14/I14)*J14,Sheet1!D$75)," ")</f>
        <v xml:space="preserve"> </v>
      </c>
      <c r="U14" s="265">
        <f>SUM(T$11:T14)</f>
        <v>0</v>
      </c>
      <c r="V14" s="254" t="str">
        <f t="shared" si="0"/>
        <v xml:space="preserve"> </v>
      </c>
      <c r="W14" s="268">
        <f t="shared" si="1"/>
        <v>4</v>
      </c>
      <c r="X14" s="171" t="str">
        <f t="shared" si="2"/>
        <v xml:space="preserve"> </v>
      </c>
      <c r="Y14" s="373" t="e">
        <f>IF(AJ61&gt;K61," ",ROUND((AJ61-Y12)/(Y13-Y12),3))</f>
        <v>#VALUE!</v>
      </c>
      <c r="Z14" s="270" t="s">
        <v>329</v>
      </c>
      <c r="AA14" s="265">
        <f>SUM(K$11:K14)</f>
        <v>0</v>
      </c>
      <c r="AB14" s="271" t="str">
        <f>IF(OR(Sheet1!D$192=1,Sheet1!D$196=1),IF(OR((AB13&gt;=(Sheet1!D$148+$A$11)-1),AND(Sheet1!D$8=3,AB13&gt;=6))," ",AB13+1),NA())</f>
        <v xml:space="preserve"> </v>
      </c>
      <c r="AC14" s="271" t="str">
        <f>IF(OR(Sheet1!D$192=1,Sheet1!D$196=1),IF(OR((AC13&gt;=(Sheet1!D$148+$B$11)-1),AND(Sheet1!D$8=3,AB13&gt;=6))," ",AC13+1),NA())</f>
        <v xml:space="preserve"> </v>
      </c>
      <c r="AD14" s="262"/>
      <c r="AE14" s="263" t="str">
        <f>IF(AND(Sheet1!D$196=1,AB14&lt;&gt;" "),ROUND(VLOOKUP(AB14,AlternativeD!A$17:M$66,12),Sheet1!D$75),IF(Sheet1!D$196=1," ","Alt  'D'  not feasible"))</f>
        <v>Alt  'D'  not feasible</v>
      </c>
      <c r="AF14" s="264" t="str">
        <f>IF(AB14&lt;=Sheet1!D$148, (1/((1+AF$10)^(AB14-0.5)))," ")</f>
        <v xml:space="preserve"> </v>
      </c>
      <c r="AG14" s="263" t="str">
        <f>IF(AND(Sheet1!D$196=1,AB14&lt;&gt;" "),ROUND(+AE14*AF14,Sheet1!D$75)," ")</f>
        <v xml:space="preserve"> </v>
      </c>
      <c r="AH14" s="264" t="str">
        <f>IF(AB14&lt;&gt;" ",ROUND(VLOOKUP(Sheet1!E$82,CHOOSE(Sheet1!D$215,Inflate1,Inflate2,Inflate3,Inflate4,Inflate5,Inflate6,Inflate7,Inflate8),2),4)," ")</f>
        <v xml:space="preserve"> </v>
      </c>
      <c r="AI14" s="264" t="str">
        <f>IF(AB14&lt;&gt;" ",ROUND(VLOOKUP(AC14,CHOOSE(Sheet1!D$215,Inflate1,Inflate2,Inflate3,Inflate4,Inflate5,Inflate6,Inflate7,Inflate8),3),4)," ")</f>
        <v xml:space="preserve"> </v>
      </c>
      <c r="AJ14" s="263" t="b">
        <f>IF(AND(Sheet1!D$196=1,AB14&lt;&gt;" "),IF(AND(O14&lt;=10,OR(Sheet1!D$8=2,Sheet1!D$8=3,Sheet1!D$22=3)),ROUND((AE14/AH14)*AI14,Sheet1!D$75),IF(AND(Sheet1!D$8&lt;&gt;2,Sheet1!D$8&lt;&gt;3,Sheet1!D$22&lt;&gt;3),ROUND((AE14/AH14)*AI14,Sheet1!D$75)," ")))</f>
        <v>0</v>
      </c>
    </row>
    <row r="15" spans="1:36" ht="12" customHeight="1" x14ac:dyDescent="0.25">
      <c r="A15" s="579" t="str">
        <f>IF(OR(Sheet1!D$192=1,Sheet1!D$196=1),IF(OR((A14&gt;=(Sheet1!D$148+$A$11)-1),AND(Sheet1!D$8=3,A14&gt;=6))," ",A14+1),NA())</f>
        <v xml:space="preserve"> </v>
      </c>
      <c r="B15" s="271" t="str">
        <f>IF(OR(Sheet1!D$192=1,Sheet1!D$196=1),IF(OR((B14&gt;=(Sheet1!D$148+$B$11)-1),AND(Sheet1!D$8=3,A14&gt;=6))," ",B14+1),NA())</f>
        <v xml:space="preserve"> </v>
      </c>
      <c r="C15" s="273"/>
      <c r="D15" s="263" t="str">
        <f>IF(AND(Sheet1!D$192=1,A15&lt;&gt;" "),ROUND(VLOOKUP(A15,StatusQuo!A$19:M$68,12),Sheet1!D$75),IF(Sheet1!D$192=1," ","SQ not feasible "))</f>
        <v xml:space="preserve"> </v>
      </c>
      <c r="E15" s="263" t="str">
        <f>IF(AND(Sheet1!D$196=1,A15&lt;&gt;" "),ROUND(VLOOKUP(A15,AlternativeD!A$110:M$159,12),Sheet1!D$75),IF(Sheet1!D$196=1," ","Alt  'D'  not feasible"))</f>
        <v>Alt  'D'  not feasible</v>
      </c>
      <c r="F15" s="263" t="str">
        <f>IF(AND(A15&lt;&gt;" ",Sheet1!D$192=1,Sheet1!D$196=1),D15-E15,IF(AND(Sheet1!D$196=1,A15&lt;&gt;" ")," "," "))</f>
        <v xml:space="preserve"> </v>
      </c>
      <c r="G15" s="264" t="str">
        <f>IF(A15&lt;=Sheet1!D$148, (1/((1+G$10)^(A15-0.5)))," ")</f>
        <v xml:space="preserve"> </v>
      </c>
      <c r="H15" s="263" t="str">
        <f>IF(AND(A15&lt;&gt;" ",Sheet1!D$192=1,Sheet1!D$196=1),ROUND(F15*G15,Sheet1!D$75),IF(AND(A15&lt;&gt;" ",Sheet1!D$196=1),ROUND(E15*G15,Sheet1!D$75)," "))</f>
        <v xml:space="preserve"> </v>
      </c>
      <c r="I15" s="264" t="str">
        <f>IF(A15&lt;&gt;" ",ROUND(VLOOKUP(Sheet1!E$82,CHOOSE(Sheet1!D$235,Inflate7,Inflate2,Inflate3,Inflate4,Inflate5,Inflate6,Inflate1,Inflate8),2),4)," ")</f>
        <v xml:space="preserve"> </v>
      </c>
      <c r="J15" s="264" t="str">
        <f>IF(A15&lt;&gt;" ",ROUND(VLOOKUP(B15,CHOOSE(Sheet1!D$235,Inflate7,Inflate2,Inflate3,Inflate4,Inflate5,Inflate6,Inflate1,Inflate8),3),4)," ")</f>
        <v xml:space="preserve"> </v>
      </c>
      <c r="K15" s="265" t="str">
        <f>IF(AND(A15&lt;&gt;" ",Sheet1!D$192=1,Sheet1!D$196=1),ROUND((F15/I15)*J15,Sheet1!D$75),IF(AND(A15&lt;&gt;" ",Sheet1!D$196=1),ROUND((E15/I15)*J15,Sheet1!D$75)," "))</f>
        <v xml:space="preserve"> </v>
      </c>
      <c r="L15" s="254" t="str">
        <f>IF(Sheet1!D$192=1,IF(AND(AA15&gt;AJ$61,AA14&lt;=AJ$61),"&lt;-Payback"," ")," ")</f>
        <v xml:space="preserve"> </v>
      </c>
      <c r="M15" s="271" t="str">
        <f>IF(OR(Sheet1!D$192=1,Sheet1!D$196=1),IF(OR((A14&gt;=(Sheet1!D$148+$A$11)-1),AND(Sheet1!D$8=3,A14&gt;=6))," ",A14+1),NA())</f>
        <v xml:space="preserve"> </v>
      </c>
      <c r="N15" s="271" t="str">
        <f>IF(OR(Sheet1!D$192=1,Sheet1!D$196=1),IF(OR((B14&gt;=(Sheet1!D$148+$B$11)-1),AND(Sheet1!D$8=3,A14&gt;=6))," ",B14+1),NA())</f>
        <v xml:space="preserve"> </v>
      </c>
      <c r="O15" s="266" t="e">
        <f>IF(AND(Sheet1!D$8=3,M15=" ")," ",IF(OR(Sheet1!D$192=1,Sheet1!D$196=1),IF(O14&gt;0,IF(AND(OR(Sheet1!D$8=2,Sheet1!D$22=3),O14&gt;=10)," ",O14+1),IF(NOT(Sheet1!D$192=1),0,IF(ROUND(VLOOKUP(A15,StatusQuo!A$19:M$68,13),Sheet1!D$75)-ROUND(VLOOKUP(A15,AlternativeD!A$110:M$159,13),Sheet1!D$75)&gt;0,1,0)))," "))</f>
        <v>#VALUE!</v>
      </c>
      <c r="P15" s="263" t="str">
        <f>IF(AND(A15&lt;&gt;" ",Sheet1!D$192=1,Sheet1!D$196=1),IF(AND(OR(Sheet1!D$8=2,Sheet1!D$22=3),O15&gt;10),0,ROUND(VLOOKUP(A15,StatusQuo!A$19:M$68,13),Sheet1!D$75)),IF(NOT(Sheet1!D$192=1),"not feasible",IF(A15=" "," ", "Savings is  n/a=&gt;")))</f>
        <v xml:space="preserve"> </v>
      </c>
      <c r="Q15" s="263" t="str">
        <f>IF(AND(A15&lt;&gt;" ",Sheet1!D$192=1,Sheet1!D$196=1),IF(AND(OR(Sheet1!D$8=2,Sheet1!D$22=3),O15&gt;10),0,ROUND(VLOOKUP(A15,AlternativeD!A$110:M$159,13),Sheet1!D$75)),IF(NOT(Sheet1!D$196=1),"not feasible",IF(A15=" "," ","&lt;== Savings is n/a")))</f>
        <v>not feasible</v>
      </c>
      <c r="R15" s="263" t="str">
        <f>IF(AND(A15&lt;&gt;" ",Sheet1!D$192=1,Sheet1!D$196=1),IF(G$81&lt;&gt;" ","??????? ",P15-Q15)," ")</f>
        <v xml:space="preserve"> </v>
      </c>
      <c r="S15" s="263" t="str">
        <f>IF(AND(A15&lt;&gt;" ",Sheet1!D$192=1,Sheet1!D$196=1),ROUND(R15*G15,Sheet1!D$75)," ")</f>
        <v xml:space="preserve"> </v>
      </c>
      <c r="T15" s="263" t="str">
        <f>IF(AND(A15&lt;&gt;" ",Sheet1!D$192=1,Sheet1!D$196=1),ROUND((R15/I15)*J15,Sheet1!D$75)," ")</f>
        <v xml:space="preserve"> </v>
      </c>
      <c r="U15" s="265">
        <f>SUM(T$11:T15)</f>
        <v>0</v>
      </c>
      <c r="V15" s="254" t="str">
        <f t="shared" si="0"/>
        <v xml:space="preserve"> </v>
      </c>
      <c r="W15" s="268">
        <f t="shared" si="1"/>
        <v>5</v>
      </c>
      <c r="X15" s="171" t="str">
        <f t="shared" si="2"/>
        <v xml:space="preserve"> </v>
      </c>
      <c r="Y15" s="316"/>
      <c r="AA15" s="265">
        <f>SUM(K$11:K15)</f>
        <v>0</v>
      </c>
      <c r="AB15" s="271" t="str">
        <f>IF(OR(Sheet1!D$192=1,Sheet1!D$196=1),IF(OR((AB14&gt;=(Sheet1!D$148+$A$11)-1),AND(Sheet1!D$8=3,AB14&gt;=6))," ",AB14+1),NA())</f>
        <v xml:space="preserve"> </v>
      </c>
      <c r="AC15" s="271" t="str">
        <f>IF(OR(Sheet1!D$192=1,Sheet1!D$196=1),IF(OR((AC14&gt;=(Sheet1!D$148+$B$11)-1),AND(Sheet1!D$8=3,AB14&gt;=6))," ",AC14+1),NA())</f>
        <v xml:space="preserve"> </v>
      </c>
      <c r="AD15" s="262"/>
      <c r="AE15" s="263" t="str">
        <f>IF(AND(Sheet1!D$196=1,AB15&lt;&gt;" "),ROUND(VLOOKUP(AB15,AlternativeD!A$17:M$66,12),Sheet1!D$75),IF(Sheet1!D$196=1," ","Alt  'D'  not feasible"))</f>
        <v>Alt  'D'  not feasible</v>
      </c>
      <c r="AF15" s="264" t="str">
        <f>IF(AB15&lt;=Sheet1!D$148, (1/((1+AF$10)^(AB15-0.5)))," ")</f>
        <v xml:space="preserve"> </v>
      </c>
      <c r="AG15" s="263" t="str">
        <f>IF(AND(Sheet1!D$196=1,AB15&lt;&gt;" "),ROUND(+AE15*AF15,Sheet1!D$75)," ")</f>
        <v xml:space="preserve"> </v>
      </c>
      <c r="AH15" s="264" t="str">
        <f>IF(AB15&lt;&gt;" ",ROUND(VLOOKUP(Sheet1!E$82,CHOOSE(Sheet1!D$215,Inflate1,Inflate2,Inflate3,Inflate4,Inflate5,Inflate6,Inflate7,Inflate8),2),4)," ")</f>
        <v xml:space="preserve"> </v>
      </c>
      <c r="AI15" s="264" t="str">
        <f>IF(AB15&lt;&gt;" ",ROUND(VLOOKUP(AC15,CHOOSE(Sheet1!D$215,Inflate1,Inflate2,Inflate3,Inflate4,Inflate5,Inflate6,Inflate7,Inflate8),3),4)," ")</f>
        <v xml:space="preserve"> </v>
      </c>
      <c r="AJ15" s="263" t="b">
        <f>IF(AND(Sheet1!D$196=1,AB15&lt;&gt;" "),IF(AND(O15&lt;=10,OR(Sheet1!D$8=2,Sheet1!D$8=3,Sheet1!D$22=3)),ROUND((AE15/AH15)*AI15,Sheet1!D$75),IF(AND(Sheet1!D$8&lt;&gt;2,Sheet1!D$8&lt;&gt;3,Sheet1!D$22&lt;&gt;3),ROUND((AE15/AH15)*AI15,Sheet1!D$75)," ")))</f>
        <v>0</v>
      </c>
    </row>
    <row r="16" spans="1:36" ht="12" customHeight="1" x14ac:dyDescent="0.2">
      <c r="A16" s="579" t="str">
        <f>IF(OR(Sheet1!D$192=1,Sheet1!D$196=1),IF(OR((A15&gt;=(Sheet1!D$148+$A$11)-1),AND(Sheet1!D$8=3,A15&gt;=6))," ",A15+1),NA())</f>
        <v xml:space="preserve"> </v>
      </c>
      <c r="B16" s="271" t="str">
        <f>IF(OR(Sheet1!D$192=1,Sheet1!D$196=1),IF(OR((B15&gt;=(Sheet1!D$148+$B$11)-1),AND(Sheet1!D$8=3,A15&gt;=6))," ",B15+1),NA())</f>
        <v xml:space="preserve"> </v>
      </c>
      <c r="C16" s="273"/>
      <c r="D16" s="263" t="str">
        <f>IF(AND(Sheet1!D$192=1,A16&lt;&gt;" "),ROUND(VLOOKUP(A16,StatusQuo!A$19:M$68,12),Sheet1!D$75),IF(Sheet1!D$192=1," ","SQ not feasible "))</f>
        <v xml:space="preserve"> </v>
      </c>
      <c r="E16" s="263" t="str">
        <f>IF(AND(Sheet1!D$196=1,A16&lt;&gt;" "),ROUND(VLOOKUP(A16,AlternativeD!A$110:M$159,12),Sheet1!D$75),IF(Sheet1!D$196=1," ","Alt  'D'  not feasible"))</f>
        <v>Alt  'D'  not feasible</v>
      </c>
      <c r="F16" s="263" t="str">
        <f>IF(AND(A16&lt;&gt;" ",Sheet1!D$192=1,Sheet1!D$196=1),D16-E16,IF(AND(Sheet1!D$196=1,A16&lt;&gt;" ")," "," "))</f>
        <v xml:space="preserve"> </v>
      </c>
      <c r="G16" s="264" t="str">
        <f>IF(A16&lt;=Sheet1!D$148, (1/((1+G$10)^(A16-0.5)))," ")</f>
        <v xml:space="preserve"> </v>
      </c>
      <c r="H16" s="263" t="str">
        <f>IF(AND(A16&lt;&gt;" ",Sheet1!D$192=1,Sheet1!D$196=1),ROUND(F16*G16,Sheet1!D$75),IF(AND(A16&lt;&gt;" ",Sheet1!D$196=1),ROUND(E16*G16,Sheet1!D$75)," "))</f>
        <v xml:space="preserve"> </v>
      </c>
      <c r="I16" s="264" t="str">
        <f>IF(A16&lt;&gt;" ",ROUND(VLOOKUP(Sheet1!E$82,CHOOSE(Sheet1!D$235,Inflate7,Inflate2,Inflate3,Inflate4,Inflate5,Inflate6,Inflate1,Inflate8),2),4)," ")</f>
        <v xml:space="preserve"> </v>
      </c>
      <c r="J16" s="264" t="str">
        <f>IF(A16&lt;&gt;" ",ROUND(VLOOKUP(B16,CHOOSE(Sheet1!D$235,Inflate7,Inflate2,Inflate3,Inflate4,Inflate5,Inflate6,Inflate1,Inflate8),3),4)," ")</f>
        <v xml:space="preserve"> </v>
      </c>
      <c r="K16" s="265" t="str">
        <f>IF(AND(A16&lt;&gt;" ",Sheet1!D$192=1,Sheet1!D$196=1),ROUND((F16/I16)*J16,Sheet1!D$75),IF(AND(A16&lt;&gt;" ",Sheet1!D$196=1),ROUND((E16/I16)*J16,Sheet1!D$75)," "))</f>
        <v xml:space="preserve"> </v>
      </c>
      <c r="L16" s="254" t="str">
        <f>IF(Sheet1!D$192=1,IF(AND(AA16&gt;AJ$61,AA15&lt;=AJ$61),"&lt;-Payback"," ")," ")</f>
        <v xml:space="preserve"> </v>
      </c>
      <c r="M16" s="271" t="str">
        <f>IF(OR(Sheet1!D$192=1,Sheet1!D$196=1),IF(OR((A15&gt;=(Sheet1!D$148+$A$11)-1),AND(Sheet1!D$8=3,A15&gt;=6))," ",A15+1),NA())</f>
        <v xml:space="preserve"> </v>
      </c>
      <c r="N16" s="271" t="str">
        <f>IF(OR(Sheet1!D$192=1,Sheet1!D$196=1),IF(OR((B15&gt;=(Sheet1!D$148+$B$11)-1),AND(Sheet1!D$8=3,A15&gt;=6))," ",B15+1),NA())</f>
        <v xml:space="preserve"> </v>
      </c>
      <c r="O16" s="266" t="e">
        <f>IF(AND(Sheet1!D$8=3,M16=" ")," ",IF(OR(Sheet1!D$192=1,Sheet1!D$196=1),IF(O15&gt;0,IF(AND(OR(Sheet1!D$8=2,Sheet1!D$22=3),O15&gt;=10)," ",O15+1),IF(NOT(Sheet1!D$192=1),0,IF(ROUND(VLOOKUP(A16,StatusQuo!A$19:M$68,13),Sheet1!D$75)-ROUND(VLOOKUP(A16,AlternativeD!A$110:M$159,13),Sheet1!D$75)&gt;0,1,0)))," "))</f>
        <v>#VALUE!</v>
      </c>
      <c r="P16" s="263" t="str">
        <f>IF(AND(A16&lt;&gt;" ",Sheet1!D$192=1,Sheet1!D$196=1),IF(AND(OR(Sheet1!D$8=2,Sheet1!D$22=3),O16&gt;10),0,ROUND(VLOOKUP(A16,StatusQuo!A$19:M$68,13),Sheet1!D$75)),IF(NOT(Sheet1!D$192=1),"not feasible",IF(A16=" "," ", "Savings is  n/a=&gt;")))</f>
        <v xml:space="preserve"> </v>
      </c>
      <c r="Q16" s="263" t="str">
        <f>IF(AND(A16&lt;&gt;" ",Sheet1!D$192=1,Sheet1!D$196=1),IF(AND(OR(Sheet1!D$8=2,Sheet1!D$22=3),O16&gt;10),0,ROUND(VLOOKUP(A16,AlternativeD!A$110:M$159,13),Sheet1!D$75)),IF(NOT(Sheet1!D$196=1),"not feasible",IF(A16=" "," ","&lt;== Savings is n/a")))</f>
        <v>not feasible</v>
      </c>
      <c r="R16" s="263" t="str">
        <f>IF(AND(A16&lt;&gt;" ",Sheet1!D$192=1,Sheet1!D$196=1),IF(G$81&lt;&gt;" ","??????? ",P16-Q16)," ")</f>
        <v xml:space="preserve"> </v>
      </c>
      <c r="S16" s="263" t="str">
        <f>IF(AND(A16&lt;&gt;" ",Sheet1!D$192=1,Sheet1!D$196=1),ROUND(R16*G16,Sheet1!D$75)," ")</f>
        <v xml:space="preserve"> </v>
      </c>
      <c r="T16" s="263" t="str">
        <f>IF(AND(A16&lt;&gt;" ",Sheet1!D$192=1,Sheet1!D$196=1),ROUND((R16/I16)*J16,Sheet1!D$75)," ")</f>
        <v xml:space="preserve"> </v>
      </c>
      <c r="U16" s="265">
        <f>SUM(T$11:T16)</f>
        <v>0</v>
      </c>
      <c r="V16" s="254" t="str">
        <f t="shared" si="0"/>
        <v xml:space="preserve"> </v>
      </c>
      <c r="W16" s="268">
        <f t="shared" si="1"/>
        <v>6</v>
      </c>
      <c r="X16" s="171" t="str">
        <f t="shared" si="2"/>
        <v xml:space="preserve"> </v>
      </c>
      <c r="AA16" s="265">
        <f>SUM(K$11:K16)</f>
        <v>0</v>
      </c>
      <c r="AB16" s="271" t="str">
        <f>IF(OR(Sheet1!D$192=1,Sheet1!D$196=1),IF(OR((AB15&gt;=(Sheet1!D$148+$A$11)-1),AND(Sheet1!D$8=3,AB15&gt;=6))," ",AB15+1),NA())</f>
        <v xml:space="preserve"> </v>
      </c>
      <c r="AC16" s="271" t="str">
        <f>IF(OR(Sheet1!D$192=1,Sheet1!D$196=1),IF(OR((AC15&gt;=(Sheet1!D$148+$B$11)-1),AND(Sheet1!D$8=3,AB15&gt;=6))," ",AC15+1),NA())</f>
        <v xml:space="preserve"> </v>
      </c>
      <c r="AD16" s="262"/>
      <c r="AE16" s="263" t="str">
        <f>IF(AND(Sheet1!D$196=1,AB16&lt;&gt;" "),ROUND(VLOOKUP(AB16,AlternativeD!A$17:M$66,12),Sheet1!D$75),IF(Sheet1!D$196=1," ","Alt  'D'  not feasible"))</f>
        <v>Alt  'D'  not feasible</v>
      </c>
      <c r="AF16" s="264" t="str">
        <f>IF(AB16&lt;=Sheet1!D$148, (1/((1+AF$10)^(AB16-0.5)))," ")</f>
        <v xml:space="preserve"> </v>
      </c>
      <c r="AG16" s="263" t="str">
        <f>IF(AND(Sheet1!D$196=1,AB16&lt;&gt;" "),ROUND(+AE16*AF16,Sheet1!D$75)," ")</f>
        <v xml:space="preserve"> </v>
      </c>
      <c r="AH16" s="264" t="str">
        <f>IF(AB16&lt;&gt;" ",ROUND(VLOOKUP(Sheet1!E$82,CHOOSE(Sheet1!D$215,Inflate1,Inflate2,Inflate3,Inflate4,Inflate5,Inflate6,Inflate7,Inflate8),2),4)," ")</f>
        <v xml:space="preserve"> </v>
      </c>
      <c r="AI16" s="264" t="str">
        <f>IF(AB16&lt;&gt;" ",ROUND(VLOOKUP(AC16,CHOOSE(Sheet1!D$215,Inflate1,Inflate2,Inflate3,Inflate4,Inflate5,Inflate6,Inflate7,Inflate8),3),4)," ")</f>
        <v xml:space="preserve"> </v>
      </c>
      <c r="AJ16" s="263" t="b">
        <f>IF(AND(Sheet1!D$196=1,AB16&lt;&gt;" "),IF(AND(O16&lt;=10,OR(Sheet1!D$8=2,Sheet1!D$8=3,Sheet1!D$22=3)),ROUND((AE16/AH16)*AI16,Sheet1!D$75),IF(AND(Sheet1!D$8&lt;&gt;2,Sheet1!D$8&lt;&gt;3,Sheet1!D$22&lt;&gt;3),ROUND((AE16/AH16)*AI16,Sheet1!D$75)," ")))</f>
        <v>0</v>
      </c>
    </row>
    <row r="17" spans="1:36" ht="12" customHeight="1" x14ac:dyDescent="0.2">
      <c r="A17" s="579" t="str">
        <f>IF(OR(Sheet1!D$192=1,Sheet1!D$196=1),IF(OR((A16&gt;=(Sheet1!D$148+$A$11)-1),AND(Sheet1!D$8=3,A16&gt;=6))," ",A16+1),NA())</f>
        <v xml:space="preserve"> </v>
      </c>
      <c r="B17" s="271" t="str">
        <f>IF(OR(Sheet1!D$192=1,Sheet1!D$196=1),IF(OR((B16&gt;=(Sheet1!D$148+$B$11)-1),AND(Sheet1!D$8=3,A16&gt;=6))," ",B16+1),NA())</f>
        <v xml:space="preserve"> </v>
      </c>
      <c r="C17" s="273"/>
      <c r="D17" s="263" t="str">
        <f>IF(AND(Sheet1!D$192=1,A17&lt;&gt;" "),ROUND(VLOOKUP(A17,StatusQuo!A$19:M$68,12),Sheet1!D$75),IF(Sheet1!D$192=1," ","SQ not feasible "))</f>
        <v xml:space="preserve"> </v>
      </c>
      <c r="E17" s="263" t="str">
        <f>IF(AND(Sheet1!D$196=1,A17&lt;&gt;" "),ROUND(VLOOKUP(A17,AlternativeD!A$110:M$159,12),Sheet1!D$75),IF(Sheet1!D$196=1," ","Alt  'D'  not feasible"))</f>
        <v>Alt  'D'  not feasible</v>
      </c>
      <c r="F17" s="263" t="str">
        <f>IF(AND(A17&lt;&gt;" ",Sheet1!D$192=1,Sheet1!D$196=1),D17-E17,IF(AND(Sheet1!D$196=1,A17&lt;&gt;" ")," "," "))</f>
        <v xml:space="preserve"> </v>
      </c>
      <c r="G17" s="264" t="str">
        <f>IF(A17&lt;=Sheet1!D$148, (1/((1+G$10)^(A17-0.5)))," ")</f>
        <v xml:space="preserve"> </v>
      </c>
      <c r="H17" s="263" t="str">
        <f>IF(AND(A17&lt;&gt;" ",Sheet1!D$192=1,Sheet1!D$196=1),ROUND(F17*G17,Sheet1!D$75),IF(AND(A17&lt;&gt;" ",Sheet1!D$196=1),ROUND(E17*G17,Sheet1!D$75)," "))</f>
        <v xml:space="preserve"> </v>
      </c>
      <c r="I17" s="264" t="str">
        <f>IF(A17&lt;&gt;" ",ROUND(VLOOKUP(Sheet1!E$82,CHOOSE(Sheet1!D$235,Inflate7,Inflate2,Inflate3,Inflate4,Inflate5,Inflate6,Inflate1,Inflate8),2),4)," ")</f>
        <v xml:space="preserve"> </v>
      </c>
      <c r="J17" s="264" t="str">
        <f>IF(A17&lt;&gt;" ",ROUND(VLOOKUP(B17,CHOOSE(Sheet1!D$235,Inflate7,Inflate2,Inflate3,Inflate4,Inflate5,Inflate6,Inflate1,Inflate8),3),4)," ")</f>
        <v xml:space="preserve"> </v>
      </c>
      <c r="K17" s="265" t="str">
        <f>IF(AND(A17&lt;&gt;" ",Sheet1!D$192=1,Sheet1!D$196=1),ROUND((F17/I17)*J17,Sheet1!D$75),IF(AND(A17&lt;&gt;" ",Sheet1!D$196=1),ROUND((E17/I17)*J17,Sheet1!D$75)," "))</f>
        <v xml:space="preserve"> </v>
      </c>
      <c r="L17" s="254" t="str">
        <f>IF(Sheet1!D$192=1,IF(AND(AA17&gt;AJ$61,AA16&lt;=AJ$61),"&lt;-Payback"," ")," ")</f>
        <v xml:space="preserve"> </v>
      </c>
      <c r="M17" s="271" t="str">
        <f>IF(OR(Sheet1!D$192=1,Sheet1!D$196=1),IF(OR((A16&gt;=(Sheet1!D$148+$A$11)-1),AND(Sheet1!D$8=3,A16&gt;=6))," ",A16+1),NA())</f>
        <v xml:space="preserve"> </v>
      </c>
      <c r="N17" s="271" t="str">
        <f>IF(OR(Sheet1!D$192=1,Sheet1!D$196=1),IF(OR((B16&gt;=(Sheet1!D$148+$B$11)-1),AND(Sheet1!D$8=3,A16&gt;=6))," ",B16+1),NA())</f>
        <v xml:space="preserve"> </v>
      </c>
      <c r="O17" s="266" t="e">
        <f>IF(AND(Sheet1!D$8=3,M17=" ")," ",IF(OR(Sheet1!D$192=1,Sheet1!D$196=1),IF(O16&gt;0,IF(AND(OR(Sheet1!D$8=2,Sheet1!D$22=3),O16&gt;=10)," ",O16+1),IF(NOT(Sheet1!D$192=1),0,IF(ROUND(VLOOKUP(A17,StatusQuo!A$19:M$68,13),Sheet1!D$75)-ROUND(VLOOKUP(A17,AlternativeD!A$110:M$159,13),Sheet1!D$75)&gt;0,1,0)))," "))</f>
        <v>#VALUE!</v>
      </c>
      <c r="P17" s="263" t="str">
        <f>IF(AND(A17&lt;&gt;" ",Sheet1!D$192=1,Sheet1!D$196=1),IF(AND(OR(Sheet1!D$8=2,Sheet1!D$22=3),O17&gt;10),0,ROUND(VLOOKUP(A17,StatusQuo!A$19:M$68,13),Sheet1!D$75)),IF(NOT(Sheet1!D$192=1),"not feasible",IF(A17=" "," ", "Savings is  n/a=&gt;")))</f>
        <v xml:space="preserve"> </v>
      </c>
      <c r="Q17" s="263" t="str">
        <f>IF(AND(A17&lt;&gt;" ",Sheet1!D$192=1,Sheet1!D$196=1),IF(AND(OR(Sheet1!D$8=2,Sheet1!D$22=3),O17&gt;10),0,ROUND(VLOOKUP(A17,AlternativeD!A$110:M$159,13),Sheet1!D$75)),IF(NOT(Sheet1!D$196=1),"not feasible",IF(A17=" "," ","&lt;== Savings is n/a")))</f>
        <v>not feasible</v>
      </c>
      <c r="R17" s="263" t="str">
        <f>IF(AND(A17&lt;&gt;" ",Sheet1!D$192=1,Sheet1!D$196=1),IF(G$81&lt;&gt;" ","??????? ",P17-Q17)," ")</f>
        <v xml:space="preserve"> </v>
      </c>
      <c r="S17" s="263" t="str">
        <f>IF(AND(A17&lt;&gt;" ",Sheet1!D$192=1,Sheet1!D$196=1),ROUND(R17*G17,Sheet1!D$75)," ")</f>
        <v xml:space="preserve"> </v>
      </c>
      <c r="T17" s="263" t="str">
        <f>IF(AND(A17&lt;&gt;" ",Sheet1!D$192=1,Sheet1!D$196=1),ROUND((R17/I17)*J17,Sheet1!D$75)," ")</f>
        <v xml:space="preserve"> </v>
      </c>
      <c r="U17" s="265">
        <f>SUM(T$11:T17)</f>
        <v>0</v>
      </c>
      <c r="V17" s="254" t="str">
        <f t="shared" si="0"/>
        <v xml:space="preserve"> </v>
      </c>
      <c r="W17" s="268">
        <f t="shared" si="1"/>
        <v>7</v>
      </c>
      <c r="X17" s="171" t="str">
        <f t="shared" si="2"/>
        <v xml:space="preserve"> </v>
      </c>
      <c r="AA17" s="265">
        <f>SUM(K$11:K17)</f>
        <v>0</v>
      </c>
      <c r="AB17" s="271" t="str">
        <f>IF(OR(Sheet1!D$192=1,Sheet1!D$196=1),IF(OR((AB16&gt;=(Sheet1!D$148+$A$11)-1),AND(Sheet1!D$8=3,AB16&gt;=6))," ",AB16+1),NA())</f>
        <v xml:space="preserve"> </v>
      </c>
      <c r="AC17" s="271" t="str">
        <f>IF(OR(Sheet1!D$192=1,Sheet1!D$196=1),IF(OR((AC16&gt;=(Sheet1!D$148+$B$11)-1),AND(Sheet1!D$8=3,AB16&gt;=6))," ",AC16+1),NA())</f>
        <v xml:space="preserve"> </v>
      </c>
      <c r="AD17" s="262"/>
      <c r="AE17" s="263" t="str">
        <f>IF(AND(Sheet1!D$196=1,AB17&lt;&gt;" "),ROUND(VLOOKUP(AB17,AlternativeD!A$17:M$66,12),Sheet1!D$75),IF(Sheet1!D$196=1," ","Alt  'D'  not feasible"))</f>
        <v>Alt  'D'  not feasible</v>
      </c>
      <c r="AF17" s="264" t="str">
        <f>IF(AB17&lt;=Sheet1!D$148, (1/((1+AF$10)^(AB17-0.5)))," ")</f>
        <v xml:space="preserve"> </v>
      </c>
      <c r="AG17" s="263" t="str">
        <f>IF(AND(Sheet1!D$196=1,AB17&lt;&gt;" "),ROUND(+AE17*AF17,Sheet1!D$75)," ")</f>
        <v xml:space="preserve"> </v>
      </c>
      <c r="AH17" s="264" t="str">
        <f>IF(AB17&lt;&gt;" ",ROUND(VLOOKUP(Sheet1!E$82,CHOOSE(Sheet1!D$215,Inflate1,Inflate2,Inflate3,Inflate4,Inflate5,Inflate6,Inflate7,Inflate8),2),4)," ")</f>
        <v xml:space="preserve"> </v>
      </c>
      <c r="AI17" s="264" t="str">
        <f>IF(AB17&lt;&gt;" ",ROUND(VLOOKUP(AC17,CHOOSE(Sheet1!D$215,Inflate1,Inflate2,Inflate3,Inflate4,Inflate5,Inflate6,Inflate7,Inflate8),3),4)," ")</f>
        <v xml:space="preserve"> </v>
      </c>
      <c r="AJ17" s="263" t="b">
        <f>IF(AND(Sheet1!D$196=1,AB17&lt;&gt;" "),IF(AND(O17&lt;=10,OR(Sheet1!D$8=2,Sheet1!D$8=3,Sheet1!D$22=3)),ROUND((AE17/AH17)*AI17,Sheet1!D$75),IF(AND(Sheet1!D$8&lt;&gt;2,Sheet1!D$8&lt;&gt;3,Sheet1!D$22&lt;&gt;3),ROUND((AE17/AH17)*AI17,Sheet1!D$75)," ")))</f>
        <v>0</v>
      </c>
    </row>
    <row r="18" spans="1:36" ht="12" customHeight="1" x14ac:dyDescent="0.2">
      <c r="A18" s="579" t="str">
        <f>IF(OR(Sheet1!D$192=1,Sheet1!D$196=1),IF(OR((A17&gt;=(Sheet1!D$148+$A$11)-1),AND(Sheet1!D$8=3,A17&gt;=6))," ",A17+1),NA())</f>
        <v xml:space="preserve"> </v>
      </c>
      <c r="B18" s="271" t="str">
        <f>IF(OR(Sheet1!D$192=1,Sheet1!D$196=1),IF(OR((B17&gt;=(Sheet1!D$148+$B$11)-1),AND(Sheet1!D$8=3,A17&gt;=6))," ",B17+1),NA())</f>
        <v xml:space="preserve"> </v>
      </c>
      <c r="C18" s="273"/>
      <c r="D18" s="263" t="str">
        <f>IF(AND(Sheet1!D$192=1,A18&lt;&gt;" "),ROUND(VLOOKUP(A18,StatusQuo!A$19:M$68,12),Sheet1!D$75),IF(Sheet1!D$192=1," ","SQ not feasible "))</f>
        <v xml:space="preserve"> </v>
      </c>
      <c r="E18" s="263" t="str">
        <f>IF(AND(Sheet1!D$196=1,A18&lt;&gt;" "),ROUND(VLOOKUP(A18,AlternativeD!A$110:M$159,12),Sheet1!D$75),IF(Sheet1!D$196=1," ","Alt  'D'  not feasible"))</f>
        <v>Alt  'D'  not feasible</v>
      </c>
      <c r="F18" s="263" t="str">
        <f>IF(AND(A18&lt;&gt;" ",Sheet1!D$192=1,Sheet1!D$196=1),D18-E18,IF(AND(Sheet1!D$196=1,A18&lt;&gt;" ")," "," "))</f>
        <v xml:space="preserve"> </v>
      </c>
      <c r="G18" s="264" t="str">
        <f>IF(A18&lt;=Sheet1!D$148, (1/((1+G$10)^(A18-0.5)))," ")</f>
        <v xml:space="preserve"> </v>
      </c>
      <c r="H18" s="263" t="str">
        <f>IF(AND(A18&lt;&gt;" ",Sheet1!D$192=1,Sheet1!D$196=1),ROUND(F18*G18,Sheet1!D$75),IF(AND(A18&lt;&gt;" ",Sheet1!D$196=1),ROUND(E18*G18,Sheet1!D$75)," "))</f>
        <v xml:space="preserve"> </v>
      </c>
      <c r="I18" s="264" t="str">
        <f>IF(A18&lt;&gt;" ",ROUND(VLOOKUP(Sheet1!E$82,CHOOSE(Sheet1!D$235,Inflate7,Inflate2,Inflate3,Inflate4,Inflate5,Inflate6,Inflate1,Inflate8),2),4)," ")</f>
        <v xml:space="preserve"> </v>
      </c>
      <c r="J18" s="264" t="str">
        <f>IF(A18&lt;&gt;" ",ROUND(VLOOKUP(B18,CHOOSE(Sheet1!D$235,Inflate7,Inflate2,Inflate3,Inflate4,Inflate5,Inflate6,Inflate1,Inflate8),3),4)," ")</f>
        <v xml:space="preserve"> </v>
      </c>
      <c r="K18" s="265" t="str">
        <f>IF(AND(A18&lt;&gt;" ",Sheet1!D$192=1,Sheet1!D$196=1),ROUND((F18/I18)*J18,Sheet1!D$75),IF(AND(A18&lt;&gt;" ",Sheet1!D$196=1),ROUND((E18/I18)*J18,Sheet1!D$75)," "))</f>
        <v xml:space="preserve"> </v>
      </c>
      <c r="L18" s="254" t="str">
        <f>IF(Sheet1!D$192=1,IF(AND(AA18&gt;AJ$61,AA17&lt;=AJ$61),"&lt;-Payback"," ")," ")</f>
        <v xml:space="preserve"> </v>
      </c>
      <c r="M18" s="271" t="str">
        <f>IF(OR(Sheet1!D$192=1,Sheet1!D$196=1),IF(OR((A17&gt;=(Sheet1!D$148+$A$11)-1),AND(Sheet1!D$8=3,A17&gt;=6))," ",A17+1),NA())</f>
        <v xml:space="preserve"> </v>
      </c>
      <c r="N18" s="271" t="str">
        <f>IF(OR(Sheet1!D$192=1,Sheet1!D$196=1),IF(OR((B17&gt;=(Sheet1!D$148+$B$11)-1),AND(Sheet1!D$8=3,A17&gt;=6))," ",B17+1),NA())</f>
        <v xml:space="preserve"> </v>
      </c>
      <c r="O18" s="266" t="e">
        <f>IF(AND(Sheet1!D$8=3,M18=" ")," ",IF(OR(Sheet1!D$192=1,Sheet1!D$196=1),IF(O17&gt;0,IF(AND(OR(Sheet1!D$8=2,Sheet1!D$22=3),O17&gt;=10)," ",O17+1),IF(NOT(Sheet1!D$192=1),0,IF(ROUND(VLOOKUP(A18,StatusQuo!A$19:M$68,13),Sheet1!D$75)-ROUND(VLOOKUP(A18,AlternativeD!A$110:M$159,13),Sheet1!D$75)&gt;0,1,0)))," "))</f>
        <v>#VALUE!</v>
      </c>
      <c r="P18" s="263" t="str">
        <f>IF(AND(A18&lt;&gt;" ",Sheet1!D$192=1,Sheet1!D$196=1),IF(AND(OR(Sheet1!D$8=2,Sheet1!D$22=3),O18&gt;10),0,ROUND(VLOOKUP(A18,StatusQuo!A$19:M$68,13),Sheet1!D$75)),IF(NOT(Sheet1!D$192=1),"not feasible",IF(A18=" "," ", "Savings is  n/a=&gt;")))</f>
        <v xml:space="preserve"> </v>
      </c>
      <c r="Q18" s="263" t="str">
        <f>IF(AND(A18&lt;&gt;" ",Sheet1!D$192=1,Sheet1!D$196=1),IF(AND(OR(Sheet1!D$8=2,Sheet1!D$22=3),O18&gt;10),0,ROUND(VLOOKUP(A18,AlternativeD!A$110:M$159,13),Sheet1!D$75)),IF(NOT(Sheet1!D$196=1),"not feasible",IF(A18=" "," ","&lt;== Savings is n/a")))</f>
        <v>not feasible</v>
      </c>
      <c r="R18" s="263" t="str">
        <f>IF(AND(A18&lt;&gt;" ",Sheet1!D$192=1,Sheet1!D$196=1),IF(G$81&lt;&gt;" ","??????? ",P18-Q18)," ")</f>
        <v xml:space="preserve"> </v>
      </c>
      <c r="S18" s="263" t="str">
        <f>IF(AND(A18&lt;&gt;" ",Sheet1!D$192=1,Sheet1!D$196=1),ROUND(R18*G18,Sheet1!D$75)," ")</f>
        <v xml:space="preserve"> </v>
      </c>
      <c r="T18" s="263" t="str">
        <f>IF(AND(A18&lt;&gt;" ",Sheet1!D$192=1,Sheet1!D$196=1),ROUND((R18/I18)*J18,Sheet1!D$75)," ")</f>
        <v xml:space="preserve"> </v>
      </c>
      <c r="U18" s="265">
        <f>SUM(T$11:T18)</f>
        <v>0</v>
      </c>
      <c r="V18" s="254" t="str">
        <f t="shared" si="0"/>
        <v xml:space="preserve"> </v>
      </c>
      <c r="W18" s="268">
        <f t="shared" si="1"/>
        <v>8</v>
      </c>
      <c r="X18" s="171" t="str">
        <f t="shared" si="2"/>
        <v xml:space="preserve"> </v>
      </c>
      <c r="AA18" s="265">
        <f>SUM(K$11:K18)</f>
        <v>0</v>
      </c>
      <c r="AB18" s="271" t="str">
        <f>IF(OR(Sheet1!D$192=1,Sheet1!D$196=1),IF(OR((AB17&gt;=(Sheet1!D$148+$A$11)-1),AND(Sheet1!D$8=3,AB17&gt;=6))," ",AB17+1),NA())</f>
        <v xml:space="preserve"> </v>
      </c>
      <c r="AC18" s="271" t="str">
        <f>IF(OR(Sheet1!D$192=1,Sheet1!D$196=1),IF(OR((AC17&gt;=(Sheet1!D$148+$B$11)-1),AND(Sheet1!D$8=3,AB17&gt;=6))," ",AC17+1),NA())</f>
        <v xml:space="preserve"> </v>
      </c>
      <c r="AD18" s="262"/>
      <c r="AE18" s="263" t="str">
        <f>IF(AND(Sheet1!D$196=1,AB18&lt;&gt;" "),ROUND(VLOOKUP(AB18,AlternativeD!A$17:M$66,12),Sheet1!D$75),IF(Sheet1!D$196=1," ","Alt  'D'  not feasible"))</f>
        <v>Alt  'D'  not feasible</v>
      </c>
      <c r="AF18" s="264" t="str">
        <f>IF(AB18&lt;=Sheet1!D$148, (1/((1+AF$10)^(AB18-0.5)))," ")</f>
        <v xml:space="preserve"> </v>
      </c>
      <c r="AG18" s="263" t="str">
        <f>IF(AND(Sheet1!D$196=1,AB18&lt;&gt;" "),ROUND(+AE18*AF18,Sheet1!D$75)," ")</f>
        <v xml:space="preserve"> </v>
      </c>
      <c r="AH18" s="264" t="str">
        <f>IF(AB18&lt;&gt;" ",ROUND(VLOOKUP(Sheet1!E$82,CHOOSE(Sheet1!D$215,Inflate1,Inflate2,Inflate3,Inflate4,Inflate5,Inflate6,Inflate7,Inflate8),2),4)," ")</f>
        <v xml:space="preserve"> </v>
      </c>
      <c r="AI18" s="264" t="str">
        <f>IF(AB18&lt;&gt;" ",ROUND(VLOOKUP(AC18,CHOOSE(Sheet1!D$215,Inflate1,Inflate2,Inflate3,Inflate4,Inflate5,Inflate6,Inflate7,Inflate8),3),4)," ")</f>
        <v xml:space="preserve"> </v>
      </c>
      <c r="AJ18" s="263" t="b">
        <f>IF(AND(Sheet1!D$196=1,AB18&lt;&gt;" "),IF(AND(O18&lt;=10,OR(Sheet1!D$8=2,Sheet1!D$8=3,Sheet1!D$22=3)),ROUND((AE18/AH18)*AI18,Sheet1!D$75),IF(AND(Sheet1!D$8&lt;&gt;2,Sheet1!D$8&lt;&gt;3,Sheet1!D$22&lt;&gt;3),ROUND((AE18/AH18)*AI18,Sheet1!D$75)," ")))</f>
        <v>0</v>
      </c>
    </row>
    <row r="19" spans="1:36" ht="12" customHeight="1" x14ac:dyDescent="0.2">
      <c r="A19" s="579" t="str">
        <f>IF(OR(Sheet1!D$192=1,Sheet1!D$196=1),IF(OR((A18&gt;=(Sheet1!D$148+$A$11)-1),AND(Sheet1!D$8=3,A18&gt;=6))," ",A18+1),NA())</f>
        <v xml:space="preserve"> </v>
      </c>
      <c r="B19" s="271" t="str">
        <f>IF(OR(Sheet1!D$192=1,Sheet1!D$196=1),IF(OR((B18&gt;=(Sheet1!D$148+$B$11)-1),AND(Sheet1!D$8=3,A18&gt;=6))," ",B18+1),NA())</f>
        <v xml:space="preserve"> </v>
      </c>
      <c r="C19" s="273"/>
      <c r="D19" s="263" t="str">
        <f>IF(AND(Sheet1!D$192=1,A19&lt;&gt;" "),ROUND(VLOOKUP(A19,StatusQuo!A$19:M$68,12),Sheet1!D$75),IF(Sheet1!D$192=1," ","SQ not feasible "))</f>
        <v xml:space="preserve"> </v>
      </c>
      <c r="E19" s="263" t="str">
        <f>IF(AND(Sheet1!D$196=1,A19&lt;&gt;" "),ROUND(VLOOKUP(A19,AlternativeD!A$110:M$159,12),Sheet1!D$75),IF(Sheet1!D$196=1," ","Alt  'D'  not feasible"))</f>
        <v>Alt  'D'  not feasible</v>
      </c>
      <c r="F19" s="263" t="str">
        <f>IF(AND(A19&lt;&gt;" ",Sheet1!D$192=1,Sheet1!D$196=1),D19-E19,IF(AND(Sheet1!D$196=1,A19&lt;&gt;" ")," "," "))</f>
        <v xml:space="preserve"> </v>
      </c>
      <c r="G19" s="264" t="str">
        <f>IF(A19&lt;=Sheet1!D$148, (1/((1+G$10)^(A19-0.5)))," ")</f>
        <v xml:space="preserve"> </v>
      </c>
      <c r="H19" s="263" t="str">
        <f>IF(AND(A19&lt;&gt;" ",Sheet1!D$192=1,Sheet1!D$196=1),ROUND(F19*G19,Sheet1!D$75),IF(AND(A19&lt;&gt;" ",Sheet1!D$196=1),ROUND(E19*G19,Sheet1!D$75)," "))</f>
        <v xml:space="preserve"> </v>
      </c>
      <c r="I19" s="264" t="str">
        <f>IF(A19&lt;&gt;" ",ROUND(VLOOKUP(Sheet1!E$82,CHOOSE(Sheet1!D$235,Inflate7,Inflate2,Inflate3,Inflate4,Inflate5,Inflate6,Inflate1,Inflate8),2),4)," ")</f>
        <v xml:space="preserve"> </v>
      </c>
      <c r="J19" s="264" t="str">
        <f>IF(A19&lt;&gt;" ",ROUND(VLOOKUP(B19,CHOOSE(Sheet1!D$235,Inflate7,Inflate2,Inflate3,Inflate4,Inflate5,Inflate6,Inflate1,Inflate8),3),4)," ")</f>
        <v xml:space="preserve"> </v>
      </c>
      <c r="K19" s="265" t="str">
        <f>IF(AND(A19&lt;&gt;" ",Sheet1!D$192=1,Sheet1!D$196=1),ROUND((F19/I19)*J19,Sheet1!D$75),IF(AND(A19&lt;&gt;" ",Sheet1!D$196=1),ROUND((E19/I19)*J19,Sheet1!D$75)," "))</f>
        <v xml:space="preserve"> </v>
      </c>
      <c r="L19" s="254" t="str">
        <f>IF(Sheet1!D$192=1,IF(AND(AA19&gt;AJ$61,AA18&lt;=AJ$61),"&lt;-Payback"," ")," ")</f>
        <v xml:space="preserve"> </v>
      </c>
      <c r="M19" s="271" t="str">
        <f>IF(OR(Sheet1!D$192=1,Sheet1!D$196=1),IF(OR((A18&gt;=(Sheet1!D$148+$A$11)-1),AND(Sheet1!D$8=3,A18&gt;=6))," ",A18+1),NA())</f>
        <v xml:space="preserve"> </v>
      </c>
      <c r="N19" s="271" t="str">
        <f>IF(OR(Sheet1!D$192=1,Sheet1!D$196=1),IF(OR((B18&gt;=(Sheet1!D$148+$B$11)-1),AND(Sheet1!D$8=3,A18&gt;=6))," ",B18+1),NA())</f>
        <v xml:space="preserve"> </v>
      </c>
      <c r="O19" s="266" t="e">
        <f>IF(AND(Sheet1!D$8=3,M19=" ")," ",IF(OR(Sheet1!D$192=1,Sheet1!D$196=1),IF(O18&gt;0,IF(AND(OR(Sheet1!D$8=2,Sheet1!D$22=3),O18&gt;=10)," ",O18+1),IF(NOT(Sheet1!D$192=1),0,IF(ROUND(VLOOKUP(A19,StatusQuo!A$19:M$68,13),Sheet1!D$75)-ROUND(VLOOKUP(A19,AlternativeD!A$110:M$159,13),Sheet1!D$75)&gt;0,1,0)))," "))</f>
        <v>#VALUE!</v>
      </c>
      <c r="P19" s="263" t="str">
        <f>IF(AND(A19&lt;&gt;" ",Sheet1!D$192=1,Sheet1!D$196=1),IF(AND(OR(Sheet1!D$8=2,Sheet1!D$22=3),O19&gt;10),0,ROUND(VLOOKUP(A19,StatusQuo!A$19:M$68,13),Sheet1!D$75)),IF(NOT(Sheet1!D$192=1),"not feasible",IF(A19=" "," ", "Savings is  n/a=&gt;")))</f>
        <v xml:space="preserve"> </v>
      </c>
      <c r="Q19" s="263" t="str">
        <f>IF(AND(A19&lt;&gt;" ",Sheet1!D$192=1,Sheet1!D$196=1),IF(AND(OR(Sheet1!D$8=2,Sheet1!D$22=3),O19&gt;10),0,ROUND(VLOOKUP(A19,AlternativeD!A$110:M$159,13),Sheet1!D$75)),IF(NOT(Sheet1!D$196=1),"not feasible",IF(A19=" "," ","&lt;== Savings is n/a")))</f>
        <v>not feasible</v>
      </c>
      <c r="R19" s="263" t="str">
        <f>IF(AND(A19&lt;&gt;" ",Sheet1!D$192=1,Sheet1!D$196=1),IF(G$81&lt;&gt;" ","??????? ",P19-Q19)," ")</f>
        <v xml:space="preserve"> </v>
      </c>
      <c r="S19" s="263" t="str">
        <f>IF(AND(A19&lt;&gt;" ",Sheet1!D$192=1,Sheet1!D$196=1),ROUND(R19*G19,Sheet1!D$75)," ")</f>
        <v xml:space="preserve"> </v>
      </c>
      <c r="T19" s="263" t="str">
        <f>IF(AND(A19&lt;&gt;" ",Sheet1!D$192=1,Sheet1!D$196=1),ROUND((R19/I19)*J19,Sheet1!D$75)," ")</f>
        <v xml:space="preserve"> </v>
      </c>
      <c r="U19" s="265">
        <f>SUM(T$11:T19)</f>
        <v>0</v>
      </c>
      <c r="V19" s="254" t="str">
        <f t="shared" si="0"/>
        <v xml:space="preserve"> </v>
      </c>
      <c r="W19" s="268">
        <f t="shared" si="1"/>
        <v>9</v>
      </c>
      <c r="X19" s="171" t="str">
        <f t="shared" si="2"/>
        <v xml:space="preserve"> </v>
      </c>
      <c r="Z19" s="260"/>
      <c r="AA19" s="265">
        <f>SUM(K$11:K19)</f>
        <v>0</v>
      </c>
      <c r="AB19" s="271" t="str">
        <f>IF(OR(Sheet1!D$192=1,Sheet1!D$196=1),IF(OR((AB18&gt;=(Sheet1!D$148+$A$11)-1),AND(Sheet1!D$8=3,AB18&gt;=6))," ",AB18+1),NA())</f>
        <v xml:space="preserve"> </v>
      </c>
      <c r="AC19" s="271" t="str">
        <f>IF(OR(Sheet1!D$192=1,Sheet1!D$196=1),IF(OR((AC18&gt;=(Sheet1!D$148+$B$11)-1),AND(Sheet1!D$8=3,AB18&gt;=6))," ",AC18+1),NA())</f>
        <v xml:space="preserve"> </v>
      </c>
      <c r="AD19" s="262"/>
      <c r="AE19" s="263" t="str">
        <f>IF(AND(Sheet1!D$196=1,AB19&lt;&gt;" "),ROUND(VLOOKUP(AB19,AlternativeD!A$17:M$66,12),Sheet1!D$75),IF(Sheet1!D$196=1," ","Alt  'D'  not feasible"))</f>
        <v>Alt  'D'  not feasible</v>
      </c>
      <c r="AF19" s="264" t="str">
        <f>IF(AB19&lt;=Sheet1!D$148, (1/((1+AF$10)^(AB19-0.5)))," ")</f>
        <v xml:space="preserve"> </v>
      </c>
      <c r="AG19" s="263" t="str">
        <f>IF(AND(Sheet1!D$196=1,AB19&lt;&gt;" "),ROUND(+AE19*AF19,Sheet1!D$75)," ")</f>
        <v xml:space="preserve"> </v>
      </c>
      <c r="AH19" s="264" t="str">
        <f>IF(AB19&lt;&gt;" ",ROUND(VLOOKUP(Sheet1!E$82,CHOOSE(Sheet1!D$215,Inflate1,Inflate2,Inflate3,Inflate4,Inflate5,Inflate6,Inflate7,Inflate8),2),4)," ")</f>
        <v xml:space="preserve"> </v>
      </c>
      <c r="AI19" s="264" t="str">
        <f>IF(AB19&lt;&gt;" ",ROUND(VLOOKUP(AC19,CHOOSE(Sheet1!D$215,Inflate1,Inflate2,Inflate3,Inflate4,Inflate5,Inflate6,Inflate7,Inflate8),3),4)," ")</f>
        <v xml:space="preserve"> </v>
      </c>
      <c r="AJ19" s="263" t="b">
        <f>IF(AND(Sheet1!D$196=1,AB19&lt;&gt;" "),IF(AND(O19&lt;=10,OR(Sheet1!D$8=2,Sheet1!D$8=3,Sheet1!D$22=3)),ROUND((AE19/AH19)*AI19,Sheet1!D$75),IF(AND(Sheet1!D$8&lt;&gt;2,Sheet1!D$8&lt;&gt;3,Sheet1!D$22&lt;&gt;3),ROUND((AE19/AH19)*AI19,Sheet1!D$75)," ")))</f>
        <v>0</v>
      </c>
    </row>
    <row r="20" spans="1:36" ht="12" customHeight="1" x14ac:dyDescent="0.2">
      <c r="A20" s="579" t="str">
        <f>IF(OR(Sheet1!D$192=1,Sheet1!D$196=1),IF(OR((A19&gt;=(Sheet1!D$148+$A$11)-1),AND(Sheet1!D$8=3,A19&gt;=6))," ",A19+1),NA())</f>
        <v xml:space="preserve"> </v>
      </c>
      <c r="B20" s="271" t="str">
        <f>IF(OR(Sheet1!D$192=1,Sheet1!D$196=1),IF(OR((B19&gt;=(Sheet1!D$148+$B$11)-1),AND(Sheet1!D$8=3,A19&gt;=6))," ",B19+1),NA())</f>
        <v xml:space="preserve"> </v>
      </c>
      <c r="C20" s="273"/>
      <c r="D20" s="263" t="str">
        <f>IF(AND(Sheet1!D$192=1,A20&lt;&gt;" "),ROUND(VLOOKUP(A20,StatusQuo!A$19:M$68,12),Sheet1!D$75),IF(Sheet1!D$192=1," ","SQ not feasible "))</f>
        <v xml:space="preserve"> </v>
      </c>
      <c r="E20" s="263" t="str">
        <f>IF(AND(Sheet1!D$196=1,A20&lt;&gt;" "),ROUND(VLOOKUP(A20,AlternativeD!A$110:M$159,12),Sheet1!D$75),IF(Sheet1!D$196=1," ","Alt  'D'  not feasible"))</f>
        <v>Alt  'D'  not feasible</v>
      </c>
      <c r="F20" s="263" t="str">
        <f>IF(AND(A20&lt;&gt;" ",Sheet1!D$192=1,Sheet1!D$196=1),D20-E20,IF(AND(Sheet1!D$196=1,A20&lt;&gt;" ")," "," "))</f>
        <v xml:space="preserve"> </v>
      </c>
      <c r="G20" s="264" t="str">
        <f>IF(A20&lt;=Sheet1!D$148, (1/((1+G$10)^(A20-0.5)))," ")</f>
        <v xml:space="preserve"> </v>
      </c>
      <c r="H20" s="263" t="str">
        <f>IF(AND(A20&lt;&gt;" ",Sheet1!D$192=1,Sheet1!D$196=1),ROUND(F20*G20,Sheet1!D$75),IF(AND(A20&lt;&gt;" ",Sheet1!D$196=1),ROUND(E20*G20,Sheet1!D$75)," "))</f>
        <v xml:space="preserve"> </v>
      </c>
      <c r="I20" s="264" t="str">
        <f>IF(A20&lt;&gt;" ",ROUND(VLOOKUP(Sheet1!E$82,CHOOSE(Sheet1!D$235,Inflate7,Inflate2,Inflate3,Inflate4,Inflate5,Inflate6,Inflate1,Inflate8),2),4)," ")</f>
        <v xml:space="preserve"> </v>
      </c>
      <c r="J20" s="264" t="str">
        <f>IF(A20&lt;&gt;" ",ROUND(VLOOKUP(B20,CHOOSE(Sheet1!D$235,Inflate7,Inflate2,Inflate3,Inflate4,Inflate5,Inflate6,Inflate1,Inflate8),3),4)," ")</f>
        <v xml:space="preserve"> </v>
      </c>
      <c r="K20" s="265" t="str">
        <f>IF(AND(A20&lt;&gt;" ",Sheet1!D$192=1,Sheet1!D$196=1),ROUND((F20/I20)*J20,Sheet1!D$75),IF(AND(A20&lt;&gt;" ",Sheet1!D$196=1),ROUND((E20/I20)*J20,Sheet1!D$75)," "))</f>
        <v xml:space="preserve"> </v>
      </c>
      <c r="L20" s="254" t="str">
        <f>IF(Sheet1!D$192=1,IF(AND(AA20&gt;AJ$61,AA19&lt;=AJ$61),"&lt;-Payback"," ")," ")</f>
        <v xml:space="preserve"> </v>
      </c>
      <c r="M20" s="271" t="str">
        <f>IF(OR(Sheet1!D$192=1,Sheet1!D$196=1),IF(OR((A19&gt;=(Sheet1!D$148+$A$11)-1),AND(Sheet1!D$8=3,A19&gt;=6))," ",A19+1),NA())</f>
        <v xml:space="preserve"> </v>
      </c>
      <c r="N20" s="271" t="str">
        <f>IF(OR(Sheet1!D$192=1,Sheet1!D$196=1),IF(OR((B19&gt;=(Sheet1!D$148+$B$11)-1),AND(Sheet1!D$8=3,A19&gt;=6))," ",B19+1),NA())</f>
        <v xml:space="preserve"> </v>
      </c>
      <c r="O20" s="266" t="e">
        <f>IF(AND(Sheet1!D$8=3,M20=" ")," ",IF(OR(Sheet1!D$192=1,Sheet1!D$196=1),IF(O19&gt;0,IF(AND(OR(Sheet1!D$8=2,Sheet1!D$22=3),O19&gt;=10)," ",O19+1),IF(NOT(Sheet1!D$192=1),0,IF(ROUND(VLOOKUP(A20,StatusQuo!A$19:M$68,13),Sheet1!D$75)-ROUND(VLOOKUP(A20,AlternativeD!A$110:M$159,13),Sheet1!D$75)&gt;0,1,0)))," "))</f>
        <v>#VALUE!</v>
      </c>
      <c r="P20" s="263" t="str">
        <f>IF(AND(A20&lt;&gt;" ",Sheet1!D$192=1,Sheet1!D$196=1),IF(AND(OR(Sheet1!D$8=2,Sheet1!D$22=3),O20&gt;10),0,ROUND(VLOOKUP(A20,StatusQuo!A$19:M$68,13),Sheet1!D$75)),IF(NOT(Sheet1!D$192=1),"not feasible",IF(A20=" "," ", "Savings is  n/a=&gt;")))</f>
        <v xml:space="preserve"> </v>
      </c>
      <c r="Q20" s="263" t="str">
        <f>IF(AND(A20&lt;&gt;" ",Sheet1!D$192=1,Sheet1!D$196=1),IF(AND(OR(Sheet1!D$8=2,Sheet1!D$22=3),O20&gt;10),0,ROUND(VLOOKUP(A20,AlternativeD!A$110:M$159,13),Sheet1!D$75)),IF(NOT(Sheet1!D$196=1),"not feasible",IF(A20=" "," ","&lt;== Savings is n/a")))</f>
        <v>not feasible</v>
      </c>
      <c r="R20" s="263" t="str">
        <f>IF(AND(A20&lt;&gt;" ",Sheet1!D$192=1,Sheet1!D$196=1),IF(G$81&lt;&gt;" ","??????? ",P20-Q20)," ")</f>
        <v xml:space="preserve"> </v>
      </c>
      <c r="S20" s="263" t="str">
        <f>IF(AND(A20&lt;&gt;" ",Sheet1!D$192=1,Sheet1!D$196=1),ROUND(R20*G20,Sheet1!D$75)," ")</f>
        <v xml:space="preserve"> </v>
      </c>
      <c r="T20" s="263" t="str">
        <f>IF(AND(A20&lt;&gt;" ",Sheet1!D$192=1,Sheet1!D$196=1),ROUND((R20/I20)*J20,Sheet1!D$75)," ")</f>
        <v xml:space="preserve"> </v>
      </c>
      <c r="U20" s="265">
        <f>SUM(T$11:T20)</f>
        <v>0</v>
      </c>
      <c r="V20" s="254" t="str">
        <f t="shared" si="0"/>
        <v xml:space="preserve"> </v>
      </c>
      <c r="W20" s="268">
        <f t="shared" si="1"/>
        <v>10</v>
      </c>
      <c r="X20" s="171" t="str">
        <f t="shared" si="2"/>
        <v xml:space="preserve"> </v>
      </c>
      <c r="AA20" s="265">
        <f>SUM(K$11:K20)</f>
        <v>0</v>
      </c>
      <c r="AB20" s="271" t="str">
        <f>IF(OR(Sheet1!D$192=1,Sheet1!D$196=1),IF(OR((AB19&gt;=(Sheet1!D$148+$A$11)-1),AND(Sheet1!D$8=3,AB19&gt;=6))," ",AB19+1),NA())</f>
        <v xml:space="preserve"> </v>
      </c>
      <c r="AC20" s="271" t="str">
        <f>IF(OR(Sheet1!D$192=1,Sheet1!D$196=1),IF(OR((AC19&gt;=(Sheet1!D$148+$B$11)-1),AND(Sheet1!D$8=3,AB19&gt;=6))," ",AC19+1),NA())</f>
        <v xml:space="preserve"> </v>
      </c>
      <c r="AD20" s="262"/>
      <c r="AE20" s="263" t="str">
        <f>IF(AND(Sheet1!D$196=1,AB20&lt;&gt;" "),ROUND(VLOOKUP(AB20,AlternativeD!A$17:M$66,12),Sheet1!D$75),IF(Sheet1!D$196=1," ","Alt  'D'  not feasible"))</f>
        <v>Alt  'D'  not feasible</v>
      </c>
      <c r="AF20" s="264" t="str">
        <f>IF(AB20&lt;=Sheet1!D$148, (1/((1+AF$10)^(AB20-0.5)))," ")</f>
        <v xml:space="preserve"> </v>
      </c>
      <c r="AG20" s="263" t="str">
        <f>IF(AND(Sheet1!D$196=1,AB20&lt;&gt;" "),ROUND(+AE20*AF20,Sheet1!D$75)," ")</f>
        <v xml:space="preserve"> </v>
      </c>
      <c r="AH20" s="264" t="str">
        <f>IF(AB20&lt;&gt;" ",ROUND(VLOOKUP(Sheet1!E$82,CHOOSE(Sheet1!D$215,Inflate1,Inflate2,Inflate3,Inflate4,Inflate5,Inflate6,Inflate7,Inflate8),2),4)," ")</f>
        <v xml:space="preserve"> </v>
      </c>
      <c r="AI20" s="264" t="str">
        <f>IF(AB20&lt;&gt;" ",ROUND(VLOOKUP(AC20,CHOOSE(Sheet1!D$215,Inflate1,Inflate2,Inflate3,Inflate4,Inflate5,Inflate6,Inflate7,Inflate8),3),4)," ")</f>
        <v xml:space="preserve"> </v>
      </c>
      <c r="AJ20" s="263" t="b">
        <f>IF(AND(Sheet1!D$196=1,AB20&lt;&gt;" "),IF(AND(O20&lt;=10,OR(Sheet1!D$8=2,Sheet1!D$8=3,Sheet1!D$22=3)),ROUND((AE20/AH20)*AI20,Sheet1!D$75),IF(AND(Sheet1!D$8&lt;&gt;2,Sheet1!D$8&lt;&gt;3,Sheet1!D$22&lt;&gt;3),ROUND((AE20/AH20)*AI20,Sheet1!D$75)," ")))</f>
        <v>0</v>
      </c>
    </row>
    <row r="21" spans="1:36" ht="12" customHeight="1" x14ac:dyDescent="0.2">
      <c r="A21" s="579" t="str">
        <f>IF(OR(Sheet1!D$192=1,Sheet1!D$196=1),IF(OR((A20&gt;=(Sheet1!D$148+$A$11)-1),AND(Sheet1!D$8=3,A20&gt;=6))," ",A20+1),NA())</f>
        <v xml:space="preserve"> </v>
      </c>
      <c r="B21" s="271" t="str">
        <f>IF(OR(Sheet1!D$192=1,Sheet1!D$196=1),IF(OR((B20&gt;=(Sheet1!D$148+$B$11)-1),AND(Sheet1!D$8=3,A20&gt;=6))," ",B20+1),NA())</f>
        <v xml:space="preserve"> </v>
      </c>
      <c r="C21" s="273"/>
      <c r="D21" s="263" t="str">
        <f>IF(AND(Sheet1!D$192=1,A21&lt;&gt;" "),ROUND(VLOOKUP(A21,StatusQuo!A$19:M$68,12),Sheet1!D$75),IF(Sheet1!D$192=1," ","SQ not feasible "))</f>
        <v xml:space="preserve"> </v>
      </c>
      <c r="E21" s="263" t="str">
        <f>IF(AND(Sheet1!D$196=1,A21&lt;&gt;" "),ROUND(VLOOKUP(A21,AlternativeD!A$110:M$159,12),Sheet1!D$75),IF(Sheet1!D$196=1," ","Alt  'D'  not feasible"))</f>
        <v>Alt  'D'  not feasible</v>
      </c>
      <c r="F21" s="263" t="str">
        <f>IF(AND(A21&lt;&gt;" ",Sheet1!D$192=1,Sheet1!D$196=1),D21-E21,IF(AND(Sheet1!D$196=1,A21&lt;&gt;" ")," "," "))</f>
        <v xml:space="preserve"> </v>
      </c>
      <c r="G21" s="264" t="str">
        <f>IF(A21&lt;=Sheet1!D$148, (1/((1+G$10)^(A21-0.5)))," ")</f>
        <v xml:space="preserve"> </v>
      </c>
      <c r="H21" s="263" t="str">
        <f>IF(AND(A21&lt;&gt;" ",Sheet1!D$192=1,Sheet1!D$196=1),ROUND(F21*G21,Sheet1!D$75),IF(AND(A21&lt;&gt;" ",Sheet1!D$196=1),ROUND(E21*G21,Sheet1!D$75)," "))</f>
        <v xml:space="preserve"> </v>
      </c>
      <c r="I21" s="264" t="str">
        <f>IF(A21&lt;&gt;" ",ROUND(VLOOKUP(Sheet1!E$82,CHOOSE(Sheet1!D$235,Inflate7,Inflate2,Inflate3,Inflate4,Inflate5,Inflate6,Inflate1,Inflate8),2),4)," ")</f>
        <v xml:space="preserve"> </v>
      </c>
      <c r="J21" s="264" t="str">
        <f>IF(A21&lt;&gt;" ",ROUND(VLOOKUP(B21,CHOOSE(Sheet1!D$235,Inflate7,Inflate2,Inflate3,Inflate4,Inflate5,Inflate6,Inflate1,Inflate8),3),4)," ")</f>
        <v xml:space="preserve"> </v>
      </c>
      <c r="K21" s="265" t="str">
        <f>IF(AND(A21&lt;&gt;" ",Sheet1!D$192=1,Sheet1!D$196=1),ROUND((F21/I21)*J21,Sheet1!D$75),IF(AND(A21&lt;&gt;" ",Sheet1!D$196=1),ROUND((E21/I21)*J21,Sheet1!D$75)," "))</f>
        <v xml:space="preserve"> </v>
      </c>
      <c r="L21" s="254" t="str">
        <f>IF(Sheet1!D$192=1,IF(AND(AA21&gt;AJ$61,AA20&lt;=AJ$61),"&lt;-Payback"," ")," ")</f>
        <v xml:space="preserve"> </v>
      </c>
      <c r="M21" s="271" t="str">
        <f>IF(OR(Sheet1!D$192=1,Sheet1!D$196=1),IF(OR((A20&gt;=(Sheet1!D$148+$A$11)-1),AND(Sheet1!D$8=3,A20&gt;=6))," ",A20+1),NA())</f>
        <v xml:space="preserve"> </v>
      </c>
      <c r="N21" s="271" t="str">
        <f>IF(OR(Sheet1!D$192=1,Sheet1!D$196=1),IF(OR((B20&gt;=(Sheet1!D$148+$B$11)-1),AND(Sheet1!D$8=3,A20&gt;=6))," ",B20+1),NA())</f>
        <v xml:space="preserve"> </v>
      </c>
      <c r="O21" s="266" t="e">
        <f>IF(AND(Sheet1!D$8=3,M21=" ")," ",IF(OR(Sheet1!D$192=1,Sheet1!D$196=1),IF(O20&gt;0,IF(AND(OR(Sheet1!D$8=2,Sheet1!D$22=3),O20&gt;=10)," ",O20+1),IF(NOT(Sheet1!D$192=1),0,IF(ROUND(VLOOKUP(A21,StatusQuo!A$19:M$68,13),Sheet1!D$75)-ROUND(VLOOKUP(A21,AlternativeD!A$110:M$159,13),Sheet1!D$75)&gt;0,1,0)))," "))</f>
        <v>#VALUE!</v>
      </c>
      <c r="P21" s="263" t="str">
        <f>IF(AND(A21&lt;&gt;" ",Sheet1!D$192=1,Sheet1!D$196=1),IF(AND(OR(Sheet1!D$8=2,Sheet1!D$22=3),O21&gt;10),0,ROUND(VLOOKUP(A21,StatusQuo!A$19:M$68,13),Sheet1!D$75)),IF(NOT(Sheet1!D$192=1),"not feasible",IF(A21=" "," ", "Savings is  n/a=&gt;")))</f>
        <v xml:space="preserve"> </v>
      </c>
      <c r="Q21" s="263" t="str">
        <f>IF(AND(A21&lt;&gt;" ",Sheet1!D$192=1,Sheet1!D$196=1),IF(AND(OR(Sheet1!D$8=2,Sheet1!D$22=3),O21&gt;10),0,ROUND(VLOOKUP(A21,AlternativeD!A$110:M$159,13),Sheet1!D$75)),IF(NOT(Sheet1!D$196=1),"not feasible",IF(A21=" "," ","&lt;== Savings is n/a")))</f>
        <v>not feasible</v>
      </c>
      <c r="R21" s="263" t="str">
        <f>IF(AND(A21&lt;&gt;" ",Sheet1!D$192=1,Sheet1!D$196=1),IF(G$81&lt;&gt;" ","??????? ",P21-Q21)," ")</f>
        <v xml:space="preserve"> </v>
      </c>
      <c r="S21" s="263" t="str">
        <f>IF(AND(A21&lt;&gt;" ",Sheet1!D$192=1,Sheet1!D$196=1),ROUND(R21*G21,Sheet1!D$75)," ")</f>
        <v xml:space="preserve"> </v>
      </c>
      <c r="T21" s="263" t="str">
        <f>IF(AND(A21&lt;&gt;" ",Sheet1!D$192=1,Sheet1!D$196=1),ROUND((R21/I21)*J21,Sheet1!D$75)," ")</f>
        <v xml:space="preserve"> </v>
      </c>
      <c r="U21" s="265">
        <f>SUM(T$11:T21)</f>
        <v>0</v>
      </c>
      <c r="V21" s="254" t="str">
        <f t="shared" si="0"/>
        <v xml:space="preserve"> </v>
      </c>
      <c r="W21" s="268">
        <f t="shared" si="1"/>
        <v>11</v>
      </c>
      <c r="X21" s="171" t="str">
        <f t="shared" si="2"/>
        <v xml:space="preserve"> </v>
      </c>
      <c r="AA21" s="265">
        <f>SUM(K$11:K21)</f>
        <v>0</v>
      </c>
      <c r="AB21" s="271" t="str">
        <f>IF(OR(Sheet1!D$192=1,Sheet1!D$196=1),IF(OR((AB20&gt;=(Sheet1!D$148+$A$11)-1),AND(Sheet1!D$8=3,AB20&gt;=6))," ",AB20+1),NA())</f>
        <v xml:space="preserve"> </v>
      </c>
      <c r="AC21" s="271" t="str">
        <f>IF(OR(Sheet1!D$192=1,Sheet1!D$196=1),IF(OR((AC20&gt;=(Sheet1!D$148+$B$11)-1),AND(Sheet1!D$8=3,AB20&gt;=6))," ",AC20+1),NA())</f>
        <v xml:space="preserve"> </v>
      </c>
      <c r="AD21" s="262"/>
      <c r="AE21" s="263" t="str">
        <f>IF(AND(Sheet1!D$196=1,AB21&lt;&gt;" "),ROUND(VLOOKUP(AB21,AlternativeD!A$17:M$66,12),Sheet1!D$75),IF(Sheet1!D$196=1," ","Alt  'D'  not feasible"))</f>
        <v>Alt  'D'  not feasible</v>
      </c>
      <c r="AF21" s="264" t="str">
        <f>IF(AB21&lt;=Sheet1!D$148, (1/((1+AF$10)^(AB21-0.5)))," ")</f>
        <v xml:space="preserve"> </v>
      </c>
      <c r="AG21" s="263" t="str">
        <f>IF(AND(Sheet1!D$196=1,AB21&lt;&gt;" "),ROUND(+AE21*AF21,Sheet1!D$75)," ")</f>
        <v xml:space="preserve"> </v>
      </c>
      <c r="AH21" s="264" t="str">
        <f>IF(AB21&lt;&gt;" ",ROUND(VLOOKUP(Sheet1!E$82,CHOOSE(Sheet1!D$215,Inflate1,Inflate2,Inflate3,Inflate4,Inflate5,Inflate6,Inflate7,Inflate8),2),4)," ")</f>
        <v xml:space="preserve"> </v>
      </c>
      <c r="AI21" s="264" t="str">
        <f>IF(AB21&lt;&gt;" ",ROUND(VLOOKUP(AC21,CHOOSE(Sheet1!D$215,Inflate1,Inflate2,Inflate3,Inflate4,Inflate5,Inflate6,Inflate7,Inflate8),3),4)," ")</f>
        <v xml:space="preserve"> </v>
      </c>
      <c r="AJ21" s="263" t="b">
        <f>IF(AND(Sheet1!D$196=1,AB21&lt;&gt;" "),IF(AND(O21&lt;=10,OR(Sheet1!D$8=2,Sheet1!D$8=3,Sheet1!D$22=3)),ROUND((AE21/AH21)*AI21,Sheet1!D$75),IF(AND(Sheet1!D$8&lt;&gt;2,Sheet1!D$8&lt;&gt;3,Sheet1!D$22&lt;&gt;3),ROUND((AE21/AH21)*AI21,Sheet1!D$75)," ")))</f>
        <v>0</v>
      </c>
    </row>
    <row r="22" spans="1:36" ht="12" customHeight="1" x14ac:dyDescent="0.2">
      <c r="A22" s="579" t="str">
        <f>IF(OR(Sheet1!D$192=1,Sheet1!D$196=1),IF(OR((A21&gt;=(Sheet1!D$148+$A$11)-1),AND(Sheet1!D$8=3,A21&gt;=6))," ",A21+1),NA())</f>
        <v xml:space="preserve"> </v>
      </c>
      <c r="B22" s="271" t="str">
        <f>IF(OR(Sheet1!D$192=1,Sheet1!D$196=1),IF(OR((B21&gt;=(Sheet1!D$148+$B$11)-1),AND(Sheet1!D$8=3,A21&gt;=6))," ",B21+1),NA())</f>
        <v xml:space="preserve"> </v>
      </c>
      <c r="C22" s="273"/>
      <c r="D22" s="263" t="str">
        <f>IF(AND(Sheet1!D$192=1,A22&lt;&gt;" "),ROUND(VLOOKUP(A22,StatusQuo!A$19:M$68,12),Sheet1!D$75),IF(Sheet1!D$192=1," ","SQ not feasible "))</f>
        <v xml:space="preserve"> </v>
      </c>
      <c r="E22" s="263" t="str">
        <f>IF(AND(Sheet1!D$196=1,A22&lt;&gt;" "),ROUND(VLOOKUP(A22,AlternativeD!A$110:M$159,12),Sheet1!D$75),IF(Sheet1!D$196=1," ","Alt  'D'  not feasible"))</f>
        <v>Alt  'D'  not feasible</v>
      </c>
      <c r="F22" s="263" t="str">
        <f>IF(AND(A22&lt;&gt;" ",Sheet1!D$192=1,Sheet1!D$196=1),D22-E22,IF(AND(Sheet1!D$196=1,A22&lt;&gt;" ")," "," "))</f>
        <v xml:space="preserve"> </v>
      </c>
      <c r="G22" s="264" t="str">
        <f>IF(A22&lt;=Sheet1!D$148, (1/((1+G$10)^(A22-0.5)))," ")</f>
        <v xml:space="preserve"> </v>
      </c>
      <c r="H22" s="263" t="str">
        <f>IF(AND(A22&lt;&gt;" ",Sheet1!D$192=1,Sheet1!D$196=1),ROUND(F22*G22,Sheet1!D$75),IF(AND(A22&lt;&gt;" ",Sheet1!D$196=1),ROUND(E22*G22,Sheet1!D$75)," "))</f>
        <v xml:space="preserve"> </v>
      </c>
      <c r="I22" s="264" t="str">
        <f>IF(A22&lt;&gt;" ",ROUND(VLOOKUP(Sheet1!E$82,CHOOSE(Sheet1!D$235,Inflate7,Inflate2,Inflate3,Inflate4,Inflate5,Inflate6,Inflate1,Inflate8),2),4)," ")</f>
        <v xml:space="preserve"> </v>
      </c>
      <c r="J22" s="264" t="str">
        <f>IF(A22&lt;&gt;" ",ROUND(VLOOKUP(B22,CHOOSE(Sheet1!D$235,Inflate7,Inflate2,Inflate3,Inflate4,Inflate5,Inflate6,Inflate1,Inflate8),3),4)," ")</f>
        <v xml:space="preserve"> </v>
      </c>
      <c r="K22" s="265" t="str">
        <f>IF(AND(A22&lt;&gt;" ",Sheet1!D$192=1,Sheet1!D$196=1),ROUND((F22/I22)*J22,Sheet1!D$75),IF(AND(A22&lt;&gt;" ",Sheet1!D$196=1),ROUND((E22/I22)*J22,Sheet1!D$75)," "))</f>
        <v xml:space="preserve"> </v>
      </c>
      <c r="L22" s="254" t="str">
        <f>IF(Sheet1!D$192=1,IF(AND(AA22&gt;AJ$61,AA21&lt;=AJ$61),"&lt;-Payback"," ")," ")</f>
        <v xml:space="preserve"> </v>
      </c>
      <c r="M22" s="271" t="str">
        <f>IF(OR(Sheet1!D$192=1,Sheet1!D$196=1),IF(OR((A21&gt;=(Sheet1!D$148+$A$11)-1),AND(Sheet1!D$8=3,A21&gt;=6))," ",A21+1),NA())</f>
        <v xml:space="preserve"> </v>
      </c>
      <c r="N22" s="271" t="str">
        <f>IF(OR(Sheet1!D$192=1,Sheet1!D$196=1),IF(OR((B21&gt;=(Sheet1!D$148+$B$11)-1),AND(Sheet1!D$8=3,A21&gt;=6))," ",B21+1),NA())</f>
        <v xml:space="preserve"> </v>
      </c>
      <c r="O22" s="266" t="e">
        <f>IF(AND(Sheet1!D$8=3,M22=" ")," ",IF(OR(Sheet1!D$192=1,Sheet1!D$196=1),IF(O21&gt;0,IF(AND(OR(Sheet1!D$8=2,Sheet1!D$22=3),O21&gt;=10)," ",O21+1),IF(NOT(Sheet1!D$192=1),0,IF(ROUND(VLOOKUP(A22,StatusQuo!A$19:M$68,13),Sheet1!D$75)-ROUND(VLOOKUP(A22,AlternativeD!A$110:M$159,13),Sheet1!D$75)&gt;0,1,0)))," "))</f>
        <v>#VALUE!</v>
      </c>
      <c r="P22" s="263" t="str">
        <f>IF(AND(A22&lt;&gt;" ",Sheet1!D$192=1,Sheet1!D$196=1),IF(AND(OR(Sheet1!D$8=2,Sheet1!D$22=3),O22&gt;10),0,ROUND(VLOOKUP(A22,StatusQuo!A$19:M$68,13),Sheet1!D$75)),IF(NOT(Sheet1!D$192=1),"not feasible",IF(A22=" "," ", "Savings is  n/a=&gt;")))</f>
        <v xml:space="preserve"> </v>
      </c>
      <c r="Q22" s="263" t="str">
        <f>IF(AND(A22&lt;&gt;" ",Sheet1!D$192=1,Sheet1!D$196=1),IF(AND(OR(Sheet1!D$8=2,Sheet1!D$22=3),O22&gt;10),0,ROUND(VLOOKUP(A22,AlternativeD!A$110:M$159,13),Sheet1!D$75)),IF(NOT(Sheet1!D$196=1),"not feasible",IF(A22=" "," ","&lt;== Savings is n/a")))</f>
        <v>not feasible</v>
      </c>
      <c r="R22" s="263" t="str">
        <f>IF(AND(A22&lt;&gt;" ",Sheet1!D$192=1,Sheet1!D$196=1),IF(G$81&lt;&gt;" ","??????? ",P22-Q22)," ")</f>
        <v xml:space="preserve"> </v>
      </c>
      <c r="S22" s="263" t="str">
        <f>IF(AND(A22&lt;&gt;" ",Sheet1!D$192=1,Sheet1!D$196=1),ROUND(R22*G22,Sheet1!D$75)," ")</f>
        <v xml:space="preserve"> </v>
      </c>
      <c r="T22" s="263" t="str">
        <f>IF(AND(A22&lt;&gt;" ",Sheet1!D$192=1,Sheet1!D$196=1),ROUND((R22/I22)*J22,Sheet1!D$75)," ")</f>
        <v xml:space="preserve"> </v>
      </c>
      <c r="U22" s="265">
        <f>SUM(T$11:T22)</f>
        <v>0</v>
      </c>
      <c r="V22" s="254" t="str">
        <f t="shared" si="0"/>
        <v xml:space="preserve"> </v>
      </c>
      <c r="W22" s="268">
        <f t="shared" si="1"/>
        <v>12</v>
      </c>
      <c r="X22" s="171" t="str">
        <f t="shared" si="2"/>
        <v xml:space="preserve"> </v>
      </c>
      <c r="AA22" s="265">
        <f>SUM(K$11:K22)</f>
        <v>0</v>
      </c>
      <c r="AB22" s="271" t="str">
        <f>IF(OR(Sheet1!D$192=1,Sheet1!D$196=1),IF(OR((AB21&gt;=(Sheet1!D$148+$A$11)-1),AND(Sheet1!D$8=3,AB21&gt;=6))," ",AB21+1),NA())</f>
        <v xml:space="preserve"> </v>
      </c>
      <c r="AC22" s="271" t="str">
        <f>IF(OR(Sheet1!D$192=1,Sheet1!D$196=1),IF(OR((AC21&gt;=(Sheet1!D$148+$B$11)-1),AND(Sheet1!D$8=3,AB21&gt;=6))," ",AC21+1),NA())</f>
        <v xml:space="preserve"> </v>
      </c>
      <c r="AD22" s="262"/>
      <c r="AE22" s="263" t="str">
        <f>IF(AND(Sheet1!D$196=1,AB22&lt;&gt;" "),ROUND(VLOOKUP(AB22,AlternativeD!A$17:M$66,12),Sheet1!D$75),IF(Sheet1!D$196=1," ","Alt  'D'  not feasible"))</f>
        <v>Alt  'D'  not feasible</v>
      </c>
      <c r="AF22" s="264" t="str">
        <f>IF(AB22&lt;=Sheet1!D$148, (1/((1+AF$10)^(AB22-0.5)))," ")</f>
        <v xml:space="preserve"> </v>
      </c>
      <c r="AG22" s="263" t="str">
        <f>IF(AND(Sheet1!D$196=1,AB22&lt;&gt;" "),ROUND(+AE22*AF22,Sheet1!D$75)," ")</f>
        <v xml:space="preserve"> </v>
      </c>
      <c r="AH22" s="264" t="str">
        <f>IF(AB22&lt;&gt;" ",ROUND(VLOOKUP(Sheet1!E$82,CHOOSE(Sheet1!D$215,Inflate1,Inflate2,Inflate3,Inflate4,Inflate5,Inflate6,Inflate7,Inflate8),2),4)," ")</f>
        <v xml:space="preserve"> </v>
      </c>
      <c r="AI22" s="264" t="str">
        <f>IF(AB22&lt;&gt;" ",ROUND(VLOOKUP(AC22,CHOOSE(Sheet1!D$215,Inflate1,Inflate2,Inflate3,Inflate4,Inflate5,Inflate6,Inflate7,Inflate8),3),4)," ")</f>
        <v xml:space="preserve"> </v>
      </c>
      <c r="AJ22" s="263" t="b">
        <f>IF(AND(Sheet1!D$196=1,AB22&lt;&gt;" "),IF(AND(O22&lt;=10,OR(Sheet1!D$8=2,Sheet1!D$8=3,Sheet1!D$22=3)),ROUND((AE22/AH22)*AI22,Sheet1!D$75),IF(AND(Sheet1!D$8&lt;&gt;2,Sheet1!D$8&lt;&gt;3,Sheet1!D$22&lt;&gt;3),ROUND((AE22/AH22)*AI22,Sheet1!D$75)," ")))</f>
        <v>0</v>
      </c>
    </row>
    <row r="23" spans="1:36" ht="12" customHeight="1" x14ac:dyDescent="0.2">
      <c r="A23" s="579" t="str">
        <f>IF(OR(Sheet1!D$192=1,Sheet1!D$196=1),IF(OR((A22&gt;=(Sheet1!D$148+$A$11)-1),AND(Sheet1!D$8=3,A22&gt;=6))," ",A22+1),NA())</f>
        <v xml:space="preserve"> </v>
      </c>
      <c r="B23" s="271" t="str">
        <f>IF(OR(Sheet1!D$192=1,Sheet1!D$196=1),IF(OR((B22&gt;=(Sheet1!D$148+$B$11)-1),AND(Sheet1!D$8=3,A22&gt;=6))," ",B22+1),NA())</f>
        <v xml:space="preserve"> </v>
      </c>
      <c r="C23" s="273"/>
      <c r="D23" s="263" t="str">
        <f>IF(AND(Sheet1!D$192=1,A23&lt;&gt;" "),ROUND(VLOOKUP(A23,StatusQuo!A$19:M$68,12),Sheet1!D$75),IF(Sheet1!D$192=1," ","SQ not feasible "))</f>
        <v xml:space="preserve"> </v>
      </c>
      <c r="E23" s="263" t="str">
        <f>IF(AND(Sheet1!D$196=1,A23&lt;&gt;" "),ROUND(VLOOKUP(A23,AlternativeD!A$110:M$159,12),Sheet1!D$75),IF(Sheet1!D$196=1," ","Alt  'D'  not feasible"))</f>
        <v>Alt  'D'  not feasible</v>
      </c>
      <c r="F23" s="263" t="str">
        <f>IF(AND(A23&lt;&gt;" ",Sheet1!D$192=1,Sheet1!D$196=1),D23-E23,IF(AND(Sheet1!D$196=1,A23&lt;&gt;" ")," "," "))</f>
        <v xml:space="preserve"> </v>
      </c>
      <c r="G23" s="264" t="str">
        <f>IF(A23&lt;=Sheet1!D$148, (1/((1+G$10)^(A23-0.5)))," ")</f>
        <v xml:space="preserve"> </v>
      </c>
      <c r="H23" s="263" t="str">
        <f>IF(AND(A23&lt;&gt;" ",Sheet1!D$192=1,Sheet1!D$196=1),ROUND(F23*G23,Sheet1!D$75),IF(AND(A23&lt;&gt;" ",Sheet1!D$196=1),ROUND(E23*G23,Sheet1!D$75)," "))</f>
        <v xml:space="preserve"> </v>
      </c>
      <c r="I23" s="264" t="str">
        <f>IF(A23&lt;&gt;" ",ROUND(VLOOKUP(Sheet1!E$82,CHOOSE(Sheet1!D$235,Inflate7,Inflate2,Inflate3,Inflate4,Inflate5,Inflate6,Inflate1,Inflate8),2),4)," ")</f>
        <v xml:space="preserve"> </v>
      </c>
      <c r="J23" s="264" t="str">
        <f>IF(A23&lt;&gt;" ",ROUND(VLOOKUP(B23,CHOOSE(Sheet1!D$235,Inflate7,Inflate2,Inflate3,Inflate4,Inflate5,Inflate6,Inflate1,Inflate8),3),4)," ")</f>
        <v xml:space="preserve"> </v>
      </c>
      <c r="K23" s="265" t="str">
        <f>IF(AND(A23&lt;&gt;" ",Sheet1!D$192=1,Sheet1!D$196=1),ROUND((F23/I23)*J23,Sheet1!D$75),IF(AND(A23&lt;&gt;" ",Sheet1!D$196=1),ROUND((E23/I23)*J23,Sheet1!D$75)," "))</f>
        <v xml:space="preserve"> </v>
      </c>
      <c r="L23" s="254" t="str">
        <f>IF(Sheet1!D$192=1,IF(AND(AA23&gt;AJ$61,AA22&lt;=AJ$61),"&lt;-Payback"," ")," ")</f>
        <v xml:space="preserve"> </v>
      </c>
      <c r="M23" s="271" t="str">
        <f>IF(OR(Sheet1!D$192=1,Sheet1!D$196=1),IF(OR((A22&gt;=(Sheet1!D$148+$A$11)-1),AND(Sheet1!D$8=3,A22&gt;=6))," ",A22+1),NA())</f>
        <v xml:space="preserve"> </v>
      </c>
      <c r="N23" s="271" t="str">
        <f>IF(OR(Sheet1!D$192=1,Sheet1!D$196=1),IF(OR((B22&gt;=(Sheet1!D$148+$B$11)-1),AND(Sheet1!D$8=3,A22&gt;=6))," ",B22+1),NA())</f>
        <v xml:space="preserve"> </v>
      </c>
      <c r="O23" s="266" t="e">
        <f>IF(AND(Sheet1!D$8=3,M23=" ")," ",IF(OR(Sheet1!D$192=1,Sheet1!D$196=1),IF(O22&gt;0,IF(AND(OR(Sheet1!D$8=2,Sheet1!D$22=3),O22&gt;=10)," ",O22+1),IF(NOT(Sheet1!D$192=1),0,IF(ROUND(VLOOKUP(A23,StatusQuo!A$19:M$68,13),Sheet1!D$75)-ROUND(VLOOKUP(A23,AlternativeD!A$110:M$159,13),Sheet1!D$75)&gt;0,1,0)))," "))</f>
        <v>#VALUE!</v>
      </c>
      <c r="P23" s="263" t="str">
        <f>IF(AND(A23&lt;&gt;" ",Sheet1!D$192=1,Sheet1!D$196=1),IF(AND(OR(Sheet1!D$8=2,Sheet1!D$22=3),O23&gt;10),0,ROUND(VLOOKUP(A23,StatusQuo!A$19:M$68,13),Sheet1!D$75)),IF(NOT(Sheet1!D$192=1),"not feasible",IF(A23=" "," ", "Savings is  n/a=&gt;")))</f>
        <v xml:space="preserve"> </v>
      </c>
      <c r="Q23" s="263" t="str">
        <f>IF(AND(A23&lt;&gt;" ",Sheet1!D$192=1,Sheet1!D$196=1),IF(AND(OR(Sheet1!D$8=2,Sheet1!D$22=3),O23&gt;10),0,ROUND(VLOOKUP(A23,AlternativeD!A$110:M$159,13),Sheet1!D$75)),IF(NOT(Sheet1!D$196=1),"not feasible",IF(A23=" "," ","&lt;== Savings is n/a")))</f>
        <v>not feasible</v>
      </c>
      <c r="R23" s="263" t="str">
        <f>IF(AND(A23&lt;&gt;" ",Sheet1!D$192=1,Sheet1!D$196=1),IF(G$81&lt;&gt;" ","??????? ",P23-Q23)," ")</f>
        <v xml:space="preserve"> </v>
      </c>
      <c r="S23" s="263" t="str">
        <f>IF(AND(A23&lt;&gt;" ",Sheet1!D$192=1,Sheet1!D$196=1),ROUND(R23*G23,Sheet1!D$75)," ")</f>
        <v xml:space="preserve"> </v>
      </c>
      <c r="T23" s="263" t="str">
        <f>IF(AND(A23&lt;&gt;" ",Sheet1!D$192=1,Sheet1!D$196=1),ROUND((R23/I23)*J23,Sheet1!D$75)," ")</f>
        <v xml:space="preserve"> </v>
      </c>
      <c r="U23" s="265">
        <f>SUM(T$11:T23)</f>
        <v>0</v>
      </c>
      <c r="V23" s="254" t="str">
        <f t="shared" si="0"/>
        <v xml:space="preserve"> </v>
      </c>
      <c r="W23" s="268">
        <f t="shared" si="1"/>
        <v>13</v>
      </c>
      <c r="X23" s="171" t="str">
        <f t="shared" si="2"/>
        <v xml:space="preserve"> </v>
      </c>
      <c r="AA23" s="265">
        <f>SUM(K$11:K23)</f>
        <v>0</v>
      </c>
      <c r="AB23" s="271" t="str">
        <f>IF(OR(Sheet1!D$192=1,Sheet1!D$196=1),IF(OR((AB22&gt;=(Sheet1!D$148+$A$11)-1),AND(Sheet1!D$8=3,AB22&gt;=6))," ",AB22+1),NA())</f>
        <v xml:space="preserve"> </v>
      </c>
      <c r="AC23" s="271" t="str">
        <f>IF(OR(Sheet1!D$192=1,Sheet1!D$196=1),IF(OR((AC22&gt;=(Sheet1!D$148+$B$11)-1),AND(Sheet1!D$8=3,AB22&gt;=6))," ",AC22+1),NA())</f>
        <v xml:space="preserve"> </v>
      </c>
      <c r="AD23" s="262"/>
      <c r="AE23" s="263" t="str">
        <f>IF(AND(Sheet1!D$196=1,AB23&lt;&gt;" "),ROUND(VLOOKUP(AB23,AlternativeD!A$17:M$66,12),Sheet1!D$75),IF(Sheet1!D$196=1," ","Alt  'D'  not feasible"))</f>
        <v>Alt  'D'  not feasible</v>
      </c>
      <c r="AF23" s="264" t="str">
        <f>IF(AB23&lt;=Sheet1!D$148, (1/((1+AF$10)^(AB23-0.5)))," ")</f>
        <v xml:space="preserve"> </v>
      </c>
      <c r="AG23" s="263" t="str">
        <f>IF(AND(Sheet1!D$196=1,AB23&lt;&gt;" "),ROUND(+AE23*AF23,Sheet1!D$75)," ")</f>
        <v xml:space="preserve"> </v>
      </c>
      <c r="AH23" s="264" t="str">
        <f>IF(AB23&lt;&gt;" ",ROUND(VLOOKUP(Sheet1!E$82,CHOOSE(Sheet1!D$215,Inflate1,Inflate2,Inflate3,Inflate4,Inflate5,Inflate6,Inflate7,Inflate8),2),4)," ")</f>
        <v xml:space="preserve"> </v>
      </c>
      <c r="AI23" s="264" t="str">
        <f>IF(AB23&lt;&gt;" ",ROUND(VLOOKUP(AC23,CHOOSE(Sheet1!D$215,Inflate1,Inflate2,Inflate3,Inflate4,Inflate5,Inflate6,Inflate7,Inflate8),3),4)," ")</f>
        <v xml:space="preserve"> </v>
      </c>
      <c r="AJ23" s="263" t="b">
        <f>IF(AND(Sheet1!D$196=1,AB23&lt;&gt;" "),IF(AND(O23&lt;=10,OR(Sheet1!D$8=2,Sheet1!D$8=3,Sheet1!D$22=3)),ROUND((AE23/AH23)*AI23,Sheet1!D$75),IF(AND(Sheet1!D$8&lt;&gt;2,Sheet1!D$8&lt;&gt;3,Sheet1!D$22&lt;&gt;3),ROUND((AE23/AH23)*AI23,Sheet1!D$75)," ")))</f>
        <v>0</v>
      </c>
    </row>
    <row r="24" spans="1:36" ht="12" customHeight="1" x14ac:dyDescent="0.2">
      <c r="A24" s="579" t="str">
        <f>IF(OR(Sheet1!D$192=1,Sheet1!D$196=1),IF(OR((A23&gt;=(Sheet1!D$148+$A$11)-1),AND(Sheet1!D$8=3,A23&gt;=6))," ",A23+1),NA())</f>
        <v xml:space="preserve"> </v>
      </c>
      <c r="B24" s="271" t="str">
        <f>IF(OR(Sheet1!D$192=1,Sheet1!D$196=1),IF(OR((B23&gt;=(Sheet1!D$148+$B$11)-1),AND(Sheet1!D$8=3,A23&gt;=6))," ",B23+1),NA())</f>
        <v xml:space="preserve"> </v>
      </c>
      <c r="C24" s="273"/>
      <c r="D24" s="263" t="str">
        <f>IF(AND(Sheet1!D$192=1,A24&lt;&gt;" "),ROUND(VLOOKUP(A24,StatusQuo!A$19:M$68,12),Sheet1!D$75),IF(Sheet1!D$192=1," ","SQ not feasible "))</f>
        <v xml:space="preserve"> </v>
      </c>
      <c r="E24" s="263" t="str">
        <f>IF(AND(Sheet1!D$196=1,A24&lt;&gt;" "),ROUND(VLOOKUP(A24,AlternativeD!A$110:M$159,12),Sheet1!D$75),IF(Sheet1!D$196=1," ","Alt  'D'  not feasible"))</f>
        <v>Alt  'D'  not feasible</v>
      </c>
      <c r="F24" s="263" t="str">
        <f>IF(AND(A24&lt;&gt;" ",Sheet1!D$192=1,Sheet1!D$196=1),D24-E24,IF(AND(Sheet1!D$196=1,A24&lt;&gt;" ")," "," "))</f>
        <v xml:space="preserve"> </v>
      </c>
      <c r="G24" s="264" t="str">
        <f>IF(A24&lt;=Sheet1!D$148, (1/((1+G$10)^(A24-0.5)))," ")</f>
        <v xml:space="preserve"> </v>
      </c>
      <c r="H24" s="263" t="str">
        <f>IF(AND(A24&lt;&gt;" ",Sheet1!D$192=1,Sheet1!D$196=1),ROUND(F24*G24,Sheet1!D$75),IF(AND(A24&lt;&gt;" ",Sheet1!D$196=1),ROUND(E24*G24,Sheet1!D$75)," "))</f>
        <v xml:space="preserve"> </v>
      </c>
      <c r="I24" s="264" t="str">
        <f>IF(A24&lt;&gt;" ",ROUND(VLOOKUP(Sheet1!E$82,CHOOSE(Sheet1!D$235,Inflate7,Inflate2,Inflate3,Inflate4,Inflate5,Inflate6,Inflate1,Inflate8),2),4)," ")</f>
        <v xml:space="preserve"> </v>
      </c>
      <c r="J24" s="264" t="str">
        <f>IF(A24&lt;&gt;" ",ROUND(VLOOKUP(B24,CHOOSE(Sheet1!D$235,Inflate7,Inflate2,Inflate3,Inflate4,Inflate5,Inflate6,Inflate1,Inflate8),3),4)," ")</f>
        <v xml:space="preserve"> </v>
      </c>
      <c r="K24" s="265" t="str">
        <f>IF(AND(A24&lt;&gt;" ",Sheet1!D$192=1,Sheet1!D$196=1),ROUND((F24/I24)*J24,Sheet1!D$75),IF(AND(A24&lt;&gt;" ",Sheet1!D$196=1),ROUND((E24/I24)*J24,Sheet1!D$75)," "))</f>
        <v xml:space="preserve"> </v>
      </c>
      <c r="L24" s="254" t="str">
        <f>IF(Sheet1!D$192=1,IF(AND(AA24&gt;AJ$61,AA23&lt;=AJ$61),"&lt;-Payback"," ")," ")</f>
        <v xml:space="preserve"> </v>
      </c>
      <c r="M24" s="271" t="str">
        <f>IF(OR(Sheet1!D$192=1,Sheet1!D$196=1),IF(OR((A23&gt;=(Sheet1!D$148+$A$11)-1),AND(Sheet1!D$8=3,A23&gt;=6))," ",A23+1),NA())</f>
        <v xml:space="preserve"> </v>
      </c>
      <c r="N24" s="271" t="str">
        <f>IF(OR(Sheet1!D$192=1,Sheet1!D$196=1),IF(OR((B23&gt;=(Sheet1!D$148+$B$11)-1),AND(Sheet1!D$8=3,A23&gt;=6))," ",B23+1),NA())</f>
        <v xml:space="preserve"> </v>
      </c>
      <c r="O24" s="266" t="e">
        <f>IF(AND(Sheet1!D$8=3,M24=" ")," ",IF(OR(Sheet1!D$192=1,Sheet1!D$196=1),IF(O23&gt;0,IF(AND(OR(Sheet1!D$8=2,Sheet1!D$22=3),O23&gt;=10)," ",O23+1),IF(NOT(Sheet1!D$192=1),0,IF(ROUND(VLOOKUP(A24,StatusQuo!A$19:M$68,13),Sheet1!D$75)-ROUND(VLOOKUP(A24,AlternativeD!A$110:M$159,13),Sheet1!D$75)&gt;0,1,0)))," "))</f>
        <v>#VALUE!</v>
      </c>
      <c r="P24" s="263" t="str">
        <f>IF(AND(A24&lt;&gt;" ",Sheet1!D$192=1,Sheet1!D$196=1),IF(AND(OR(Sheet1!D$8=2,Sheet1!D$22=3),O24&gt;10),0,ROUND(VLOOKUP(A24,StatusQuo!A$19:M$68,13),Sheet1!D$75)),IF(NOT(Sheet1!D$192=1),"not feasible",IF(A24=" "," ", "Savings is  n/a=&gt;")))</f>
        <v xml:space="preserve"> </v>
      </c>
      <c r="Q24" s="263" t="str">
        <f>IF(AND(A24&lt;&gt;" ",Sheet1!D$192=1,Sheet1!D$196=1),IF(AND(OR(Sheet1!D$8=2,Sheet1!D$22=3),O24&gt;10),0,ROUND(VLOOKUP(A24,AlternativeD!A$110:M$159,13),Sheet1!D$75)),IF(NOT(Sheet1!D$196=1),"not feasible",IF(A24=" "," ","&lt;== Savings is n/a")))</f>
        <v>not feasible</v>
      </c>
      <c r="R24" s="263" t="str">
        <f>IF(AND(A24&lt;&gt;" ",Sheet1!D$192=1,Sheet1!D$196=1),IF(G$81&lt;&gt;" ","??????? ",P24-Q24)," ")</f>
        <v xml:space="preserve"> </v>
      </c>
      <c r="S24" s="263" t="str">
        <f>IF(AND(A24&lt;&gt;" ",Sheet1!D$192=1,Sheet1!D$196=1),ROUND(R24*G24,Sheet1!D$75)," ")</f>
        <v xml:space="preserve"> </v>
      </c>
      <c r="T24" s="263" t="str">
        <f>IF(AND(A24&lt;&gt;" ",Sheet1!D$192=1,Sheet1!D$196=1),ROUND((R24/I24)*J24,Sheet1!D$75)," ")</f>
        <v xml:space="preserve"> </v>
      </c>
      <c r="U24" s="265">
        <f>SUM(T$11:T24)</f>
        <v>0</v>
      </c>
      <c r="V24" s="254" t="str">
        <f t="shared" si="0"/>
        <v xml:space="preserve"> </v>
      </c>
      <c r="W24" s="268">
        <f t="shared" si="1"/>
        <v>14</v>
      </c>
      <c r="X24" s="171" t="str">
        <f t="shared" si="2"/>
        <v xml:space="preserve"> </v>
      </c>
      <c r="AA24" s="265">
        <f>SUM(K$11:K24)</f>
        <v>0</v>
      </c>
      <c r="AB24" s="271" t="str">
        <f>IF(OR(Sheet1!D$192=1,Sheet1!D$196=1),IF(OR((AB23&gt;=(Sheet1!D$148+$A$11)-1),AND(Sheet1!D$8=3,AB23&gt;=6))," ",AB23+1),NA())</f>
        <v xml:space="preserve"> </v>
      </c>
      <c r="AC24" s="271" t="str">
        <f>IF(OR(Sheet1!D$192=1,Sheet1!D$196=1),IF(OR((AC23&gt;=(Sheet1!D$148+$B$11)-1),AND(Sheet1!D$8=3,AB23&gt;=6))," ",AC23+1),NA())</f>
        <v xml:space="preserve"> </v>
      </c>
      <c r="AD24" s="262"/>
      <c r="AE24" s="263" t="str">
        <f>IF(AND(Sheet1!D$196=1,AB24&lt;&gt;" "),ROUND(VLOOKUP(AB24,AlternativeD!A$17:M$66,12),Sheet1!D$75),IF(Sheet1!D$196=1," ","Alt  'D'  not feasible"))</f>
        <v>Alt  'D'  not feasible</v>
      </c>
      <c r="AF24" s="264" t="str">
        <f>IF(AB24&lt;=Sheet1!D$148, (1/((1+AF$10)^(AB24-0.5)))," ")</f>
        <v xml:space="preserve"> </v>
      </c>
      <c r="AG24" s="263" t="str">
        <f>IF(AND(Sheet1!D$196=1,AB24&lt;&gt;" "),ROUND(+AE24*AF24,Sheet1!D$75)," ")</f>
        <v xml:space="preserve"> </v>
      </c>
      <c r="AH24" s="264" t="str">
        <f>IF(AB24&lt;&gt;" ",ROUND(VLOOKUP(Sheet1!E$82,CHOOSE(Sheet1!D$215,Inflate1,Inflate2,Inflate3,Inflate4,Inflate5,Inflate6,Inflate7,Inflate8),2),4)," ")</f>
        <v xml:space="preserve"> </v>
      </c>
      <c r="AI24" s="264" t="str">
        <f>IF(AB24&lt;&gt;" ",ROUND(VLOOKUP(AC24,CHOOSE(Sheet1!D$215,Inflate1,Inflate2,Inflate3,Inflate4,Inflate5,Inflate6,Inflate7,Inflate8),3),4)," ")</f>
        <v xml:space="preserve"> </v>
      </c>
      <c r="AJ24" s="263" t="b">
        <f>IF(AND(Sheet1!D$196=1,AB24&lt;&gt;" "),IF(AND(O24&lt;=10,OR(Sheet1!D$8=2,Sheet1!D$8=3,Sheet1!D$22=3)),ROUND((AE24/AH24)*AI24,Sheet1!D$75),IF(AND(Sheet1!D$8&lt;&gt;2,Sheet1!D$8&lt;&gt;3,Sheet1!D$22&lt;&gt;3),ROUND((AE24/AH24)*AI24,Sheet1!D$75)," ")))</f>
        <v>0</v>
      </c>
    </row>
    <row r="25" spans="1:36" ht="12" customHeight="1" x14ac:dyDescent="0.2">
      <c r="A25" s="579" t="str">
        <f>IF(OR(Sheet1!D$192=1,Sheet1!D$196=1),IF(OR((A24&gt;=(Sheet1!D$148+$A$11)-1),AND(Sheet1!D$8=3,A24&gt;=6))," ",A24+1),NA())</f>
        <v xml:space="preserve"> </v>
      </c>
      <c r="B25" s="271" t="str">
        <f>IF(OR(Sheet1!D$192=1,Sheet1!D$196=1),IF(OR((B24&gt;=(Sheet1!D$148+$B$11)-1),AND(Sheet1!D$8=3,A24&gt;=6))," ",B24+1),NA())</f>
        <v xml:space="preserve"> </v>
      </c>
      <c r="C25" s="273"/>
      <c r="D25" s="263" t="str">
        <f>IF(AND(Sheet1!D$192=1,A25&lt;&gt;" "),ROUND(VLOOKUP(A25,StatusQuo!A$19:M$68,12),Sheet1!D$75),IF(Sheet1!D$192=1," ","SQ not feasible "))</f>
        <v xml:space="preserve"> </v>
      </c>
      <c r="E25" s="263" t="str">
        <f>IF(AND(Sheet1!D$196=1,A25&lt;&gt;" "),ROUND(VLOOKUP(A25,AlternativeD!A$110:M$159,12),Sheet1!D$75),IF(Sheet1!D$196=1," ","Alt  'D'  not feasible"))</f>
        <v>Alt  'D'  not feasible</v>
      </c>
      <c r="F25" s="263" t="str">
        <f>IF(AND(A25&lt;&gt;" ",Sheet1!D$192=1,Sheet1!D$196=1),D25-E25,IF(AND(Sheet1!D$196=1,A25&lt;&gt;" ")," "," "))</f>
        <v xml:space="preserve"> </v>
      </c>
      <c r="G25" s="264" t="str">
        <f>IF(A25&lt;=Sheet1!D$148, (1/((1+G$10)^(A25-0.5)))," ")</f>
        <v xml:space="preserve"> </v>
      </c>
      <c r="H25" s="263" t="str">
        <f>IF(AND(A25&lt;&gt;" ",Sheet1!D$192=1,Sheet1!D$196=1),ROUND(F25*G25,Sheet1!D$75),IF(AND(A25&lt;&gt;" ",Sheet1!D$196=1),ROUND(E25*G25,Sheet1!D$75)," "))</f>
        <v xml:space="preserve"> </v>
      </c>
      <c r="I25" s="264" t="str">
        <f>IF(A25&lt;&gt;" ",ROUND(VLOOKUP(Sheet1!E$82,CHOOSE(Sheet1!D$235,Inflate7,Inflate2,Inflate3,Inflate4,Inflate5,Inflate6,Inflate1,Inflate8),2),4)," ")</f>
        <v xml:space="preserve"> </v>
      </c>
      <c r="J25" s="264" t="str">
        <f>IF(A25&lt;&gt;" ",ROUND(VLOOKUP(B25,CHOOSE(Sheet1!D$235,Inflate7,Inflate2,Inflate3,Inflate4,Inflate5,Inflate6,Inflate1,Inflate8),3),4)," ")</f>
        <v xml:space="preserve"> </v>
      </c>
      <c r="K25" s="265" t="str">
        <f>IF(AND(A25&lt;&gt;" ",Sheet1!D$192=1,Sheet1!D$196=1),ROUND((F25/I25)*J25,Sheet1!D$75),IF(AND(A25&lt;&gt;" ",Sheet1!D$196=1),ROUND((E25/I25)*J25,Sheet1!D$75)," "))</f>
        <v xml:space="preserve"> </v>
      </c>
      <c r="L25" s="254" t="str">
        <f>IF(Sheet1!D$192=1,IF(AND(AA25&gt;AJ$61,AA24&lt;=AJ$61),"&lt;-Payback"," ")," ")</f>
        <v xml:space="preserve"> </v>
      </c>
      <c r="M25" s="271" t="str">
        <f>IF(OR(Sheet1!D$192=1,Sheet1!D$196=1),IF(OR((A24&gt;=(Sheet1!D$148+$A$11)-1),AND(Sheet1!D$8=3,A24&gt;=6))," ",A24+1),NA())</f>
        <v xml:space="preserve"> </v>
      </c>
      <c r="N25" s="271" t="str">
        <f>IF(OR(Sheet1!D$192=1,Sheet1!D$196=1),IF(OR((B24&gt;=(Sheet1!D$148+$B$11)-1),AND(Sheet1!D$8=3,A24&gt;=6))," ",B24+1),NA())</f>
        <v xml:space="preserve"> </v>
      </c>
      <c r="O25" s="266" t="e">
        <f>IF(AND(Sheet1!D$8=3,M25=" ")," ",IF(OR(Sheet1!D$192=1,Sheet1!D$196=1),IF(O24&gt;0,IF(AND(OR(Sheet1!D$8=2,Sheet1!D$22=3),O24&gt;=10)," ",O24+1),IF(NOT(Sheet1!D$192=1),0,IF(ROUND(VLOOKUP(A25,StatusQuo!A$19:M$68,13),Sheet1!D$75)-ROUND(VLOOKUP(A25,AlternativeD!A$110:M$159,13),Sheet1!D$75)&gt;0,1,0)))," "))</f>
        <v>#VALUE!</v>
      </c>
      <c r="P25" s="263" t="str">
        <f>IF(AND(A25&lt;&gt;" ",Sheet1!D$192=1,Sheet1!D$196=1),IF(AND(OR(Sheet1!D$8=2,Sheet1!D$22=3),O25&gt;10),0,ROUND(VLOOKUP(A25,StatusQuo!A$19:M$68,13),Sheet1!D$75)),IF(NOT(Sheet1!D$192=1),"not feasible",IF(A25=" "," ", "Savings is  n/a=&gt;")))</f>
        <v xml:space="preserve"> </v>
      </c>
      <c r="Q25" s="263" t="str">
        <f>IF(AND(A25&lt;&gt;" ",Sheet1!D$192=1,Sheet1!D$196=1),IF(AND(OR(Sheet1!D$8=2,Sheet1!D$22=3),O25&gt;10),0,ROUND(VLOOKUP(A25,AlternativeD!A$110:M$159,13),Sheet1!D$75)),IF(NOT(Sheet1!D$196=1),"not feasible",IF(A25=" "," ","&lt;== Savings is n/a")))</f>
        <v>not feasible</v>
      </c>
      <c r="R25" s="263" t="str">
        <f>IF(AND(A25&lt;&gt;" ",Sheet1!D$192=1,Sheet1!D$196=1),IF(G$81&lt;&gt;" ","??????? ",P25-Q25)," ")</f>
        <v xml:space="preserve"> </v>
      </c>
      <c r="S25" s="263" t="str">
        <f>IF(AND(A25&lt;&gt;" ",Sheet1!D$192=1,Sheet1!D$196=1),ROUND(R25*G25,Sheet1!D$75)," ")</f>
        <v xml:space="preserve"> </v>
      </c>
      <c r="T25" s="263" t="str">
        <f>IF(AND(A25&lt;&gt;" ",Sheet1!D$192=1,Sheet1!D$196=1),ROUND((R25/I25)*J25,Sheet1!D$75)," ")</f>
        <v xml:space="preserve"> </v>
      </c>
      <c r="U25" s="265">
        <f>SUM(T$11:T25)</f>
        <v>0</v>
      </c>
      <c r="V25" s="254" t="str">
        <f t="shared" si="0"/>
        <v xml:space="preserve"> </v>
      </c>
      <c r="W25" s="268">
        <f t="shared" si="1"/>
        <v>15</v>
      </c>
      <c r="X25" s="171" t="str">
        <f t="shared" si="2"/>
        <v xml:space="preserve"> </v>
      </c>
      <c r="AA25" s="265">
        <f>SUM(K$11:K25)</f>
        <v>0</v>
      </c>
      <c r="AB25" s="271" t="str">
        <f>IF(OR(Sheet1!D$192=1,Sheet1!D$196=1),IF(OR((AB24&gt;=(Sheet1!D$148+$A$11)-1),AND(Sheet1!D$8=3,AB24&gt;=6))," ",AB24+1),NA())</f>
        <v xml:space="preserve"> </v>
      </c>
      <c r="AC25" s="271" t="str">
        <f>IF(OR(Sheet1!D$192=1,Sheet1!D$196=1),IF(OR((AC24&gt;=(Sheet1!D$148+$B$11)-1),AND(Sheet1!D$8=3,AB24&gt;=6))," ",AC24+1),NA())</f>
        <v xml:space="preserve"> </v>
      </c>
      <c r="AD25" s="262"/>
      <c r="AE25" s="263" t="str">
        <f>IF(AND(Sheet1!D$196=1,AB25&lt;&gt;" "),ROUND(VLOOKUP(AB25,AlternativeD!A$17:M$66,12),Sheet1!D$75),IF(Sheet1!D$196=1," ","Alt  'D'  not feasible"))</f>
        <v>Alt  'D'  not feasible</v>
      </c>
      <c r="AF25" s="264" t="str">
        <f>IF(AB25&lt;=Sheet1!D$148, (1/((1+AF$10)^(AB25-0.5)))," ")</f>
        <v xml:space="preserve"> </v>
      </c>
      <c r="AG25" s="263" t="str">
        <f>IF(AND(Sheet1!D$196=1,AB25&lt;&gt;" "),ROUND(+AE25*AF25,Sheet1!D$75)," ")</f>
        <v xml:space="preserve"> </v>
      </c>
      <c r="AH25" s="264" t="str">
        <f>IF(AB25&lt;&gt;" ",ROUND(VLOOKUP(Sheet1!E$82,CHOOSE(Sheet1!D$215,Inflate1,Inflate2,Inflate3,Inflate4,Inflate5,Inflate6,Inflate7,Inflate8),2),4)," ")</f>
        <v xml:space="preserve"> </v>
      </c>
      <c r="AI25" s="264" t="str">
        <f>IF(AB25&lt;&gt;" ",ROUND(VLOOKUP(AC25,CHOOSE(Sheet1!D$215,Inflate1,Inflate2,Inflate3,Inflate4,Inflate5,Inflate6,Inflate7,Inflate8),3),4)," ")</f>
        <v xml:space="preserve"> </v>
      </c>
      <c r="AJ25" s="263" t="b">
        <f>IF(AND(Sheet1!D$196=1,AB25&lt;&gt;" "),IF(AND(O25&lt;=10,OR(Sheet1!D$8=2,Sheet1!D$8=3,Sheet1!D$22=3)),ROUND((AE25/AH25)*AI25,Sheet1!D$75),IF(AND(Sheet1!D$8&lt;&gt;2,Sheet1!D$8&lt;&gt;3,Sheet1!D$22&lt;&gt;3),ROUND((AE25/AH25)*AI25,Sheet1!D$75)," ")))</f>
        <v>0</v>
      </c>
    </row>
    <row r="26" spans="1:36" ht="12" customHeight="1" x14ac:dyDescent="0.2">
      <c r="A26" s="579" t="str">
        <f>IF(OR(Sheet1!D$192=1,Sheet1!D$196=1),IF(OR((A25&gt;=(Sheet1!D$148+$A$11)-1),AND(Sheet1!D$8=3,A25&gt;=6))," ",A25+1),NA())</f>
        <v xml:space="preserve"> </v>
      </c>
      <c r="B26" s="271" t="str">
        <f>IF(OR(Sheet1!D$192=1,Sheet1!D$196=1),IF(OR((B25&gt;=(Sheet1!D$148+$B$11)-1),AND(Sheet1!D$8=3,A25&gt;=6))," ",B25+1),NA())</f>
        <v xml:space="preserve"> </v>
      </c>
      <c r="C26" s="273"/>
      <c r="D26" s="263" t="str">
        <f>IF(AND(Sheet1!D$192=1,A26&lt;&gt;" "),ROUND(VLOOKUP(A26,StatusQuo!A$19:M$68,12),Sheet1!D$75),IF(Sheet1!D$192=1," ","SQ not feasible "))</f>
        <v xml:space="preserve"> </v>
      </c>
      <c r="E26" s="263" t="str">
        <f>IF(AND(Sheet1!D$196=1,A26&lt;&gt;" "),ROUND(VLOOKUP(A26,AlternativeD!A$110:M$159,12),Sheet1!D$75),IF(Sheet1!D$196=1," ","Alt  'D'  not feasible"))</f>
        <v>Alt  'D'  not feasible</v>
      </c>
      <c r="F26" s="263" t="str">
        <f>IF(AND(A26&lt;&gt;" ",Sheet1!D$192=1,Sheet1!D$196=1),D26-E26,IF(AND(Sheet1!D$196=1,A26&lt;&gt;" ")," "," "))</f>
        <v xml:space="preserve"> </v>
      </c>
      <c r="G26" s="264" t="str">
        <f>IF(A26&lt;=Sheet1!D$148, (1/((1+G$10)^(A26-0.5)))," ")</f>
        <v xml:space="preserve"> </v>
      </c>
      <c r="H26" s="263" t="str">
        <f>IF(AND(A26&lt;&gt;" ",Sheet1!D$192=1,Sheet1!D$196=1),ROUND(F26*G26,Sheet1!D$75),IF(AND(A26&lt;&gt;" ",Sheet1!D$196=1),ROUND(E26*G26,Sheet1!D$75)," "))</f>
        <v xml:space="preserve"> </v>
      </c>
      <c r="I26" s="264" t="str">
        <f>IF(A26&lt;&gt;" ",ROUND(VLOOKUP(Sheet1!E$82,CHOOSE(Sheet1!D$235,Inflate7,Inflate2,Inflate3,Inflate4,Inflate5,Inflate6,Inflate1,Inflate8),2),4)," ")</f>
        <v xml:space="preserve"> </v>
      </c>
      <c r="J26" s="264" t="str">
        <f>IF(A26&lt;&gt;" ",ROUND(VLOOKUP(B26,CHOOSE(Sheet1!D$235,Inflate7,Inflate2,Inflate3,Inflate4,Inflate5,Inflate6,Inflate1,Inflate8),3),4)," ")</f>
        <v xml:space="preserve"> </v>
      </c>
      <c r="K26" s="265" t="str">
        <f>IF(AND(A26&lt;&gt;" ",Sheet1!D$192=1,Sheet1!D$196=1),ROUND((F26/I26)*J26,Sheet1!D$75),IF(AND(A26&lt;&gt;" ",Sheet1!D$196=1),ROUND((E26/I26)*J26,Sheet1!D$75)," "))</f>
        <v xml:space="preserve"> </v>
      </c>
      <c r="L26" s="254" t="str">
        <f>IF(Sheet1!D$192=1,IF(AND(AA26&gt;AJ$61,AA25&lt;=AJ$61),"&lt;-Payback"," ")," ")</f>
        <v xml:space="preserve"> </v>
      </c>
      <c r="M26" s="271" t="str">
        <f>IF(OR(Sheet1!D$192=1,Sheet1!D$196=1),IF(OR((A25&gt;=(Sheet1!D$148+$A$11)-1),AND(Sheet1!D$8=3,A25&gt;=6))," ",A25+1),NA())</f>
        <v xml:space="preserve"> </v>
      </c>
      <c r="N26" s="271" t="str">
        <f>IF(OR(Sheet1!D$192=1,Sheet1!D$196=1),IF(OR((B25&gt;=(Sheet1!D$148+$B$11)-1),AND(Sheet1!D$8=3,A25&gt;=6))," ",B25+1),NA())</f>
        <v xml:space="preserve"> </v>
      </c>
      <c r="O26" s="266" t="e">
        <f>IF(AND(Sheet1!D$8=3,M26=" ")," ",IF(OR(Sheet1!D$192=1,Sheet1!D$196=1),IF(O25&gt;0,IF(AND(OR(Sheet1!D$8=2,Sheet1!D$22=3),O25&gt;=10)," ",O25+1),IF(NOT(Sheet1!D$192=1),0,IF(ROUND(VLOOKUP(A26,StatusQuo!A$19:M$68,13),Sheet1!D$75)-ROUND(VLOOKUP(A26,AlternativeD!A$110:M$159,13),Sheet1!D$75)&gt;0,1,0)))," "))</f>
        <v>#VALUE!</v>
      </c>
      <c r="P26" s="263" t="str">
        <f>IF(AND(A26&lt;&gt;" ",Sheet1!D$192=1,Sheet1!D$196=1),IF(AND(OR(Sheet1!D$8=2,Sheet1!D$22=3),O26&gt;10),0,ROUND(VLOOKUP(A26,StatusQuo!A$19:M$68,13),Sheet1!D$75)),IF(NOT(Sheet1!D$192=1),"not feasible",IF(A26=" "," ", "Savings is  n/a=&gt;")))</f>
        <v xml:space="preserve"> </v>
      </c>
      <c r="Q26" s="263" t="str">
        <f>IF(AND(A26&lt;&gt;" ",Sheet1!D$192=1,Sheet1!D$196=1),IF(AND(OR(Sheet1!D$8=2,Sheet1!D$22=3),O26&gt;10),0,ROUND(VLOOKUP(A26,AlternativeD!A$110:M$159,13),Sheet1!D$75)),IF(NOT(Sheet1!D$196=1),"not feasible",IF(A26=" "," ","&lt;== Savings is n/a")))</f>
        <v>not feasible</v>
      </c>
      <c r="R26" s="263" t="str">
        <f>IF(AND(A26&lt;&gt;" ",Sheet1!D$192=1,Sheet1!D$196=1),IF(G$81&lt;&gt;" ","??????? ",P26-Q26)," ")</f>
        <v xml:space="preserve"> </v>
      </c>
      <c r="S26" s="263" t="str">
        <f>IF(AND(A26&lt;&gt;" ",Sheet1!D$192=1,Sheet1!D$196=1),ROUND(R26*G26,Sheet1!D$75)," ")</f>
        <v xml:space="preserve"> </v>
      </c>
      <c r="T26" s="263" t="str">
        <f>IF(AND(A26&lt;&gt;" ",Sheet1!D$192=1,Sheet1!D$196=1),ROUND((R26/I26)*J26,Sheet1!D$75)," ")</f>
        <v xml:space="preserve"> </v>
      </c>
      <c r="U26" s="265">
        <f>SUM(T$11:T26)</f>
        <v>0</v>
      </c>
      <c r="V26" s="254" t="str">
        <f t="shared" si="0"/>
        <v xml:space="preserve"> </v>
      </c>
      <c r="W26" s="268">
        <f t="shared" si="1"/>
        <v>16</v>
      </c>
      <c r="X26" s="171" t="str">
        <f t="shared" si="2"/>
        <v xml:space="preserve"> </v>
      </c>
      <c r="AA26" s="265">
        <f>SUM(K$11:K26)</f>
        <v>0</v>
      </c>
      <c r="AB26" s="271" t="str">
        <f>IF(OR(Sheet1!D$192=1,Sheet1!D$196=1),IF(OR((AB25&gt;=(Sheet1!D$148+$A$11)-1),AND(Sheet1!D$8=3,AB25&gt;=6))," ",AB25+1),NA())</f>
        <v xml:space="preserve"> </v>
      </c>
      <c r="AC26" s="271" t="str">
        <f>IF(OR(Sheet1!D$192=1,Sheet1!D$196=1),IF(OR((AC25&gt;=(Sheet1!D$148+$B$11)-1),AND(Sheet1!D$8=3,AB25&gt;=6))," ",AC25+1),NA())</f>
        <v xml:space="preserve"> </v>
      </c>
      <c r="AD26" s="262"/>
      <c r="AE26" s="263" t="str">
        <f>IF(AND(Sheet1!D$196=1,AB26&lt;&gt;" "),ROUND(VLOOKUP(AB26,AlternativeD!A$17:M$66,12),Sheet1!D$75),IF(Sheet1!D$196=1," ","Alt  'D'  not feasible"))</f>
        <v>Alt  'D'  not feasible</v>
      </c>
      <c r="AF26" s="264" t="str">
        <f>IF(AB26&lt;=Sheet1!D$148, (1/((1+AF$10)^(AB26-0.5)))," ")</f>
        <v xml:space="preserve"> </v>
      </c>
      <c r="AG26" s="263" t="str">
        <f>IF(AND(Sheet1!D$196=1,AB26&lt;&gt;" "),ROUND(+AE26*AF26,Sheet1!D$75)," ")</f>
        <v xml:space="preserve"> </v>
      </c>
      <c r="AH26" s="264" t="str">
        <f>IF(AB26&lt;&gt;" ",ROUND(VLOOKUP(Sheet1!E$82,CHOOSE(Sheet1!D$215,Inflate1,Inflate2,Inflate3,Inflate4,Inflate5,Inflate6,Inflate7,Inflate8),2),4)," ")</f>
        <v xml:space="preserve"> </v>
      </c>
      <c r="AI26" s="264" t="str">
        <f>IF(AB26&lt;&gt;" ",ROUND(VLOOKUP(AC26,CHOOSE(Sheet1!D$215,Inflate1,Inflate2,Inflate3,Inflate4,Inflate5,Inflate6,Inflate7,Inflate8),3),4)," ")</f>
        <v xml:space="preserve"> </v>
      </c>
      <c r="AJ26" s="263" t="b">
        <f>IF(AND(Sheet1!D$196=1,AB26&lt;&gt;" "),IF(AND(O26&lt;=10,OR(Sheet1!D$8=2,Sheet1!D$8=3,Sheet1!D$22=3)),ROUND((AE26/AH26)*AI26,Sheet1!D$75),IF(AND(Sheet1!D$8&lt;&gt;2,Sheet1!D$8&lt;&gt;3,Sheet1!D$22&lt;&gt;3),ROUND((AE26/AH26)*AI26,Sheet1!D$75)," ")))</f>
        <v>0</v>
      </c>
    </row>
    <row r="27" spans="1:36" ht="12" customHeight="1" x14ac:dyDescent="0.2">
      <c r="A27" s="579" t="str">
        <f>IF(OR(Sheet1!D$192=1,Sheet1!D$196=1),IF(OR((A26&gt;=(Sheet1!D$148+$A$11)-1),AND(Sheet1!D$8=3,A26&gt;=6))," ",A26+1),NA())</f>
        <v xml:space="preserve"> </v>
      </c>
      <c r="B27" s="271" t="str">
        <f>IF(OR(Sheet1!D$192=1,Sheet1!D$196=1),IF(OR((B26&gt;=(Sheet1!D$148+$B$11)-1),AND(Sheet1!D$8=3,A26&gt;=6))," ",B26+1),NA())</f>
        <v xml:space="preserve"> </v>
      </c>
      <c r="C27" s="273"/>
      <c r="D27" s="263" t="str">
        <f>IF(AND(Sheet1!D$192=1,A27&lt;&gt;" "),ROUND(VLOOKUP(A27,StatusQuo!A$19:M$68,12),Sheet1!D$75),IF(Sheet1!D$192=1," ","SQ not feasible "))</f>
        <v xml:space="preserve"> </v>
      </c>
      <c r="E27" s="263" t="str">
        <f>IF(AND(Sheet1!D$196=1,A27&lt;&gt;" "),ROUND(VLOOKUP(A27,AlternativeD!A$110:M$159,12),Sheet1!D$75),IF(Sheet1!D$196=1," ","Alt  'D'  not feasible"))</f>
        <v>Alt  'D'  not feasible</v>
      </c>
      <c r="F27" s="263" t="str">
        <f>IF(AND(A27&lt;&gt;" ",Sheet1!D$192=1,Sheet1!D$196=1),D27-E27,IF(AND(Sheet1!D$196=1,A27&lt;&gt;" ")," "," "))</f>
        <v xml:space="preserve"> </v>
      </c>
      <c r="G27" s="264" t="str">
        <f>IF(A27&lt;=Sheet1!D$148, (1/((1+G$10)^(A27-0.5)))," ")</f>
        <v xml:space="preserve"> </v>
      </c>
      <c r="H27" s="263" t="str">
        <f>IF(AND(A27&lt;&gt;" ",Sheet1!D$192=1,Sheet1!D$196=1),ROUND(F27*G27,Sheet1!D$75),IF(AND(A27&lt;&gt;" ",Sheet1!D$196=1),ROUND(E27*G27,Sheet1!D$75)," "))</f>
        <v xml:space="preserve"> </v>
      </c>
      <c r="I27" s="264" t="str">
        <f>IF(A27&lt;&gt;" ",ROUND(VLOOKUP(Sheet1!E$82,CHOOSE(Sheet1!D$235,Inflate7,Inflate2,Inflate3,Inflate4,Inflate5,Inflate6,Inflate1,Inflate8),2),4)," ")</f>
        <v xml:space="preserve"> </v>
      </c>
      <c r="J27" s="264" t="str">
        <f>IF(A27&lt;&gt;" ",ROUND(VLOOKUP(B27,CHOOSE(Sheet1!D$235,Inflate7,Inflate2,Inflate3,Inflate4,Inflate5,Inflate6,Inflate1,Inflate8),3),4)," ")</f>
        <v xml:space="preserve"> </v>
      </c>
      <c r="K27" s="265" t="str">
        <f>IF(AND(A27&lt;&gt;" ",Sheet1!D$192=1,Sheet1!D$196=1),ROUND((F27/I27)*J27,Sheet1!D$75),IF(AND(A27&lt;&gt;" ",Sheet1!D$196=1),ROUND((E27/I27)*J27,Sheet1!D$75)," "))</f>
        <v xml:space="preserve"> </v>
      </c>
      <c r="L27" s="254" t="str">
        <f>IF(Sheet1!D$192=1,IF(AND(AA27&gt;AJ$61,AA26&lt;=AJ$61),"&lt;-Payback"," ")," ")</f>
        <v xml:space="preserve"> </v>
      </c>
      <c r="M27" s="271" t="str">
        <f>IF(OR(Sheet1!D$192=1,Sheet1!D$196=1),IF(OR((A26&gt;=(Sheet1!D$148+$A$11)-1),AND(Sheet1!D$8=3,A26&gt;=6))," ",A26+1),NA())</f>
        <v xml:space="preserve"> </v>
      </c>
      <c r="N27" s="271" t="str">
        <f>IF(OR(Sheet1!D$192=1,Sheet1!D$196=1),IF(OR((B26&gt;=(Sheet1!D$148+$B$11)-1),AND(Sheet1!D$8=3,A26&gt;=6))," ",B26+1),NA())</f>
        <v xml:space="preserve"> </v>
      </c>
      <c r="O27" s="266" t="e">
        <f>IF(AND(Sheet1!D$8=3,M27=" ")," ",IF(OR(Sheet1!D$192=1,Sheet1!D$196=1),IF(O26&gt;0,IF(AND(OR(Sheet1!D$8=2,Sheet1!D$22=3),O26&gt;=10)," ",O26+1),IF(NOT(Sheet1!D$192=1),0,IF(ROUND(VLOOKUP(A27,StatusQuo!A$19:M$68,13),Sheet1!D$75)-ROUND(VLOOKUP(A27,AlternativeD!A$110:M$159,13),Sheet1!D$75)&gt;0,1,0)))," "))</f>
        <v>#VALUE!</v>
      </c>
      <c r="P27" s="263" t="str">
        <f>IF(AND(A27&lt;&gt;" ",Sheet1!D$192=1,Sheet1!D$196=1),IF(AND(OR(Sheet1!D$8=2,Sheet1!D$22=3),O27&gt;10),0,ROUND(VLOOKUP(A27,StatusQuo!A$19:M$68,13),Sheet1!D$75)),IF(NOT(Sheet1!D$192=1),"not feasible",IF(A27=" "," ", "Savings is  n/a=&gt;")))</f>
        <v xml:space="preserve"> </v>
      </c>
      <c r="Q27" s="263" t="str">
        <f>IF(AND(A27&lt;&gt;" ",Sheet1!D$192=1,Sheet1!D$196=1),IF(AND(OR(Sheet1!D$8=2,Sheet1!D$22=3),O27&gt;10),0,ROUND(VLOOKUP(A27,AlternativeD!A$110:M$159,13),Sheet1!D$75)),IF(NOT(Sheet1!D$196=1),"not feasible",IF(A27=" "," ","&lt;== Savings is n/a")))</f>
        <v>not feasible</v>
      </c>
      <c r="R27" s="263" t="str">
        <f>IF(AND(A27&lt;&gt;" ",Sheet1!D$192=1,Sheet1!D$196=1),IF(G$81&lt;&gt;" ","??????? ",P27-Q27)," ")</f>
        <v xml:space="preserve"> </v>
      </c>
      <c r="S27" s="263" t="str">
        <f>IF(AND(A27&lt;&gt;" ",Sheet1!D$192=1,Sheet1!D$196=1),ROUND(R27*G27,Sheet1!D$75)," ")</f>
        <v xml:space="preserve"> </v>
      </c>
      <c r="T27" s="263" t="str">
        <f>IF(AND(A27&lt;&gt;" ",Sheet1!D$192=1,Sheet1!D$196=1),ROUND((R27/I27)*J27,Sheet1!D$75)," ")</f>
        <v xml:space="preserve"> </v>
      </c>
      <c r="U27" s="265">
        <f>SUM(T$11:T27)</f>
        <v>0</v>
      </c>
      <c r="V27" s="254" t="str">
        <f t="shared" si="0"/>
        <v xml:space="preserve"> </v>
      </c>
      <c r="W27" s="268">
        <f t="shared" si="1"/>
        <v>17</v>
      </c>
      <c r="X27" s="171" t="str">
        <f t="shared" si="2"/>
        <v xml:space="preserve"> </v>
      </c>
      <c r="AA27" s="265">
        <f>SUM(K$11:K27)</f>
        <v>0</v>
      </c>
      <c r="AB27" s="271" t="str">
        <f>IF(OR(Sheet1!D$192=1,Sheet1!D$196=1),IF(OR((AB26&gt;=(Sheet1!D$148+$A$11)-1),AND(Sheet1!D$8=3,AB26&gt;=6))," ",AB26+1),NA())</f>
        <v xml:space="preserve"> </v>
      </c>
      <c r="AC27" s="271" t="str">
        <f>IF(OR(Sheet1!D$192=1,Sheet1!D$196=1),IF(OR((AC26&gt;=(Sheet1!D$148+$B$11)-1),AND(Sheet1!D$8=3,AB26&gt;=6))," ",AC26+1),NA())</f>
        <v xml:space="preserve"> </v>
      </c>
      <c r="AD27" s="262"/>
      <c r="AE27" s="263" t="str">
        <f>IF(AND(Sheet1!D$196=1,AB27&lt;&gt;" "),ROUND(VLOOKUP(AB27,AlternativeD!A$17:M$66,12),Sheet1!D$75),IF(Sheet1!D$196=1," ","Alt  'D'  not feasible"))</f>
        <v>Alt  'D'  not feasible</v>
      </c>
      <c r="AF27" s="264" t="str">
        <f>IF(AB27&lt;=Sheet1!D$148, (1/((1+AF$10)^(AB27-0.5)))," ")</f>
        <v xml:space="preserve"> </v>
      </c>
      <c r="AG27" s="263" t="str">
        <f>IF(AND(Sheet1!D$196=1,AB27&lt;&gt;" "),ROUND(+AE27*AF27,Sheet1!D$75)," ")</f>
        <v xml:space="preserve"> </v>
      </c>
      <c r="AH27" s="264" t="str">
        <f>IF(AB27&lt;&gt;" ",ROUND(VLOOKUP(Sheet1!E$82,CHOOSE(Sheet1!D$215,Inflate1,Inflate2,Inflate3,Inflate4,Inflate5,Inflate6,Inflate7,Inflate8),2),4)," ")</f>
        <v xml:space="preserve"> </v>
      </c>
      <c r="AI27" s="264" t="str">
        <f>IF(AB27&lt;&gt;" ",ROUND(VLOOKUP(AC27,CHOOSE(Sheet1!D$215,Inflate1,Inflate2,Inflate3,Inflate4,Inflate5,Inflate6,Inflate7,Inflate8),3),4)," ")</f>
        <v xml:space="preserve"> </v>
      </c>
      <c r="AJ27" s="263" t="b">
        <f>IF(AND(Sheet1!D$196=1,AB27&lt;&gt;" "),IF(AND(O27&lt;=10,OR(Sheet1!D$8=2,Sheet1!D$8=3,Sheet1!D$22=3)),ROUND((AE27/AH27)*AI27,Sheet1!D$75),IF(AND(Sheet1!D$8&lt;&gt;2,Sheet1!D$8&lt;&gt;3,Sheet1!D$22&lt;&gt;3),ROUND((AE27/AH27)*AI27,Sheet1!D$75)," ")))</f>
        <v>0</v>
      </c>
    </row>
    <row r="28" spans="1:36" ht="12" customHeight="1" x14ac:dyDescent="0.2">
      <c r="A28" s="579" t="str">
        <f>IF(OR(Sheet1!D$192=1,Sheet1!D$196=1),IF(OR((A27&gt;=(Sheet1!D$148+$A$11)-1),AND(Sheet1!D$8=3,A27&gt;=6))," ",A27+1),NA())</f>
        <v xml:space="preserve"> </v>
      </c>
      <c r="B28" s="271" t="str">
        <f>IF(OR(Sheet1!D$192=1,Sheet1!D$196=1),IF(OR((B27&gt;=(Sheet1!D$148+$B$11)-1),AND(Sheet1!D$8=3,A27&gt;=6))," ",B27+1),NA())</f>
        <v xml:space="preserve"> </v>
      </c>
      <c r="C28" s="273"/>
      <c r="D28" s="263" t="str">
        <f>IF(AND(Sheet1!D$192=1,A28&lt;&gt;" "),ROUND(VLOOKUP(A28,StatusQuo!A$19:M$68,12),Sheet1!D$75),IF(Sheet1!D$192=1," ","SQ not feasible "))</f>
        <v xml:space="preserve"> </v>
      </c>
      <c r="E28" s="263" t="str">
        <f>IF(AND(Sheet1!D$196=1,A28&lt;&gt;" "),ROUND(VLOOKUP(A28,AlternativeD!A$110:M$159,12),Sheet1!D$75),IF(Sheet1!D$196=1," ","Alt  'D'  not feasible"))</f>
        <v>Alt  'D'  not feasible</v>
      </c>
      <c r="F28" s="263" t="str">
        <f>IF(AND(A28&lt;&gt;" ",Sheet1!D$192=1,Sheet1!D$196=1),D28-E28,IF(AND(Sheet1!D$196=1,A28&lt;&gt;" ")," "," "))</f>
        <v xml:space="preserve"> </v>
      </c>
      <c r="G28" s="264" t="str">
        <f>IF(A28&lt;=Sheet1!D$148, (1/((1+G$10)^(A28-0.5)))," ")</f>
        <v xml:space="preserve"> </v>
      </c>
      <c r="H28" s="263" t="str">
        <f>IF(AND(A28&lt;&gt;" ",Sheet1!D$192=1,Sheet1!D$196=1),ROUND(F28*G28,Sheet1!D$75),IF(AND(A28&lt;&gt;" ",Sheet1!D$196=1),ROUND(E28*G28,Sheet1!D$75)," "))</f>
        <v xml:space="preserve"> </v>
      </c>
      <c r="I28" s="264" t="str">
        <f>IF(A28&lt;&gt;" ",ROUND(VLOOKUP(Sheet1!E$82,CHOOSE(Sheet1!D$235,Inflate7,Inflate2,Inflate3,Inflate4,Inflate5,Inflate6,Inflate1,Inflate8),2),4)," ")</f>
        <v xml:space="preserve"> </v>
      </c>
      <c r="J28" s="264" t="str">
        <f>IF(A28&lt;&gt;" ",ROUND(VLOOKUP(B28,CHOOSE(Sheet1!D$235,Inflate7,Inflate2,Inflate3,Inflate4,Inflate5,Inflate6,Inflate1,Inflate8),3),4)," ")</f>
        <v xml:space="preserve"> </v>
      </c>
      <c r="K28" s="265" t="str">
        <f>IF(AND(A28&lt;&gt;" ",Sheet1!D$192=1,Sheet1!D$196=1),ROUND((F28/I28)*J28,Sheet1!D$75),IF(AND(A28&lt;&gt;" ",Sheet1!D$196=1),ROUND((E28/I28)*J28,Sheet1!D$75)," "))</f>
        <v xml:space="preserve"> </v>
      </c>
      <c r="L28" s="254" t="str">
        <f>IF(Sheet1!D$192=1,IF(AND(AA28&gt;AJ$61,AA27&lt;=AJ$61),"&lt;-Payback"," ")," ")</f>
        <v xml:space="preserve"> </v>
      </c>
      <c r="M28" s="271" t="str">
        <f>IF(OR(Sheet1!D$192=1,Sheet1!D$196=1),IF(OR((A27&gt;=(Sheet1!D$148+$A$11)-1),AND(Sheet1!D$8=3,A27&gt;=6))," ",A27+1),NA())</f>
        <v xml:space="preserve"> </v>
      </c>
      <c r="N28" s="271" t="str">
        <f>IF(OR(Sheet1!D$192=1,Sheet1!D$196=1),IF(OR((B27&gt;=(Sheet1!D$148+$B$11)-1),AND(Sheet1!D$8=3,A27&gt;=6))," ",B27+1),NA())</f>
        <v xml:space="preserve"> </v>
      </c>
      <c r="O28" s="266" t="e">
        <f>IF(AND(Sheet1!D$8=3,M28=" ")," ",IF(OR(Sheet1!D$192=1,Sheet1!D$196=1),IF(O27&gt;0,IF(AND(OR(Sheet1!D$8=2,Sheet1!D$22=3),O27&gt;=10)," ",O27+1),IF(NOT(Sheet1!D$192=1),0,IF(ROUND(VLOOKUP(A28,StatusQuo!A$19:M$68,13),Sheet1!D$75)-ROUND(VLOOKUP(A28,AlternativeD!A$110:M$159,13),Sheet1!D$75)&gt;0,1,0)))," "))</f>
        <v>#VALUE!</v>
      </c>
      <c r="P28" s="263" t="str">
        <f>IF(AND(A28&lt;&gt;" ",Sheet1!D$192=1,Sheet1!D$196=1),IF(AND(OR(Sheet1!D$8=2,Sheet1!D$22=3),O28&gt;10),0,ROUND(VLOOKUP(A28,StatusQuo!A$19:M$68,13),Sheet1!D$75)),IF(NOT(Sheet1!D$192=1),"not feasible",IF(A28=" "," ", "Savings is  n/a=&gt;")))</f>
        <v xml:space="preserve"> </v>
      </c>
      <c r="Q28" s="263" t="str">
        <f>IF(AND(A28&lt;&gt;" ",Sheet1!D$192=1,Sheet1!D$196=1),IF(AND(OR(Sheet1!D$8=2,Sheet1!D$22=3),O28&gt;10),0,ROUND(VLOOKUP(A28,AlternativeD!A$110:M$159,13),Sheet1!D$75)),IF(NOT(Sheet1!D$196=1),"not feasible",IF(A28=" "," ","&lt;== Savings is n/a")))</f>
        <v>not feasible</v>
      </c>
      <c r="R28" s="263" t="str">
        <f>IF(AND(A28&lt;&gt;" ",Sheet1!D$192=1,Sheet1!D$196=1),IF(G$81&lt;&gt;" ","??????? ",P28-Q28)," ")</f>
        <v xml:space="preserve"> </v>
      </c>
      <c r="S28" s="263" t="str">
        <f>IF(AND(A28&lt;&gt;" ",Sheet1!D$192=1,Sheet1!D$196=1),ROUND(R28*G28,Sheet1!D$75)," ")</f>
        <v xml:space="preserve"> </v>
      </c>
      <c r="T28" s="263" t="str">
        <f>IF(AND(A28&lt;&gt;" ",Sheet1!D$192=1,Sheet1!D$196=1),ROUND((R28/I28)*J28,Sheet1!D$75)," ")</f>
        <v xml:space="preserve"> </v>
      </c>
      <c r="U28" s="265">
        <f>SUM(T$11:T28)</f>
        <v>0</v>
      </c>
      <c r="V28" s="254" t="str">
        <f t="shared" si="0"/>
        <v xml:space="preserve"> </v>
      </c>
      <c r="W28" s="268">
        <f t="shared" si="1"/>
        <v>18</v>
      </c>
      <c r="X28" s="171" t="str">
        <f t="shared" si="2"/>
        <v xml:space="preserve"> </v>
      </c>
      <c r="AA28" s="265">
        <f>SUM(K$11:K28)</f>
        <v>0</v>
      </c>
      <c r="AB28" s="271" t="str">
        <f>IF(OR(Sheet1!D$192=1,Sheet1!D$196=1),IF(OR((AB27&gt;=(Sheet1!D$148+$A$11)-1),AND(Sheet1!D$8=3,AB27&gt;=6))," ",AB27+1),NA())</f>
        <v xml:space="preserve"> </v>
      </c>
      <c r="AC28" s="271" t="str">
        <f>IF(OR(Sheet1!D$192=1,Sheet1!D$196=1),IF(OR((AC27&gt;=(Sheet1!D$148+$B$11)-1),AND(Sheet1!D$8=3,AB27&gt;=6))," ",AC27+1),NA())</f>
        <v xml:space="preserve"> </v>
      </c>
      <c r="AD28" s="262"/>
      <c r="AE28" s="263" t="str">
        <f>IF(AND(Sheet1!D$196=1,AB28&lt;&gt;" "),ROUND(VLOOKUP(AB28,AlternativeD!A$17:M$66,12),Sheet1!D$75),IF(Sheet1!D$196=1," ","Alt  'D'  not feasible"))</f>
        <v>Alt  'D'  not feasible</v>
      </c>
      <c r="AF28" s="264" t="str">
        <f>IF(AB28&lt;=Sheet1!D$148, (1/((1+AF$10)^(AB28-0.5)))," ")</f>
        <v xml:space="preserve"> </v>
      </c>
      <c r="AG28" s="263" t="str">
        <f>IF(AND(Sheet1!D$196=1,AB28&lt;&gt;" "),ROUND(+AE28*AF28,Sheet1!D$75)," ")</f>
        <v xml:space="preserve"> </v>
      </c>
      <c r="AH28" s="264" t="str">
        <f>IF(AB28&lt;&gt;" ",ROUND(VLOOKUP(Sheet1!E$82,CHOOSE(Sheet1!D$215,Inflate1,Inflate2,Inflate3,Inflate4,Inflate5,Inflate6,Inflate7,Inflate8),2),4)," ")</f>
        <v xml:space="preserve"> </v>
      </c>
      <c r="AI28" s="264" t="str">
        <f>IF(AB28&lt;&gt;" ",ROUND(VLOOKUP(AC28,CHOOSE(Sheet1!D$215,Inflate1,Inflate2,Inflate3,Inflate4,Inflate5,Inflate6,Inflate7,Inflate8),3),4)," ")</f>
        <v xml:space="preserve"> </v>
      </c>
      <c r="AJ28" s="263" t="b">
        <f>IF(AND(Sheet1!D$196=1,AB28&lt;&gt;" "),IF(AND(O28&lt;=10,OR(Sheet1!D$8=2,Sheet1!D$8=3,Sheet1!D$22=3)),ROUND((AE28/AH28)*AI28,Sheet1!D$75),IF(AND(Sheet1!D$8&lt;&gt;2,Sheet1!D$8&lt;&gt;3,Sheet1!D$22&lt;&gt;3),ROUND((AE28/AH28)*AI28,Sheet1!D$75)," ")))</f>
        <v>0</v>
      </c>
    </row>
    <row r="29" spans="1:36" ht="12" customHeight="1" x14ac:dyDescent="0.2">
      <c r="A29" s="579" t="str">
        <f>IF(OR(Sheet1!D$192=1,Sheet1!D$196=1),IF(OR((A28&gt;=(Sheet1!D$148+$A$11)-1),AND(Sheet1!D$8=3,A28&gt;=6))," ",A28+1),NA())</f>
        <v xml:space="preserve"> </v>
      </c>
      <c r="B29" s="271" t="str">
        <f>IF(OR(Sheet1!D$192=1,Sheet1!D$196=1),IF(OR((B28&gt;=(Sheet1!D$148+$B$11)-1),AND(Sheet1!D$8=3,A28&gt;=6))," ",B28+1),NA())</f>
        <v xml:space="preserve"> </v>
      </c>
      <c r="C29" s="273"/>
      <c r="D29" s="263" t="str">
        <f>IF(AND(Sheet1!D$192=1,A29&lt;&gt;" "),ROUND(VLOOKUP(A29,StatusQuo!A$19:M$68,12),Sheet1!D$75),IF(Sheet1!D$192=1," ","SQ not feasible "))</f>
        <v xml:space="preserve"> </v>
      </c>
      <c r="E29" s="263" t="str">
        <f>IF(AND(Sheet1!D$196=1,A29&lt;&gt;" "),ROUND(VLOOKUP(A29,AlternativeD!A$110:M$159,12),Sheet1!D$75),IF(Sheet1!D$196=1," ","Alt  'D'  not feasible"))</f>
        <v>Alt  'D'  not feasible</v>
      </c>
      <c r="F29" s="263" t="str">
        <f>IF(AND(A29&lt;&gt;" ",Sheet1!D$192=1,Sheet1!D$196=1),D29-E29,IF(AND(Sheet1!D$196=1,A29&lt;&gt;" ")," "," "))</f>
        <v xml:space="preserve"> </v>
      </c>
      <c r="G29" s="264" t="str">
        <f>IF(A29&lt;=Sheet1!D$148, (1/((1+G$10)^(A29-0.5)))," ")</f>
        <v xml:space="preserve"> </v>
      </c>
      <c r="H29" s="263" t="str">
        <f>IF(AND(A29&lt;&gt;" ",Sheet1!D$192=1,Sheet1!D$196=1),ROUND(F29*G29,Sheet1!D$75),IF(AND(A29&lt;&gt;" ",Sheet1!D$196=1),ROUND(E29*G29,Sheet1!D$75)," "))</f>
        <v xml:space="preserve"> </v>
      </c>
      <c r="I29" s="264" t="str">
        <f>IF(A29&lt;&gt;" ",ROUND(VLOOKUP(Sheet1!E$82,CHOOSE(Sheet1!D$235,Inflate7,Inflate2,Inflate3,Inflate4,Inflate5,Inflate6,Inflate1,Inflate8),2),4)," ")</f>
        <v xml:space="preserve"> </v>
      </c>
      <c r="J29" s="264" t="str">
        <f>IF(A29&lt;&gt;" ",ROUND(VLOOKUP(B29,CHOOSE(Sheet1!D$235,Inflate7,Inflate2,Inflate3,Inflate4,Inflate5,Inflate6,Inflate1,Inflate8),3),4)," ")</f>
        <v xml:space="preserve"> </v>
      </c>
      <c r="K29" s="265" t="str">
        <f>IF(AND(A29&lt;&gt;" ",Sheet1!D$192=1,Sheet1!D$196=1),ROUND((F29/I29)*J29,Sheet1!D$75),IF(AND(A29&lt;&gt;" ",Sheet1!D$196=1),ROUND((E29/I29)*J29,Sheet1!D$75)," "))</f>
        <v xml:space="preserve"> </v>
      </c>
      <c r="L29" s="254" t="str">
        <f>IF(Sheet1!D$192=1,IF(AND(AA29&gt;AJ$61,AA28&lt;=AJ$61),"&lt;-Payback"," ")," ")</f>
        <v xml:space="preserve"> </v>
      </c>
      <c r="M29" s="271" t="str">
        <f>IF(OR(Sheet1!D$192=1,Sheet1!D$196=1),IF(OR((A28&gt;=(Sheet1!D$148+$A$11)-1),AND(Sheet1!D$8=3,A28&gt;=6))," ",A28+1),NA())</f>
        <v xml:space="preserve"> </v>
      </c>
      <c r="N29" s="271" t="str">
        <f>IF(OR(Sheet1!D$192=1,Sheet1!D$196=1),IF(OR((B28&gt;=(Sheet1!D$148+$B$11)-1),AND(Sheet1!D$8=3,A28&gt;=6))," ",B28+1),NA())</f>
        <v xml:space="preserve"> </v>
      </c>
      <c r="O29" s="266" t="e">
        <f>IF(AND(Sheet1!D$8=3,M29=" ")," ",IF(OR(Sheet1!D$192=1,Sheet1!D$196=1),IF(O28&gt;0,IF(AND(OR(Sheet1!D$8=2,Sheet1!D$22=3),O28&gt;=10)," ",O28+1),IF(NOT(Sheet1!D$192=1),0,IF(ROUND(VLOOKUP(A29,StatusQuo!A$19:M$68,13),Sheet1!D$75)-ROUND(VLOOKUP(A29,AlternativeD!A$110:M$159,13),Sheet1!D$75)&gt;0,1,0)))," "))</f>
        <v>#VALUE!</v>
      </c>
      <c r="P29" s="263" t="str">
        <f>IF(AND(A29&lt;&gt;" ",Sheet1!D$192=1,Sheet1!D$196=1),IF(AND(OR(Sheet1!D$8=2,Sheet1!D$22=3),O29&gt;10),0,ROUND(VLOOKUP(A29,StatusQuo!A$19:M$68,13),Sheet1!D$75)),IF(NOT(Sheet1!D$192=1),"not feasible",IF(A29=" "," ", "Savings is  n/a=&gt;")))</f>
        <v xml:space="preserve"> </v>
      </c>
      <c r="Q29" s="263" t="str">
        <f>IF(AND(A29&lt;&gt;" ",Sheet1!D$192=1,Sheet1!D$196=1),IF(AND(OR(Sheet1!D$8=2,Sheet1!D$22=3),O29&gt;10),0,ROUND(VLOOKUP(A29,AlternativeD!A$110:M$159,13),Sheet1!D$75)),IF(NOT(Sheet1!D$196=1),"not feasible",IF(A29=" "," ","&lt;== Savings is n/a")))</f>
        <v>not feasible</v>
      </c>
      <c r="R29" s="263" t="str">
        <f>IF(AND(A29&lt;&gt;" ",Sheet1!D$192=1,Sheet1!D$196=1),IF(G$81&lt;&gt;" ","??????? ",P29-Q29)," ")</f>
        <v xml:space="preserve"> </v>
      </c>
      <c r="S29" s="263" t="str">
        <f>IF(AND(A29&lt;&gt;" ",Sheet1!D$192=1,Sheet1!D$196=1),ROUND(R29*G29,Sheet1!D$75)," ")</f>
        <v xml:space="preserve"> </v>
      </c>
      <c r="T29" s="263" t="str">
        <f>IF(AND(A29&lt;&gt;" ",Sheet1!D$192=1,Sheet1!D$196=1),ROUND((R29/I29)*J29,Sheet1!D$75)," ")</f>
        <v xml:space="preserve"> </v>
      </c>
      <c r="U29" s="265">
        <f>SUM(T$11:T29)</f>
        <v>0</v>
      </c>
      <c r="V29" s="254" t="str">
        <f t="shared" si="0"/>
        <v xml:space="preserve"> </v>
      </c>
      <c r="W29" s="268">
        <f t="shared" si="1"/>
        <v>19</v>
      </c>
      <c r="X29" s="171" t="str">
        <f t="shared" si="2"/>
        <v xml:space="preserve"> </v>
      </c>
      <c r="AA29" s="265">
        <f>SUM(K$11:K29)</f>
        <v>0</v>
      </c>
      <c r="AB29" s="271" t="str">
        <f>IF(OR(Sheet1!D$192=1,Sheet1!D$196=1),IF(OR((AB28&gt;=(Sheet1!D$148+$A$11)-1),AND(Sheet1!D$8=3,AB28&gt;=6))," ",AB28+1),NA())</f>
        <v xml:space="preserve"> </v>
      </c>
      <c r="AC29" s="271" t="str">
        <f>IF(OR(Sheet1!D$192=1,Sheet1!D$196=1),IF(OR((AC28&gt;=(Sheet1!D$148+$B$11)-1),AND(Sheet1!D$8=3,AB28&gt;=6))," ",AC28+1),NA())</f>
        <v xml:space="preserve"> </v>
      </c>
      <c r="AD29" s="262"/>
      <c r="AE29" s="263" t="str">
        <f>IF(AND(Sheet1!D$196=1,AB29&lt;&gt;" "),ROUND(VLOOKUP(AB29,AlternativeD!A$17:M$66,12),Sheet1!D$75),IF(Sheet1!D$196=1," ","Alt  'D'  not feasible"))</f>
        <v>Alt  'D'  not feasible</v>
      </c>
      <c r="AF29" s="264" t="str">
        <f>IF(AB29&lt;=Sheet1!D$148, (1/((1+AF$10)^(AB29-0.5)))," ")</f>
        <v xml:space="preserve"> </v>
      </c>
      <c r="AG29" s="263" t="str">
        <f>IF(AND(Sheet1!D$196=1,AB29&lt;&gt;" "),ROUND(+AE29*AF29,Sheet1!D$75)," ")</f>
        <v xml:space="preserve"> </v>
      </c>
      <c r="AH29" s="264" t="str">
        <f>IF(AB29&lt;&gt;" ",ROUND(VLOOKUP(Sheet1!E$82,CHOOSE(Sheet1!D$215,Inflate1,Inflate2,Inflate3,Inflate4,Inflate5,Inflate6,Inflate7,Inflate8),2),4)," ")</f>
        <v xml:space="preserve"> </v>
      </c>
      <c r="AI29" s="264" t="str">
        <f>IF(AB29&lt;&gt;" ",ROUND(VLOOKUP(AC29,CHOOSE(Sheet1!D$215,Inflate1,Inflate2,Inflate3,Inflate4,Inflate5,Inflate6,Inflate7,Inflate8),3),4)," ")</f>
        <v xml:space="preserve"> </v>
      </c>
      <c r="AJ29" s="263" t="b">
        <f>IF(AND(Sheet1!D$196=1,AB29&lt;&gt;" "),IF(AND(O29&lt;=10,OR(Sheet1!D$8=2,Sheet1!D$8=3,Sheet1!D$22=3)),ROUND((AE29/AH29)*AI29,Sheet1!D$75),IF(AND(Sheet1!D$8&lt;&gt;2,Sheet1!D$8&lt;&gt;3,Sheet1!D$22&lt;&gt;3),ROUND((AE29/AH29)*AI29,Sheet1!D$75)," ")))</f>
        <v>0</v>
      </c>
    </row>
    <row r="30" spans="1:36" ht="12" customHeight="1" x14ac:dyDescent="0.2">
      <c r="A30" s="579" t="str">
        <f>IF(OR(Sheet1!D$192=1,Sheet1!D$196=1),IF(OR((A29&gt;=(Sheet1!D$148+$A$11)-1),AND(Sheet1!D$8=3,A29&gt;=6))," ",A29+1),NA())</f>
        <v xml:space="preserve"> </v>
      </c>
      <c r="B30" s="271" t="str">
        <f>IF(OR(Sheet1!D$192=1,Sheet1!D$196=1),IF(OR((B29&gt;=(Sheet1!D$148+$B$11)-1),AND(Sheet1!D$8=3,A29&gt;=6))," ",B29+1),NA())</f>
        <v xml:space="preserve"> </v>
      </c>
      <c r="C30" s="273"/>
      <c r="D30" s="263" t="str">
        <f>IF(AND(Sheet1!D$192=1,A30&lt;&gt;" "),ROUND(VLOOKUP(A30,StatusQuo!A$19:M$68,12),Sheet1!D$75),IF(Sheet1!D$192=1," ","SQ not feasible "))</f>
        <v xml:space="preserve"> </v>
      </c>
      <c r="E30" s="263" t="str">
        <f>IF(AND(Sheet1!D$196=1,A30&lt;&gt;" "),ROUND(VLOOKUP(A30,AlternativeD!A$110:M$159,12),Sheet1!D$75),IF(Sheet1!D$196=1," ","Alt  'D'  not feasible"))</f>
        <v>Alt  'D'  not feasible</v>
      </c>
      <c r="F30" s="263" t="str">
        <f>IF(AND(A30&lt;&gt;" ",Sheet1!D$192=1,Sheet1!D$196=1),D30-E30,IF(AND(Sheet1!D$196=1,A30&lt;&gt;" ")," "," "))</f>
        <v xml:space="preserve"> </v>
      </c>
      <c r="G30" s="264" t="str">
        <f>IF(A30&lt;=Sheet1!D$148, (1/((1+G$10)^(A30-0.5)))," ")</f>
        <v xml:space="preserve"> </v>
      </c>
      <c r="H30" s="263" t="str">
        <f>IF(AND(A30&lt;&gt;" ",Sheet1!D$192=1,Sheet1!D$196=1),ROUND(F30*G30,Sheet1!D$75),IF(AND(A30&lt;&gt;" ",Sheet1!D$196=1),ROUND(E30*G30,Sheet1!D$75)," "))</f>
        <v xml:space="preserve"> </v>
      </c>
      <c r="I30" s="264" t="str">
        <f>IF(A30&lt;&gt;" ",ROUND(VLOOKUP(Sheet1!E$82,CHOOSE(Sheet1!D$235,Inflate7,Inflate2,Inflate3,Inflate4,Inflate5,Inflate6,Inflate1,Inflate8),2),4)," ")</f>
        <v xml:space="preserve"> </v>
      </c>
      <c r="J30" s="264" t="str">
        <f>IF(A30&lt;&gt;" ",ROUND(VLOOKUP(B30,CHOOSE(Sheet1!D$235,Inflate7,Inflate2,Inflate3,Inflate4,Inflate5,Inflate6,Inflate1,Inflate8),3),4)," ")</f>
        <v xml:space="preserve"> </v>
      </c>
      <c r="K30" s="265" t="str">
        <f>IF(AND(A30&lt;&gt;" ",Sheet1!D$192=1,Sheet1!D$196=1),ROUND((F30/I30)*J30,Sheet1!D$75),IF(AND(A30&lt;&gt;" ",Sheet1!D$196=1),ROUND((E30/I30)*J30,Sheet1!D$75)," "))</f>
        <v xml:space="preserve"> </v>
      </c>
      <c r="L30" s="254" t="str">
        <f>IF(Sheet1!D$192=1,IF(AND(AA30&gt;AJ$61,AA29&lt;=AJ$61),"&lt;-Payback"," ")," ")</f>
        <v xml:space="preserve"> </v>
      </c>
      <c r="M30" s="271" t="str">
        <f>IF(OR(Sheet1!D$192=1,Sheet1!D$196=1),IF(OR((A29&gt;=(Sheet1!D$148+$A$11)-1),AND(Sheet1!D$8=3,A29&gt;=6))," ",A29+1),NA())</f>
        <v xml:space="preserve"> </v>
      </c>
      <c r="N30" s="271" t="str">
        <f>IF(OR(Sheet1!D$192=1,Sheet1!D$196=1),IF(OR((B29&gt;=(Sheet1!D$148+$B$11)-1),AND(Sheet1!D$8=3,A29&gt;=6))," ",B29+1),NA())</f>
        <v xml:space="preserve"> </v>
      </c>
      <c r="O30" s="266" t="e">
        <f>IF(AND(Sheet1!D$8=3,M30=" ")," ",IF(OR(Sheet1!D$192=1,Sheet1!D$196=1),IF(O29&gt;0,IF(AND(OR(Sheet1!D$8=2,Sheet1!D$22=3),O29&gt;=10)," ",O29+1),IF(NOT(Sheet1!D$192=1),0,IF(ROUND(VLOOKUP(A30,StatusQuo!A$19:M$68,13),Sheet1!D$75)-ROUND(VLOOKUP(A30,AlternativeD!A$110:M$159,13),Sheet1!D$75)&gt;0,1,0)))," "))</f>
        <v>#VALUE!</v>
      </c>
      <c r="P30" s="263" t="str">
        <f>IF(AND(A30&lt;&gt;" ",Sheet1!D$192=1,Sheet1!D$196=1),IF(AND(OR(Sheet1!D$8=2,Sheet1!D$22=3),O30&gt;10),0,ROUND(VLOOKUP(A30,StatusQuo!A$19:M$68,13),Sheet1!D$75)),IF(NOT(Sheet1!D$192=1),"not feasible",IF(A30=" "," ", "Savings is  n/a=&gt;")))</f>
        <v xml:space="preserve"> </v>
      </c>
      <c r="Q30" s="263" t="str">
        <f>IF(AND(A30&lt;&gt;" ",Sheet1!D$192=1,Sheet1!D$196=1),IF(AND(OR(Sheet1!D$8=2,Sheet1!D$22=3),O30&gt;10),0,ROUND(VLOOKUP(A30,AlternativeD!A$110:M$159,13),Sheet1!D$75)),IF(NOT(Sheet1!D$196=1),"not feasible",IF(A30=" "," ","&lt;== Savings is n/a")))</f>
        <v>not feasible</v>
      </c>
      <c r="R30" s="263" t="str">
        <f>IF(AND(A30&lt;&gt;" ",Sheet1!D$192=1,Sheet1!D$196=1),IF(G$81&lt;&gt;" ","??????? ",P30-Q30)," ")</f>
        <v xml:space="preserve"> </v>
      </c>
      <c r="S30" s="263" t="str">
        <f>IF(AND(A30&lt;&gt;" ",Sheet1!D$192=1,Sheet1!D$196=1),ROUND(R30*G30,Sheet1!D$75)," ")</f>
        <v xml:space="preserve"> </v>
      </c>
      <c r="T30" s="263" t="str">
        <f>IF(AND(A30&lt;&gt;" ",Sheet1!D$192=1,Sheet1!D$196=1),ROUND((R30/I30)*J30,Sheet1!D$75)," ")</f>
        <v xml:space="preserve"> </v>
      </c>
      <c r="U30" s="265">
        <f>SUM(T$11:T30)</f>
        <v>0</v>
      </c>
      <c r="V30" s="254" t="str">
        <f t="shared" si="0"/>
        <v xml:space="preserve"> </v>
      </c>
      <c r="W30" s="268">
        <f t="shared" si="1"/>
        <v>20</v>
      </c>
      <c r="X30" s="171" t="str">
        <f t="shared" si="2"/>
        <v xml:space="preserve"> </v>
      </c>
      <c r="AA30" s="265">
        <f>SUM(K$11:K30)</f>
        <v>0</v>
      </c>
      <c r="AB30" s="271" t="str">
        <f>IF(OR(Sheet1!D$192=1,Sheet1!D$196=1),IF(OR((AB29&gt;=(Sheet1!D$148+$A$11)-1),AND(Sheet1!D$8=3,AB29&gt;=6))," ",AB29+1),NA())</f>
        <v xml:space="preserve"> </v>
      </c>
      <c r="AC30" s="271" t="str">
        <f>IF(OR(Sheet1!D$192=1,Sheet1!D$196=1),IF(OR((AC29&gt;=(Sheet1!D$148+$B$11)-1),AND(Sheet1!D$8=3,AB29&gt;=6))," ",AC29+1),NA())</f>
        <v xml:space="preserve"> </v>
      </c>
      <c r="AD30" s="262"/>
      <c r="AE30" s="263" t="str">
        <f>IF(AND(Sheet1!D$196=1,AB30&lt;&gt;" "),ROUND(VLOOKUP(AB30,AlternativeD!A$17:M$66,12),Sheet1!D$75),IF(Sheet1!D$196=1," ","Alt  'D'  not feasible"))</f>
        <v>Alt  'D'  not feasible</v>
      </c>
      <c r="AF30" s="264" t="str">
        <f>IF(AB30&lt;=Sheet1!D$148, (1/((1+AF$10)^(AB30-0.5)))," ")</f>
        <v xml:space="preserve"> </v>
      </c>
      <c r="AG30" s="263" t="str">
        <f>IF(AND(Sheet1!D$196=1,AB30&lt;&gt;" "),ROUND(+AE30*AF30,Sheet1!D$75)," ")</f>
        <v xml:space="preserve"> </v>
      </c>
      <c r="AH30" s="264" t="str">
        <f>IF(AB30&lt;&gt;" ",ROUND(VLOOKUP(Sheet1!E$82,CHOOSE(Sheet1!D$215,Inflate1,Inflate2,Inflate3,Inflate4,Inflate5,Inflate6,Inflate7,Inflate8),2),4)," ")</f>
        <v xml:space="preserve"> </v>
      </c>
      <c r="AI30" s="264" t="str">
        <f>IF(AB30&lt;&gt;" ",ROUND(VLOOKUP(AC30,CHOOSE(Sheet1!D$215,Inflate1,Inflate2,Inflate3,Inflate4,Inflate5,Inflate6,Inflate7,Inflate8),3),4)," ")</f>
        <v xml:space="preserve"> </v>
      </c>
      <c r="AJ30" s="263" t="b">
        <f>IF(AND(Sheet1!D$196=1,AB30&lt;&gt;" "),IF(AND(O30&lt;=10,OR(Sheet1!D$8=2,Sheet1!D$8=3,Sheet1!D$22=3)),ROUND((AE30/AH30)*AI30,Sheet1!D$75),IF(AND(Sheet1!D$8&lt;&gt;2,Sheet1!D$8&lt;&gt;3,Sheet1!D$22&lt;&gt;3),ROUND((AE30/AH30)*AI30,Sheet1!D$75)," ")))</f>
        <v>0</v>
      </c>
    </row>
    <row r="31" spans="1:36" ht="12" customHeight="1" x14ac:dyDescent="0.2">
      <c r="A31" s="579" t="str">
        <f>IF(OR(Sheet1!D$192=1,Sheet1!D$193),IF(OR((A30&gt;=(Sheet1!D$148+$A$11)-1),AND(Sheet1!D$8=3,A30&gt;=6))," ",A30+1),NA())</f>
        <v xml:space="preserve"> </v>
      </c>
      <c r="B31" s="271" t="str">
        <f>IF(OR(Sheet1!D$192=1,Sheet1!D$196=1),IF(OR((B30&gt;=(Sheet1!D$148+$B$11)-1),AND(Sheet1!D$8=3,A30&gt;=6))," ",B30+1),NA())</f>
        <v xml:space="preserve"> </v>
      </c>
      <c r="C31" s="273"/>
      <c r="D31" s="263" t="str">
        <f>IF(AND(Sheet1!D$192=1,A31&lt;&gt;" "),ROUND(VLOOKUP(A31,StatusQuo!A$19:M$68,12),Sheet1!D$75),IF(Sheet1!D$192=1," ","SQ not feasible "))</f>
        <v xml:space="preserve"> </v>
      </c>
      <c r="E31" s="263" t="str">
        <f>IF(AND(Sheet1!D$196=1,A31&lt;&gt;" "),ROUND(VLOOKUP(A31,AlternativeD!A$110:M$159,12),Sheet1!D$75),IF(Sheet1!D$196=1," ","Alt  'D'  not feasible"))</f>
        <v>Alt  'D'  not feasible</v>
      </c>
      <c r="F31" s="263" t="str">
        <f>IF(AND(A31&lt;&gt;" ",Sheet1!D$192=1,Sheet1!D$196=1),D31-E31,IF(AND(Sheet1!D$196=1,A31&lt;&gt;" ")," "," "))</f>
        <v xml:space="preserve"> </v>
      </c>
      <c r="G31" s="264" t="str">
        <f>IF(A31&lt;=Sheet1!D$148, (1/((1+G$10)^(A31-0.5)))," ")</f>
        <v xml:space="preserve"> </v>
      </c>
      <c r="H31" s="263" t="str">
        <f>IF(AND(A31&lt;&gt;" ",Sheet1!D$192=1,Sheet1!D$196=1),ROUND(F31*G31,Sheet1!D$75),IF(AND(A31&lt;&gt;" ",Sheet1!D$196=1),ROUND(E31*G31,Sheet1!D$75)," "))</f>
        <v xml:space="preserve"> </v>
      </c>
      <c r="I31" s="264" t="str">
        <f>IF(A31&lt;&gt;" ",ROUND(VLOOKUP(Sheet1!E$82,CHOOSE(Sheet1!D$235,Inflate7,Inflate2,Inflate3,Inflate4,Inflate5,Inflate6,Inflate1,Inflate8),2),4)," ")</f>
        <v xml:space="preserve"> </v>
      </c>
      <c r="J31" s="264" t="str">
        <f>IF(A31&lt;&gt;" ",ROUND(VLOOKUP(B31,CHOOSE(Sheet1!D$235,Inflate7,Inflate2,Inflate3,Inflate4,Inflate5,Inflate6,Inflate1,Inflate8),3),4)," ")</f>
        <v xml:space="preserve"> </v>
      </c>
      <c r="K31" s="265" t="str">
        <f>IF(AND(A31&lt;&gt;" ",Sheet1!D$192=1,Sheet1!D$193),ROUND((F31/I31)*J31,Sheet1!D$75),IF(AND(A31&lt;&gt;" ",Sheet1!D$193),ROUND((E31/I31)*J31,Sheet1!D$75)," "))</f>
        <v xml:space="preserve"> </v>
      </c>
      <c r="L31" s="254" t="str">
        <f>IF(Sheet1!D$192=1,IF(AND(AA31&gt;AJ$61,AA30&lt;=AJ$61),"&lt;-Payback"," ")," ")</f>
        <v xml:space="preserve"> </v>
      </c>
      <c r="M31" s="271" t="str">
        <f>IF(OR(Sheet1!D$192=1,Sheet1!D$193),IF(OR((A30&gt;=(Sheet1!D$148+$A$11)-1),AND(Sheet1!D$8=3,A30&gt;=6))," ",A30+1),NA())</f>
        <v xml:space="preserve"> </v>
      </c>
      <c r="N31" s="271" t="str">
        <f>IF(OR(Sheet1!D$192=1,Sheet1!D$193),IF(OR((B30&gt;=(Sheet1!D$148+$B$11)-1),AND(Sheet1!D$8=3,A30&gt;=6))," ",B30+1),NA())</f>
        <v xml:space="preserve"> </v>
      </c>
      <c r="O31" s="266" t="e">
        <f>IF(AND(Sheet1!D$8=3,M31=" ")," ",IF(OR(Sheet1!D$192=1,Sheet1!D$196=1),IF(O30&gt;0,IF(AND(OR(Sheet1!D$8=2,Sheet1!D$22=3),O30&gt;=10)," ",O30+1),IF(NOT(Sheet1!D$192=1),0,IF(ROUND(VLOOKUP(A31,StatusQuo!A$19:M$68,13),Sheet1!D$75)-ROUND(VLOOKUP(A31,AlternativeD!A$110:M$159,13),Sheet1!D$75)&gt;0,1,0)))," "))</f>
        <v>#VALUE!</v>
      </c>
      <c r="P31" s="263" t="str">
        <f>IF(AND(A31&lt;&gt;" ",Sheet1!D$192=1,Sheet1!D$196=1),IF(AND(OR(Sheet1!D$8=2,Sheet1!D$22=3),O31&gt;10),0,ROUND(VLOOKUP(A31,StatusQuo!A$19:M$68,13),Sheet1!D$75)),IF(NOT(Sheet1!D$192=1),"not feasible",IF(A31=" "," ", "Savings is  n/a=&gt;")))</f>
        <v xml:space="preserve"> </v>
      </c>
      <c r="Q31" s="263" t="str">
        <f>IF(AND(A31&lt;&gt;" ",Sheet1!D$192=1,Sheet1!D$196=1),IF(AND(OR(Sheet1!D$8=2,Sheet1!D$22=3),O31&gt;10),0,ROUND(VLOOKUP(A31,AlternativeD!A$110:M$159,13),Sheet1!D$75)),IF(NOT(Sheet1!D$196=1),"not feasible",IF(A31=" "," ","&lt;== Savings is n/a")))</f>
        <v>not feasible</v>
      </c>
      <c r="R31" s="263" t="str">
        <f>IF(AND(A31&lt;&gt;" ",Sheet1!D$192=1,Sheet1!D$196=1),IF(G$81&lt;&gt;" ","??????? ",P31-Q31)," ")</f>
        <v xml:space="preserve"> </v>
      </c>
      <c r="S31" s="263" t="str">
        <f>IF(AND(A31&lt;&gt;" ",Sheet1!D$192=1,Sheet1!D$196=1),ROUND(R31*G31,Sheet1!D$75)," ")</f>
        <v xml:space="preserve"> </v>
      </c>
      <c r="T31" s="263" t="str">
        <f>IF(AND(A31&lt;&gt;" ",Sheet1!D$192=1,Sheet1!D$196=1),ROUND((R31/I31)*J31,Sheet1!D$75)," ")</f>
        <v xml:space="preserve"> </v>
      </c>
      <c r="U31" s="265">
        <f>SUM(T$11:T31)</f>
        <v>0</v>
      </c>
      <c r="V31" s="254" t="str">
        <f t="shared" si="0"/>
        <v xml:space="preserve"> </v>
      </c>
      <c r="W31" s="268">
        <f t="shared" si="1"/>
        <v>21</v>
      </c>
      <c r="X31" s="171" t="str">
        <f t="shared" si="2"/>
        <v xml:space="preserve"> </v>
      </c>
      <c r="AA31" s="265">
        <f>SUM(K$11:K31)</f>
        <v>0</v>
      </c>
      <c r="AB31" s="271" t="str">
        <f>IF(OR(Sheet1!D$192=1,Sheet1!D$193),IF(OR((AB30&gt;=(Sheet1!D$148+$A$11)-1),AND(Sheet1!D$8=3,AB30&gt;=6))," ",AB30+1),NA())</f>
        <v xml:space="preserve"> </v>
      </c>
      <c r="AC31" s="271" t="str">
        <f>IF(OR(Sheet1!D$192=1,Sheet1!D$193),IF(OR((AC30&gt;=(Sheet1!D$148+$B$11)-1),AND(Sheet1!D$8=3,AB30&gt;=6))," ",AC30+1),NA())</f>
        <v xml:space="preserve"> </v>
      </c>
      <c r="AD31" s="262"/>
      <c r="AE31" s="263" t="str">
        <f>IF(AND(Sheet1!D$196=1,AB31&lt;&gt;" "),ROUND(VLOOKUP(AB31,AlternativeD!A$17:M$66,12),Sheet1!D$75),IF(Sheet1!D$196=1," ","Alt  'D'  not feasible"))</f>
        <v>Alt  'D'  not feasible</v>
      </c>
      <c r="AF31" s="264" t="str">
        <f>IF(AB31&lt;=Sheet1!D$148, (1/((1+AF$10)^(AB31-0.5)))," ")</f>
        <v xml:space="preserve"> </v>
      </c>
      <c r="AG31" s="263" t="str">
        <f>IF(AND(Sheet1!D$196=1,AB31&lt;&gt;" "),ROUND(+AE31*AF31,Sheet1!D$75)," ")</f>
        <v xml:space="preserve"> </v>
      </c>
      <c r="AH31" s="264" t="str">
        <f>IF(AB31&lt;&gt;" ",ROUND(VLOOKUP(Sheet1!E$82,CHOOSE(Sheet1!D$215,Inflate1,Inflate2,Inflate3,Inflate4,Inflate5,Inflate6,Inflate7,Inflate8),2),4)," ")</f>
        <v xml:space="preserve"> </v>
      </c>
      <c r="AI31" s="264" t="str">
        <f>IF(AB31&lt;&gt;" ",ROUND(VLOOKUP(AC31,CHOOSE(Sheet1!D$215,Inflate1,Inflate2,Inflate3,Inflate4,Inflate5,Inflate6,Inflate7,Inflate8),3),4)," ")</f>
        <v xml:space="preserve"> </v>
      </c>
      <c r="AJ31" s="263" t="b">
        <f>IF(AND(Sheet1!D$196=1,AB31&lt;&gt;" "),IF(AND(O31&lt;=10,OR(Sheet1!D$8=2,Sheet1!D$8=3,Sheet1!D$22=3)),ROUND((AE31/AH31)*AI31,Sheet1!D$75),IF(AND(Sheet1!D$8&lt;&gt;2,Sheet1!D$8&lt;&gt;3,Sheet1!D$22&lt;&gt;3),ROUND((AE31/AH31)*AI31,Sheet1!D$75)," ")))</f>
        <v>0</v>
      </c>
    </row>
    <row r="32" spans="1:36" ht="12" customHeight="1" x14ac:dyDescent="0.2">
      <c r="A32" s="579" t="str">
        <f>IF(OR(Sheet1!D$192=1,Sheet1!D$193),IF(OR((A31&gt;=(Sheet1!D$148+$A$11)-1),AND(Sheet1!D$8=3,A31&gt;=6))," ",A31+1),NA())</f>
        <v xml:space="preserve"> </v>
      </c>
      <c r="B32" s="271" t="str">
        <f>IF(OR(Sheet1!D$192=1,Sheet1!D$196=1),IF(OR((B31&gt;=(Sheet1!D$148+$B$11)-1),AND(Sheet1!D$8=3,A31&gt;=6))," ",B31+1),NA())</f>
        <v xml:space="preserve"> </v>
      </c>
      <c r="C32" s="273"/>
      <c r="D32" s="263" t="str">
        <f>IF(AND(Sheet1!D$192=1,A32&lt;&gt;" "),ROUND(VLOOKUP(A32,StatusQuo!A$19:M$68,12),Sheet1!D$75),IF(Sheet1!D$192=1," ","SQ not feasible "))</f>
        <v xml:space="preserve"> </v>
      </c>
      <c r="E32" s="263" t="str">
        <f>IF(AND(Sheet1!D$196=1,A32&lt;&gt;" "),ROUND(VLOOKUP(A32,AlternativeD!A$110:M$159,12),Sheet1!D$75),IF(Sheet1!D$196=1," ","Alt  'D'  not feasible"))</f>
        <v>Alt  'D'  not feasible</v>
      </c>
      <c r="F32" s="263" t="str">
        <f>IF(AND(A32&lt;&gt;" ",Sheet1!D$192=1,Sheet1!D$196=1),D32-E32,IF(AND(Sheet1!D$196=1,A32&lt;&gt;" ")," "," "))</f>
        <v xml:space="preserve"> </v>
      </c>
      <c r="G32" s="264" t="str">
        <f>IF(A32&lt;=Sheet1!D$148, (1/((1+G$10)^(A32-0.5)))," ")</f>
        <v xml:space="preserve"> </v>
      </c>
      <c r="H32" s="263" t="str">
        <f>IF(AND(A32&lt;&gt;" ",Sheet1!D$192=1,Sheet1!D$196=1),ROUND(F32*G32,Sheet1!D$75),IF(AND(A32&lt;&gt;" ",Sheet1!D$196=1),ROUND(E32*G32,Sheet1!D$75)," "))</f>
        <v xml:space="preserve"> </v>
      </c>
      <c r="I32" s="264" t="str">
        <f>IF(A32&lt;&gt;" ",ROUND(VLOOKUP(Sheet1!E$82,CHOOSE(Sheet1!D$235,Inflate7,Inflate2,Inflate3,Inflate4,Inflate5,Inflate6,Inflate1,Inflate8),2),4)," ")</f>
        <v xml:space="preserve"> </v>
      </c>
      <c r="J32" s="264" t="str">
        <f>IF(A32&lt;&gt;" ",ROUND(VLOOKUP(B32,CHOOSE(Sheet1!D$235,Inflate7,Inflate2,Inflate3,Inflate4,Inflate5,Inflate6,Inflate1,Inflate8),3),4)," ")</f>
        <v xml:space="preserve"> </v>
      </c>
      <c r="K32" s="265" t="str">
        <f>IF(AND(A32&lt;&gt;" ",Sheet1!D$192=1,Sheet1!D$193),ROUND((F32/I32)*J32,Sheet1!D$75),IF(AND(A32&lt;&gt;" ",Sheet1!D$193),ROUND((E32/I32)*J32,Sheet1!D$75)," "))</f>
        <v xml:space="preserve"> </v>
      </c>
      <c r="L32" s="254" t="str">
        <f>IF(Sheet1!D$192=1,IF(AND(AA32&gt;AJ$61,AA31&lt;=AJ$61),"&lt;-Payback"," ")," ")</f>
        <v xml:space="preserve"> </v>
      </c>
      <c r="M32" s="271" t="str">
        <f>IF(OR(Sheet1!D$192=1,Sheet1!D$193),IF(OR((A31&gt;=(Sheet1!D$148+$A$11)-1),AND(Sheet1!D$8=3,A31&gt;=6))," ",A31+1),NA())</f>
        <v xml:space="preserve"> </v>
      </c>
      <c r="N32" s="271" t="str">
        <f>IF(OR(Sheet1!D$192=1,Sheet1!D$193),IF(OR((B31&gt;=(Sheet1!D$148+$B$11)-1),AND(Sheet1!D$8=3,A31&gt;=6))," ",B31+1),NA())</f>
        <v xml:space="preserve"> </v>
      </c>
      <c r="O32" s="266" t="e">
        <f>IF(AND(Sheet1!D$8=3,M32=" ")," ",IF(OR(Sheet1!D$192=1,Sheet1!D$196=1),IF(O31&gt;0,IF(AND(OR(Sheet1!D$8=2,Sheet1!D$22=3),O31&gt;=10)," ",O31+1),IF(NOT(Sheet1!D$192=1),0,IF(ROUND(VLOOKUP(A32,StatusQuo!A$19:M$68,13),Sheet1!D$75)-ROUND(VLOOKUP(A32,AlternativeD!A$110:M$159,13),Sheet1!D$75)&gt;0,1,0)))," "))</f>
        <v>#VALUE!</v>
      </c>
      <c r="P32" s="263" t="str">
        <f>IF(AND(A32&lt;&gt;" ",Sheet1!D$192=1,Sheet1!D$196=1),IF(AND(OR(Sheet1!D$8=2,Sheet1!D$22=3),O32&gt;10),0,ROUND(VLOOKUP(A32,StatusQuo!A$19:M$68,13),Sheet1!D$75)),IF(NOT(Sheet1!D$192=1),"not feasible",IF(A32=" "," ", "Savings is  n/a=&gt;")))</f>
        <v xml:space="preserve"> </v>
      </c>
      <c r="Q32" s="263" t="str">
        <f>IF(AND(A32&lt;&gt;" ",Sheet1!D$192=1,Sheet1!D$196=1),IF(AND(OR(Sheet1!D$8=2,Sheet1!D$22=3),O32&gt;10),0,ROUND(VLOOKUP(A32,AlternativeD!A$110:M$159,13),Sheet1!D$75)),IF(NOT(Sheet1!D$196=1),"not feasible",IF(A32=" "," ","&lt;== Savings is n/a")))</f>
        <v>not feasible</v>
      </c>
      <c r="R32" s="263" t="str">
        <f>IF(AND(A32&lt;&gt;" ",Sheet1!D$192=1,Sheet1!D$196=1),IF(G$81&lt;&gt;" ","??????? ",P32-Q32)," ")</f>
        <v xml:space="preserve"> </v>
      </c>
      <c r="S32" s="263" t="str">
        <f>IF(AND(A32&lt;&gt;" ",Sheet1!D$192=1,Sheet1!D$196=1),ROUND(R32*G32,Sheet1!D$75)," ")</f>
        <v xml:space="preserve"> </v>
      </c>
      <c r="T32" s="263" t="str">
        <f>IF(AND(A32&lt;&gt;" ",Sheet1!D$192=1,Sheet1!D$196=1),ROUND((R32/I32)*J32,Sheet1!D$75)," ")</f>
        <v xml:space="preserve"> </v>
      </c>
      <c r="U32" s="265">
        <f>SUM(T$11:T32)</f>
        <v>0</v>
      </c>
      <c r="V32" s="254" t="str">
        <f t="shared" si="0"/>
        <v xml:space="preserve"> </v>
      </c>
      <c r="W32" s="268">
        <f t="shared" si="1"/>
        <v>22</v>
      </c>
      <c r="X32" s="171" t="str">
        <f t="shared" si="2"/>
        <v xml:space="preserve"> </v>
      </c>
      <c r="AA32" s="265">
        <f>SUM(K$11:K32)</f>
        <v>0</v>
      </c>
      <c r="AB32" s="271" t="str">
        <f>IF(OR(Sheet1!D$192=1,Sheet1!D$193),IF(OR((AB31&gt;=(Sheet1!D$148+$A$11)-1),AND(Sheet1!D$8=3,AB31&gt;=6))," ",AB31+1),NA())</f>
        <v xml:space="preserve"> </v>
      </c>
      <c r="AC32" s="271" t="str">
        <f>IF(OR(Sheet1!D$192=1,Sheet1!D$193),IF(OR((AC31&gt;=(Sheet1!D$148+$B$11)-1),AND(Sheet1!D$8=3,AB31&gt;=6))," ",AC31+1),NA())</f>
        <v xml:space="preserve"> </v>
      </c>
      <c r="AD32" s="262"/>
      <c r="AE32" s="263" t="str">
        <f>IF(AND(Sheet1!D$196=1,AB32&lt;&gt;" "),ROUND(VLOOKUP(AB32,AlternativeD!A$17:M$66,12),Sheet1!D$75),IF(Sheet1!D$196=1," ","Alt  'D'  not feasible"))</f>
        <v>Alt  'D'  not feasible</v>
      </c>
      <c r="AF32" s="264" t="str">
        <f>IF(AB32&lt;=Sheet1!D$148, (1/((1+AF$10)^(AB32-0.5)))," ")</f>
        <v xml:space="preserve"> </v>
      </c>
      <c r="AG32" s="263" t="str">
        <f>IF(AND(Sheet1!D$196=1,AB32&lt;&gt;" "),ROUND(+AE32*AF32,Sheet1!D$75)," ")</f>
        <v xml:space="preserve"> </v>
      </c>
      <c r="AH32" s="264" t="str">
        <f>IF(AB32&lt;&gt;" ",ROUND(VLOOKUP(Sheet1!E$82,CHOOSE(Sheet1!D$215,Inflate1,Inflate2,Inflate3,Inflate4,Inflate5,Inflate6,Inflate7,Inflate8),2),4)," ")</f>
        <v xml:space="preserve"> </v>
      </c>
      <c r="AI32" s="264" t="str">
        <f>IF(AB32&lt;&gt;" ",ROUND(VLOOKUP(AC32,CHOOSE(Sheet1!D$215,Inflate1,Inflate2,Inflate3,Inflate4,Inflate5,Inflate6,Inflate7,Inflate8),3),4)," ")</f>
        <v xml:space="preserve"> </v>
      </c>
      <c r="AJ32" s="263" t="b">
        <f>IF(AND(Sheet1!D$196=1,AB32&lt;&gt;" "),IF(AND(O32&lt;=10,OR(Sheet1!D$8=2,Sheet1!D$8=3,Sheet1!D$22=3)),ROUND((AE32/AH32)*AI32,Sheet1!D$75),IF(AND(Sheet1!D$8&lt;&gt;2,Sheet1!D$8&lt;&gt;3,Sheet1!D$22&lt;&gt;3),ROUND((AE32/AH32)*AI32,Sheet1!D$75)," ")))</f>
        <v>0</v>
      </c>
    </row>
    <row r="33" spans="1:36" ht="12" customHeight="1" x14ac:dyDescent="0.2">
      <c r="A33" s="579" t="str">
        <f>IF(OR(Sheet1!D$192=1,Sheet1!D$193),IF(OR((A32&gt;=(Sheet1!D$148+$A$11)-1),AND(Sheet1!D$8=3,A32&gt;=6))," ",A32+1),NA())</f>
        <v xml:space="preserve"> </v>
      </c>
      <c r="B33" s="271" t="str">
        <f>IF(OR(Sheet1!D$192=1,Sheet1!D$196=1),IF(OR((B32&gt;=(Sheet1!D$148+$B$11)-1),AND(Sheet1!D$8=3,A32&gt;=6))," ",B32+1),NA())</f>
        <v xml:space="preserve"> </v>
      </c>
      <c r="C33" s="273"/>
      <c r="D33" s="263" t="str">
        <f>IF(AND(Sheet1!D$192=1,A33&lt;&gt;" "),ROUND(VLOOKUP(A33,StatusQuo!A$19:M$68,12),Sheet1!D$75),IF(Sheet1!D$192=1," ","SQ not feasible "))</f>
        <v xml:space="preserve"> </v>
      </c>
      <c r="E33" s="263" t="str">
        <f>IF(AND(Sheet1!D$196=1,A33&lt;&gt;" "),ROUND(VLOOKUP(A33,AlternativeD!A$110:M$159,12),Sheet1!D$75),IF(Sheet1!D$196=1," ","Alt  'D'  not feasible"))</f>
        <v>Alt  'D'  not feasible</v>
      </c>
      <c r="F33" s="263" t="str">
        <f>IF(AND(A33&lt;&gt;" ",Sheet1!D$192=1,Sheet1!D$196=1),D33-E33,IF(AND(Sheet1!D$196=1,A33&lt;&gt;" ")," "," "))</f>
        <v xml:space="preserve"> </v>
      </c>
      <c r="G33" s="264" t="str">
        <f>IF(A33&lt;=Sheet1!D$148, (1/((1+G$10)^(A33-0.5)))," ")</f>
        <v xml:space="preserve"> </v>
      </c>
      <c r="H33" s="263" t="str">
        <f>IF(AND(A33&lt;&gt;" ",Sheet1!D$192=1,Sheet1!D$196=1),ROUND(F33*G33,Sheet1!D$75),IF(AND(A33&lt;&gt;" ",Sheet1!D$196=1),ROUND(E33*G33,Sheet1!D$75)," "))</f>
        <v xml:space="preserve"> </v>
      </c>
      <c r="I33" s="264" t="str">
        <f>IF(A33&lt;&gt;" ",ROUND(VLOOKUP(Sheet1!E$82,CHOOSE(Sheet1!D$235,Inflate7,Inflate2,Inflate3,Inflate4,Inflate5,Inflate6,Inflate1,Inflate8),2),4)," ")</f>
        <v xml:space="preserve"> </v>
      </c>
      <c r="J33" s="264" t="str">
        <f>IF(A33&lt;&gt;" ",ROUND(VLOOKUP(B33,CHOOSE(Sheet1!D$235,Inflate7,Inflate2,Inflate3,Inflate4,Inflate5,Inflate6,Inflate1,Inflate8),3),4)," ")</f>
        <v xml:space="preserve"> </v>
      </c>
      <c r="K33" s="265" t="str">
        <f>IF(AND(A33&lt;&gt;" ",Sheet1!D$192=1,Sheet1!D$193),ROUND((F33/I33)*J33,Sheet1!D$75),IF(AND(A33&lt;&gt;" ",Sheet1!D$193),ROUND((E33/I33)*J33,Sheet1!D$75)," "))</f>
        <v xml:space="preserve"> </v>
      </c>
      <c r="L33" s="254" t="str">
        <f>IF(Sheet1!D$192=1,IF(AND(AA33&gt;AJ$61,AA32&lt;=AJ$61),"&lt;-Payback"," ")," ")</f>
        <v xml:space="preserve"> </v>
      </c>
      <c r="M33" s="271" t="str">
        <f>IF(OR(Sheet1!D$192=1,Sheet1!D$193),IF(OR((A32&gt;=(Sheet1!D$148+$A$11)-1),AND(Sheet1!D$8=3,A32&gt;=6))," ",A32+1),NA())</f>
        <v xml:space="preserve"> </v>
      </c>
      <c r="N33" s="271" t="str">
        <f>IF(OR(Sheet1!D$192=1,Sheet1!D$193),IF(OR((B32&gt;=(Sheet1!D$148+$B$11)-1),AND(Sheet1!D$8=3,A32&gt;=6))," ",B32+1),NA())</f>
        <v xml:space="preserve"> </v>
      </c>
      <c r="O33" s="266" t="e">
        <f>IF(AND(Sheet1!D$8=3,M33=" ")," ",IF(OR(Sheet1!D$192=1,Sheet1!D$196=1),IF(O32&gt;0,IF(AND(OR(Sheet1!D$8=2,Sheet1!D$22=3),O32&gt;=10)," ",O32+1),IF(NOT(Sheet1!D$192=1),0,IF(ROUND(VLOOKUP(A33,StatusQuo!A$19:M$68,13),Sheet1!D$75)-ROUND(VLOOKUP(A33,AlternativeD!A$110:M$159,13),Sheet1!D$75)&gt;0,1,0)))," "))</f>
        <v>#VALUE!</v>
      </c>
      <c r="P33" s="263" t="str">
        <f>IF(AND(A33&lt;&gt;" ",Sheet1!D$192=1,Sheet1!D$196=1),IF(AND(OR(Sheet1!D$8=2,Sheet1!D$22=3),O33&gt;10),0,ROUND(VLOOKUP(A33,StatusQuo!A$19:M$68,13),Sheet1!D$75)),IF(NOT(Sheet1!D$192=1),"not feasible",IF(A33=" "," ", "Savings is  n/a=&gt;")))</f>
        <v xml:space="preserve"> </v>
      </c>
      <c r="Q33" s="263" t="str">
        <f>IF(AND(A33&lt;&gt;" ",Sheet1!D$192=1,Sheet1!D$196=1),IF(AND(OR(Sheet1!D$8=2,Sheet1!D$22=3),O33&gt;10),0,ROUND(VLOOKUP(A33,AlternativeD!A$110:M$159,13),Sheet1!D$75)),IF(NOT(Sheet1!D$196=1),"not feasible",IF(A33=" "," ","&lt;== Savings is n/a")))</f>
        <v>not feasible</v>
      </c>
      <c r="R33" s="263" t="str">
        <f>IF(AND(A33&lt;&gt;" ",Sheet1!D$192=1,Sheet1!D$196=1),IF(G$81&lt;&gt;" ","??????? ",P33-Q33)," ")</f>
        <v xml:space="preserve"> </v>
      </c>
      <c r="S33" s="263" t="str">
        <f>IF(AND(A33&lt;&gt;" ",Sheet1!D$192=1,Sheet1!D$196=1),ROUND(R33*G33,Sheet1!D$75)," ")</f>
        <v xml:space="preserve"> </v>
      </c>
      <c r="T33" s="263" t="str">
        <f>IF(AND(A33&lt;&gt;" ",Sheet1!D$192=1,Sheet1!D$196=1),ROUND((R33/I33)*J33,Sheet1!D$75)," ")</f>
        <v xml:space="preserve"> </v>
      </c>
      <c r="U33" s="265">
        <f>SUM(T$11:T33)</f>
        <v>0</v>
      </c>
      <c r="V33" s="254" t="str">
        <f t="shared" si="0"/>
        <v xml:space="preserve"> </v>
      </c>
      <c r="W33" s="268">
        <f t="shared" si="1"/>
        <v>23</v>
      </c>
      <c r="X33" s="171" t="str">
        <f t="shared" si="2"/>
        <v xml:space="preserve"> </v>
      </c>
      <c r="AA33" s="265">
        <f>SUM(K$11:K33)</f>
        <v>0</v>
      </c>
      <c r="AB33" s="271" t="str">
        <f>IF(OR(Sheet1!D$192=1,Sheet1!D$193),IF(OR((AB32&gt;=(Sheet1!D$148+$A$11)-1),AND(Sheet1!D$8=3,AB32&gt;=6))," ",AB32+1),NA())</f>
        <v xml:space="preserve"> </v>
      </c>
      <c r="AC33" s="271" t="str">
        <f>IF(OR(Sheet1!D$192=1,Sheet1!D$193),IF(OR((AC32&gt;=(Sheet1!D$148+$B$11)-1),AND(Sheet1!D$8=3,AB32&gt;=6))," ",AC32+1),NA())</f>
        <v xml:space="preserve"> </v>
      </c>
      <c r="AD33" s="262"/>
      <c r="AE33" s="263" t="str">
        <f>IF(AND(Sheet1!D$196=1,AB33&lt;&gt;" "),ROUND(VLOOKUP(AB33,AlternativeD!A$17:M$66,12),Sheet1!D$75),IF(Sheet1!D$196=1," ","Alt  'D'  not feasible"))</f>
        <v>Alt  'D'  not feasible</v>
      </c>
      <c r="AF33" s="264" t="str">
        <f>IF(AB33&lt;=Sheet1!D$148, (1/((1+AF$10)^(AB33-0.5)))," ")</f>
        <v xml:space="preserve"> </v>
      </c>
      <c r="AG33" s="263" t="str">
        <f>IF(AND(Sheet1!D$196=1,AB33&lt;&gt;" "),ROUND(+AE33*AF33,Sheet1!D$75)," ")</f>
        <v xml:space="preserve"> </v>
      </c>
      <c r="AH33" s="264" t="str">
        <f>IF(AB33&lt;&gt;" ",ROUND(VLOOKUP(Sheet1!E$82,CHOOSE(Sheet1!D$215,Inflate1,Inflate2,Inflate3,Inflate4,Inflate5,Inflate6,Inflate7,Inflate8),2),4)," ")</f>
        <v xml:space="preserve"> </v>
      </c>
      <c r="AI33" s="264" t="str">
        <f>IF(AB33&lt;&gt;" ",ROUND(VLOOKUP(AC33,CHOOSE(Sheet1!D$215,Inflate1,Inflate2,Inflate3,Inflate4,Inflate5,Inflate6,Inflate7,Inflate8),3),4)," ")</f>
        <v xml:space="preserve"> </v>
      </c>
      <c r="AJ33" s="263" t="b">
        <f>IF(AND(Sheet1!D$196=1,AB33&lt;&gt;" "),IF(AND(O33&lt;=10,OR(Sheet1!D$8=2,Sheet1!D$8=3,Sheet1!D$22=3)),ROUND((AE33/AH33)*AI33,Sheet1!D$75),IF(AND(Sheet1!D$8&lt;&gt;2,Sheet1!D$8&lt;&gt;3,Sheet1!D$22&lt;&gt;3),ROUND((AE33/AH33)*AI33,Sheet1!D$75)," ")))</f>
        <v>0</v>
      </c>
    </row>
    <row r="34" spans="1:36" ht="12" customHeight="1" x14ac:dyDescent="0.2">
      <c r="A34" s="579" t="str">
        <f>IF(OR(Sheet1!D$192=1,Sheet1!D$193),IF(OR((A33&gt;=(Sheet1!D$148+$A$11)-1),AND(Sheet1!D$8=3,A33&gt;=6))," ",A33+1),NA())</f>
        <v xml:space="preserve"> </v>
      </c>
      <c r="B34" s="271" t="str">
        <f>IF(OR(Sheet1!D$192=1,Sheet1!D$196=1),IF(OR((B33&gt;=(Sheet1!D$148+$B$11)-1),AND(Sheet1!D$8=3,A33&gt;=6))," ",B33+1),NA())</f>
        <v xml:space="preserve"> </v>
      </c>
      <c r="C34" s="273"/>
      <c r="D34" s="263" t="str">
        <f>IF(AND(Sheet1!D$192=1,A34&lt;&gt;" "),ROUND(VLOOKUP(A34,StatusQuo!A$19:M$68,12),Sheet1!D$75),IF(Sheet1!D$192=1," ","SQ not feasible "))</f>
        <v xml:space="preserve"> </v>
      </c>
      <c r="E34" s="263" t="str">
        <f>IF(AND(Sheet1!D$196=1,A34&lt;&gt;" "),ROUND(VLOOKUP(A34,AlternativeD!A$110:M$159,12),Sheet1!D$75),IF(Sheet1!D$196=1," ","Alt  'D'  not feasible"))</f>
        <v>Alt  'D'  not feasible</v>
      </c>
      <c r="F34" s="263" t="str">
        <f>IF(AND(A34&lt;&gt;" ",Sheet1!D$192=1,Sheet1!D$196=1),D34-E34,IF(AND(Sheet1!D$196=1,A34&lt;&gt;" ")," "," "))</f>
        <v xml:space="preserve"> </v>
      </c>
      <c r="G34" s="264" t="str">
        <f>IF(A34&lt;=Sheet1!D$148, (1/((1+G$10)^(A34-0.5)))," ")</f>
        <v xml:space="preserve"> </v>
      </c>
      <c r="H34" s="263" t="str">
        <f>IF(AND(A34&lt;&gt;" ",Sheet1!D$192=1,Sheet1!D$196=1),ROUND(F34*G34,Sheet1!D$75),IF(AND(A34&lt;&gt;" ",Sheet1!D$196=1),ROUND(E34*G34,Sheet1!D$75)," "))</f>
        <v xml:space="preserve"> </v>
      </c>
      <c r="I34" s="264" t="str">
        <f>IF(A34&lt;&gt;" ",ROUND(VLOOKUP(Sheet1!E$82,CHOOSE(Sheet1!D$235,Inflate7,Inflate2,Inflate3,Inflate4,Inflate5,Inflate6,Inflate1,Inflate8),2),4)," ")</f>
        <v xml:space="preserve"> </v>
      </c>
      <c r="J34" s="264" t="str">
        <f>IF(A34&lt;&gt;" ",ROUND(VLOOKUP(B34,CHOOSE(Sheet1!D$235,Inflate7,Inflate2,Inflate3,Inflate4,Inflate5,Inflate6,Inflate1,Inflate8),3),4)," ")</f>
        <v xml:space="preserve"> </v>
      </c>
      <c r="K34" s="265" t="str">
        <f>IF(AND(A34&lt;&gt;" ",Sheet1!D$192=1,Sheet1!D$193),ROUND((F34/I34)*J34,Sheet1!D$75),IF(AND(A34&lt;&gt;" ",Sheet1!D$193),ROUND((E34/I34)*J34,Sheet1!D$75)," "))</f>
        <v xml:space="preserve"> </v>
      </c>
      <c r="L34" s="254" t="str">
        <f>IF(Sheet1!D$192=1,IF(AND(AA34&gt;AJ$61,AA33&lt;=AJ$61),"&lt;-Payback"," ")," ")</f>
        <v xml:space="preserve"> </v>
      </c>
      <c r="M34" s="271" t="str">
        <f>IF(OR(Sheet1!D$192=1,Sheet1!D$193),IF(OR((A33&gt;=(Sheet1!D$148+$A$11)-1),AND(Sheet1!D$8=3,A33&gt;=6))," ",A33+1),NA())</f>
        <v xml:space="preserve"> </v>
      </c>
      <c r="N34" s="271" t="str">
        <f>IF(OR(Sheet1!D$192=1,Sheet1!D$193),IF(OR((B33&gt;=(Sheet1!D$148+$B$11)-1),AND(Sheet1!D$8=3,A33&gt;=6))," ",B33+1),NA())</f>
        <v xml:space="preserve"> </v>
      </c>
      <c r="O34" s="266" t="e">
        <f>IF(AND(Sheet1!D$8=3,M34=" ")," ",IF(OR(Sheet1!D$192=1,Sheet1!D$196=1),IF(O33&gt;0,IF(AND(OR(Sheet1!D$8=2,Sheet1!D$22=3),O33&gt;=10)," ",O33+1),IF(NOT(Sheet1!D$192=1),0,IF(ROUND(VLOOKUP(A34,StatusQuo!A$19:M$68,13),Sheet1!D$75)-ROUND(VLOOKUP(A34,AlternativeD!A$110:M$159,13),Sheet1!D$75)&gt;0,1,0)))," "))</f>
        <v>#VALUE!</v>
      </c>
      <c r="P34" s="263" t="str">
        <f>IF(AND(A34&lt;&gt;" ",Sheet1!D$192=1,Sheet1!D$196=1),IF(AND(OR(Sheet1!D$8=2,Sheet1!D$22=3),O34&gt;10),0,ROUND(VLOOKUP(A34,StatusQuo!A$19:M$68,13),Sheet1!D$75)),IF(NOT(Sheet1!D$192=1),"not feasible",IF(A34=" "," ", "Savings is  n/a=&gt;")))</f>
        <v xml:space="preserve"> </v>
      </c>
      <c r="Q34" s="263" t="str">
        <f>IF(AND(A34&lt;&gt;" ",Sheet1!D$192=1,Sheet1!D$196=1),IF(AND(OR(Sheet1!D$8=2,Sheet1!D$22=3),O34&gt;10),0,ROUND(VLOOKUP(A34,AlternativeD!A$110:M$159,13),Sheet1!D$75)),IF(NOT(Sheet1!D$196=1),"not feasible",IF(A34=" "," ","&lt;== Savings is n/a")))</f>
        <v>not feasible</v>
      </c>
      <c r="R34" s="263" t="str">
        <f>IF(AND(A34&lt;&gt;" ",Sheet1!D$192=1,Sheet1!D$196=1),IF(G$81&lt;&gt;" ","??????? ",P34-Q34)," ")</f>
        <v xml:space="preserve"> </v>
      </c>
      <c r="S34" s="263" t="str">
        <f>IF(AND(A34&lt;&gt;" ",Sheet1!D$192=1,Sheet1!D$196=1),ROUND(R34*G34,Sheet1!D$75)," ")</f>
        <v xml:space="preserve"> </v>
      </c>
      <c r="T34" s="263" t="str">
        <f>IF(AND(A34&lt;&gt;" ",Sheet1!D$192=1,Sheet1!D$196=1),ROUND((R34/I34)*J34,Sheet1!D$75)," ")</f>
        <v xml:space="preserve"> </v>
      </c>
      <c r="U34" s="265">
        <f>SUM(T$11:T34)</f>
        <v>0</v>
      </c>
      <c r="V34" s="254" t="str">
        <f t="shared" si="0"/>
        <v xml:space="preserve"> </v>
      </c>
      <c r="W34" s="268">
        <f t="shared" si="1"/>
        <v>24</v>
      </c>
      <c r="X34" s="171" t="str">
        <f t="shared" si="2"/>
        <v xml:space="preserve"> </v>
      </c>
      <c r="AA34" s="265">
        <f>SUM(K$11:K34)</f>
        <v>0</v>
      </c>
      <c r="AB34" s="271" t="str">
        <f>IF(OR(Sheet1!D$192=1,Sheet1!D$193),IF(OR((AB33&gt;=(Sheet1!D$148+$A$11)-1),AND(Sheet1!D$8=3,AB33&gt;=6))," ",AB33+1),NA())</f>
        <v xml:space="preserve"> </v>
      </c>
      <c r="AC34" s="271" t="str">
        <f>IF(OR(Sheet1!D$192=1,Sheet1!D$193),IF(OR((AC33&gt;=(Sheet1!D$148+$B$11)-1),AND(Sheet1!D$8=3,AB33&gt;=6))," ",AC33+1),NA())</f>
        <v xml:space="preserve"> </v>
      </c>
      <c r="AD34" s="262"/>
      <c r="AE34" s="263" t="str">
        <f>IF(AND(Sheet1!D$196=1,AB34&lt;&gt;" "),ROUND(VLOOKUP(AB34,AlternativeD!A$17:M$66,12),Sheet1!D$75),IF(Sheet1!D$196=1," ","Alt  'D'  not feasible"))</f>
        <v>Alt  'D'  not feasible</v>
      </c>
      <c r="AF34" s="264" t="str">
        <f>IF(AB34&lt;=Sheet1!D$148, (1/((1+AF$10)^(AB34-0.5)))," ")</f>
        <v xml:space="preserve"> </v>
      </c>
      <c r="AG34" s="263" t="str">
        <f>IF(AND(Sheet1!D$196=1,AB34&lt;&gt;" "),ROUND(+AE34*AF34,Sheet1!D$75)," ")</f>
        <v xml:space="preserve"> </v>
      </c>
      <c r="AH34" s="264" t="str">
        <f>IF(AB34&lt;&gt;" ",ROUND(VLOOKUP(Sheet1!E$82,CHOOSE(Sheet1!D$215,Inflate1,Inflate2,Inflate3,Inflate4,Inflate5,Inflate6,Inflate7,Inflate8),2),4)," ")</f>
        <v xml:space="preserve"> </v>
      </c>
      <c r="AI34" s="264" t="str">
        <f>IF(AB34&lt;&gt;" ",ROUND(VLOOKUP(AC34,CHOOSE(Sheet1!D$215,Inflate1,Inflate2,Inflate3,Inflate4,Inflate5,Inflate6,Inflate7,Inflate8),3),4)," ")</f>
        <v xml:space="preserve"> </v>
      </c>
      <c r="AJ34" s="263" t="b">
        <f>IF(AND(Sheet1!D$196=1,AB34&lt;&gt;" "),IF(AND(O34&lt;=10,OR(Sheet1!D$8=2,Sheet1!D$8=3,Sheet1!D$22=3)),ROUND((AE34/AH34)*AI34,Sheet1!D$75),IF(AND(Sheet1!D$8&lt;&gt;2,Sheet1!D$8&lt;&gt;3,Sheet1!D$22&lt;&gt;3),ROUND((AE34/AH34)*AI34,Sheet1!D$75)," ")))</f>
        <v>0</v>
      </c>
    </row>
    <row r="35" spans="1:36" ht="12" customHeight="1" x14ac:dyDescent="0.2">
      <c r="A35" s="579" t="str">
        <f>IF(OR(Sheet1!D$192=1,Sheet1!D$193),IF(OR((A34&gt;=(Sheet1!D$148+$A$11)-1),AND(Sheet1!D$8=3,A34&gt;=6))," ",A34+1),NA())</f>
        <v xml:space="preserve"> </v>
      </c>
      <c r="B35" s="271" t="str">
        <f>IF(OR(Sheet1!D$192=1,Sheet1!D$196=1),IF(OR((B34&gt;=(Sheet1!D$148+$B$11)-1),AND(Sheet1!D$8=3,A34&gt;=6))," ",B34+1),NA())</f>
        <v xml:space="preserve"> </v>
      </c>
      <c r="C35" s="273"/>
      <c r="D35" s="263" t="str">
        <f>IF(AND(Sheet1!D$192=1,A35&lt;&gt;" "),ROUND(VLOOKUP(A35,StatusQuo!A$19:M$68,12),Sheet1!D$75),IF(Sheet1!D$192=1," ","SQ not feasible "))</f>
        <v xml:space="preserve"> </v>
      </c>
      <c r="E35" s="263" t="str">
        <f>IF(AND(Sheet1!D$196=1,A35&lt;&gt;" "),ROUND(VLOOKUP(A35,AlternativeD!A$110:M$159,12),Sheet1!D$75),IF(Sheet1!D$196=1," ","Alt  'D'  not feasible"))</f>
        <v>Alt  'D'  not feasible</v>
      </c>
      <c r="F35" s="263" t="str">
        <f>IF(AND(A35&lt;&gt;" ",Sheet1!D$192=1,Sheet1!D$196=1),D35-E35,IF(AND(Sheet1!D$196=1,A35&lt;&gt;" ")," "," "))</f>
        <v xml:space="preserve"> </v>
      </c>
      <c r="G35" s="264" t="str">
        <f>IF(A35&lt;=Sheet1!D$148, (1/((1+G$10)^(A35-0.5)))," ")</f>
        <v xml:space="preserve"> </v>
      </c>
      <c r="H35" s="263" t="str">
        <f>IF(AND(A35&lt;&gt;" ",Sheet1!D$192=1,Sheet1!D$196=1),ROUND(F35*G35,Sheet1!D$75),IF(AND(A35&lt;&gt;" ",Sheet1!D$196=1),ROUND(E35*G35,Sheet1!D$75)," "))</f>
        <v xml:space="preserve"> </v>
      </c>
      <c r="I35" s="264" t="str">
        <f>IF(A35&lt;&gt;" ",ROUND(VLOOKUP(Sheet1!E$82,CHOOSE(Sheet1!D$235,Inflate7,Inflate2,Inflate3,Inflate4,Inflate5,Inflate6,Inflate1,Inflate8),2),4)," ")</f>
        <v xml:space="preserve"> </v>
      </c>
      <c r="J35" s="264" t="str">
        <f>IF(A35&lt;&gt;" ",ROUND(VLOOKUP(B35,CHOOSE(Sheet1!D$235,Inflate7,Inflate2,Inflate3,Inflate4,Inflate5,Inflate6,Inflate1,Inflate8),3),4)," ")</f>
        <v xml:space="preserve"> </v>
      </c>
      <c r="K35" s="265" t="str">
        <f>IF(AND(A35&lt;&gt;" ",Sheet1!D$192=1,Sheet1!D$193),ROUND((F35/I35)*J35,Sheet1!D$75),IF(AND(A35&lt;&gt;" ",Sheet1!D$193),ROUND((E35/I35)*J35,Sheet1!D$75)," "))</f>
        <v xml:space="preserve"> </v>
      </c>
      <c r="L35" s="254" t="str">
        <f>IF(Sheet1!D$192=1,IF(AND(AA35&gt;AJ$61,AA34&lt;=AJ$61),"&lt;-Payback"," ")," ")</f>
        <v xml:space="preserve"> </v>
      </c>
      <c r="M35" s="271" t="str">
        <f>IF(OR(Sheet1!D$192=1,Sheet1!D$193),IF(OR((A34&gt;=(Sheet1!D$148+$A$11)-1),AND(Sheet1!D$8=3,A34&gt;=6))," ",A34+1),NA())</f>
        <v xml:space="preserve"> </v>
      </c>
      <c r="N35" s="271" t="str">
        <f>IF(OR(Sheet1!D$192=1,Sheet1!D$193),IF(OR((B34&gt;=(Sheet1!D$148+$B$11)-1),AND(Sheet1!D$8=3,A34&gt;=6))," ",B34+1),NA())</f>
        <v xml:space="preserve"> </v>
      </c>
      <c r="O35" s="266" t="e">
        <f>IF(AND(Sheet1!D$8=3,M35=" ")," ",IF(OR(Sheet1!D$192=1,Sheet1!D$196=1),IF(O34&gt;0,IF(AND(OR(Sheet1!D$8=2,Sheet1!D$22=3),O34&gt;=10)," ",O34+1),IF(NOT(Sheet1!D$192=1),0,IF(ROUND(VLOOKUP(A35,StatusQuo!A$19:M$68,13),Sheet1!D$75)-ROUND(VLOOKUP(A35,AlternativeD!A$110:M$159,13),Sheet1!D$75)&gt;0,1,0)))," "))</f>
        <v>#VALUE!</v>
      </c>
      <c r="P35" s="263" t="str">
        <f>IF(AND(A35&lt;&gt;" ",Sheet1!D$192=1,Sheet1!D$196=1),IF(AND(OR(Sheet1!D$8=2,Sheet1!D$22=3),O35&gt;10),0,ROUND(VLOOKUP(A35,StatusQuo!A$19:M$68,13),Sheet1!D$75)),IF(NOT(Sheet1!D$192=1),"not feasible",IF(A35=" "," ", "Savings is  n/a=&gt;")))</f>
        <v xml:space="preserve"> </v>
      </c>
      <c r="Q35" s="263" t="str">
        <f>IF(AND(A35&lt;&gt;" ",Sheet1!D$192=1,Sheet1!D$196=1),IF(AND(OR(Sheet1!D$8=2,Sheet1!D$22=3),O35&gt;10),0,ROUND(VLOOKUP(A35,AlternativeD!A$110:M$159,13),Sheet1!D$75)),IF(NOT(Sheet1!D$196=1),"not feasible",IF(A35=" "," ","&lt;== Savings is n/a")))</f>
        <v>not feasible</v>
      </c>
      <c r="R35" s="263" t="str">
        <f>IF(AND(A35&lt;&gt;" ",Sheet1!D$192=1,Sheet1!D$196=1),IF(G$81&lt;&gt;" ","??????? ",P35-Q35)," ")</f>
        <v xml:space="preserve"> </v>
      </c>
      <c r="S35" s="263" t="str">
        <f>IF(AND(A35&lt;&gt;" ",Sheet1!D$192=1,Sheet1!D$196=1),ROUND(R35*G35,Sheet1!D$75)," ")</f>
        <v xml:space="preserve"> </v>
      </c>
      <c r="T35" s="263" t="str">
        <f>IF(AND(A35&lt;&gt;" ",Sheet1!D$192=1,Sheet1!D$196=1),ROUND((R35/I35)*J35,Sheet1!D$75)," ")</f>
        <v xml:space="preserve"> </v>
      </c>
      <c r="U35" s="265">
        <f>SUM(T$11:T35)</f>
        <v>0</v>
      </c>
      <c r="V35" s="254" t="str">
        <f t="shared" si="0"/>
        <v xml:space="preserve"> </v>
      </c>
      <c r="W35" s="268">
        <f t="shared" si="1"/>
        <v>25</v>
      </c>
      <c r="X35" s="171" t="str">
        <f t="shared" si="2"/>
        <v xml:space="preserve"> </v>
      </c>
      <c r="AA35" s="265">
        <f>SUM(K$11:K35)</f>
        <v>0</v>
      </c>
      <c r="AB35" s="271" t="str">
        <f>IF(OR(Sheet1!D$192=1,Sheet1!D$193),IF(OR((AB34&gt;=(Sheet1!D$148+$A$11)-1),AND(Sheet1!D$8=3,AB34&gt;=6))," ",AB34+1),NA())</f>
        <v xml:space="preserve"> </v>
      </c>
      <c r="AC35" s="271" t="str">
        <f>IF(OR(Sheet1!D$192=1,Sheet1!D$193),IF(OR((AC34&gt;=(Sheet1!D$148+$B$11)-1),AND(Sheet1!D$8=3,AB34&gt;=6))," ",AC34+1),NA())</f>
        <v xml:space="preserve"> </v>
      </c>
      <c r="AD35" s="262"/>
      <c r="AE35" s="263" t="str">
        <f>IF(AND(Sheet1!D$196=1,AB35&lt;&gt;" "),ROUND(VLOOKUP(AB35,AlternativeD!A$17:M$66,12),Sheet1!D$75),IF(Sheet1!D$196=1," ","Alt  'D'  not feasible"))</f>
        <v>Alt  'D'  not feasible</v>
      </c>
      <c r="AF35" s="264" t="str">
        <f>IF(AB35&lt;=Sheet1!D$148, (1/((1+AF$10)^(AB35-0.5)))," ")</f>
        <v xml:space="preserve"> </v>
      </c>
      <c r="AG35" s="263" t="str">
        <f>IF(AND(Sheet1!D$196=1,AB35&lt;&gt;" "),ROUND(+AE35*AF35,Sheet1!D$75)," ")</f>
        <v xml:space="preserve"> </v>
      </c>
      <c r="AH35" s="264" t="str">
        <f>IF(AB35&lt;&gt;" ",ROUND(VLOOKUP(Sheet1!E$82,CHOOSE(Sheet1!D$215,Inflate1,Inflate2,Inflate3,Inflate4,Inflate5,Inflate6,Inflate7,Inflate8),2),4)," ")</f>
        <v xml:space="preserve"> </v>
      </c>
      <c r="AI35" s="264" t="str">
        <f>IF(AB35&lt;&gt;" ",ROUND(VLOOKUP(AC35,CHOOSE(Sheet1!D$215,Inflate1,Inflate2,Inflate3,Inflate4,Inflate5,Inflate6,Inflate7,Inflate8),3),4)," ")</f>
        <v xml:space="preserve"> </v>
      </c>
      <c r="AJ35" s="263" t="b">
        <f>IF(AND(Sheet1!D$196=1,AB35&lt;&gt;" "),IF(AND(O35&lt;=10,OR(Sheet1!D$8=2,Sheet1!D$8=3,Sheet1!D$22=3)),ROUND((AE35/AH35)*AI35,Sheet1!D$75),IF(AND(Sheet1!D$8&lt;&gt;2,Sheet1!D$8&lt;&gt;3,Sheet1!D$22&lt;&gt;3),ROUND((AE35/AH35)*AI35,Sheet1!D$75)," ")))</f>
        <v>0</v>
      </c>
    </row>
    <row r="36" spans="1:36" ht="12" customHeight="1" x14ac:dyDescent="0.2">
      <c r="A36" s="579" t="str">
        <f>IF(OR(Sheet1!D$192=1,Sheet1!D$193),IF(OR((A35&gt;=(Sheet1!D$148+$A$11)-1),AND(Sheet1!D$8=3,A35&gt;=6))," ",A35+1),NA())</f>
        <v xml:space="preserve"> </v>
      </c>
      <c r="B36" s="271" t="str">
        <f>IF(OR(Sheet1!D$192=1,Sheet1!D$196=1),IF(OR((B35&gt;=(Sheet1!D$148+$B$11)-1),AND(Sheet1!D$8=3,A35&gt;=6))," ",B35+1),NA())</f>
        <v xml:space="preserve"> </v>
      </c>
      <c r="C36" s="273"/>
      <c r="D36" s="263" t="str">
        <f>IF(AND(Sheet1!D$192=1,A36&lt;&gt;" "),ROUND(VLOOKUP(A36,StatusQuo!A$19:M$68,12),Sheet1!D$75),IF(Sheet1!D$192=1," ","SQ not feasible "))</f>
        <v xml:space="preserve"> </v>
      </c>
      <c r="E36" s="263" t="str">
        <f>IF(AND(Sheet1!D$196=1,A36&lt;&gt;" "),ROUND(VLOOKUP(A36,AlternativeD!A$110:M$159,12),Sheet1!D$75),IF(Sheet1!D$196=1," ","Alt  'D'  not feasible"))</f>
        <v>Alt  'D'  not feasible</v>
      </c>
      <c r="F36" s="263" t="str">
        <f>IF(AND(A36&lt;&gt;" ",Sheet1!D$192=1,Sheet1!D$196=1),D36-E36,IF(AND(Sheet1!D$196=1,A36&lt;&gt;" ")," "," "))</f>
        <v xml:space="preserve"> </v>
      </c>
      <c r="G36" s="264" t="str">
        <f>IF(A36&lt;=Sheet1!D$148, (1/((1+G$10)^(A36-0.5)))," ")</f>
        <v xml:space="preserve"> </v>
      </c>
      <c r="H36" s="263" t="str">
        <f>IF(AND(A36&lt;&gt;" ",Sheet1!D$192=1,Sheet1!D$196=1),ROUND(F36*G36,Sheet1!D$75),IF(AND(A36&lt;&gt;" ",Sheet1!D$196=1),ROUND(E36*G36,Sheet1!D$75)," "))</f>
        <v xml:space="preserve"> </v>
      </c>
      <c r="I36" s="264" t="str">
        <f>IF(A36&lt;&gt;" ",ROUND(VLOOKUP(Sheet1!E$82,CHOOSE(Sheet1!D$235,Inflate7,Inflate2,Inflate3,Inflate4,Inflate5,Inflate6,Inflate1,Inflate8),2),4)," ")</f>
        <v xml:space="preserve"> </v>
      </c>
      <c r="J36" s="264" t="str">
        <f>IF(A36&lt;&gt;" ",ROUND(VLOOKUP(B36,CHOOSE(Sheet1!D$235,Inflate7,Inflate2,Inflate3,Inflate4,Inflate5,Inflate6,Inflate1,Inflate8),3),4)," ")</f>
        <v xml:space="preserve"> </v>
      </c>
      <c r="K36" s="265" t="str">
        <f>IF(AND(A36&lt;&gt;" ",Sheet1!D$192=1,Sheet1!D$193),ROUND((F36/I36)*J36,Sheet1!D$75),IF(AND(A36&lt;&gt;" ",Sheet1!D$193),ROUND((E36/I36)*J36,Sheet1!D$75)," "))</f>
        <v xml:space="preserve"> </v>
      </c>
      <c r="L36" s="254" t="str">
        <f>IF(Sheet1!D$192=1,IF(AND(AA36&gt;AJ$61,AA35&lt;=AJ$61),"&lt;-Payback"," ")," ")</f>
        <v xml:space="preserve"> </v>
      </c>
      <c r="M36" s="271" t="str">
        <f>IF(OR(Sheet1!D$192=1,Sheet1!D$193),IF(OR((A35&gt;=(Sheet1!D$148+$A$11)-1),AND(Sheet1!D$8=3,A35&gt;=6))," ",A35+1),NA())</f>
        <v xml:space="preserve"> </v>
      </c>
      <c r="N36" s="271" t="str">
        <f>IF(OR(Sheet1!D$192=1,Sheet1!D$193),IF(OR((B35&gt;=(Sheet1!D$148+$B$11)-1),AND(Sheet1!D$8=3,A35&gt;=6))," ",B35+1),NA())</f>
        <v xml:space="preserve"> </v>
      </c>
      <c r="O36" s="266" t="e">
        <f>IF(AND(Sheet1!D$8=3,M36=" ")," ",IF(OR(Sheet1!D$192=1,Sheet1!D$196=1),IF(O35&gt;0,IF(AND(OR(Sheet1!D$8=2,Sheet1!D$22=3),O35&gt;=10)," ",O35+1),IF(NOT(Sheet1!D$192=1),0,IF(ROUND(VLOOKUP(A36,StatusQuo!A$19:M$68,13),Sheet1!D$75)-ROUND(VLOOKUP(A36,AlternativeD!A$110:M$159,13),Sheet1!D$75)&gt;0,1,0)))," "))</f>
        <v>#VALUE!</v>
      </c>
      <c r="P36" s="263" t="str">
        <f>IF(AND(A36&lt;&gt;" ",Sheet1!D$192=1,Sheet1!D$196=1),IF(AND(OR(Sheet1!D$8=2,Sheet1!D$22=3),O36&gt;10),0,ROUND(VLOOKUP(A36,StatusQuo!A$19:M$68,13),Sheet1!D$75)),IF(NOT(Sheet1!D$192=1),"not feasible",IF(A36=" "," ", "Savings is  n/a=&gt;")))</f>
        <v xml:space="preserve"> </v>
      </c>
      <c r="Q36" s="263" t="str">
        <f>IF(AND(A36&lt;&gt;" ",Sheet1!D$192=1,Sheet1!D$196=1),IF(AND(OR(Sheet1!D$8=2,Sheet1!D$22=3),O36&gt;10),0,ROUND(VLOOKUP(A36,AlternativeD!A$110:M$159,13),Sheet1!D$75)),IF(NOT(Sheet1!D$196=1),"not feasible",IF(A36=" "," ","&lt;== Savings is n/a")))</f>
        <v>not feasible</v>
      </c>
      <c r="R36" s="263" t="str">
        <f>IF(AND(A36&lt;&gt;" ",Sheet1!D$192=1,Sheet1!D$196=1),IF(G$81&lt;&gt;" ","??????? ",P36-Q36)," ")</f>
        <v xml:space="preserve"> </v>
      </c>
      <c r="S36" s="263" t="str">
        <f>IF(AND(A36&lt;&gt;" ",Sheet1!D$192=1,Sheet1!D$196=1),ROUND(R36*G36,Sheet1!D$75)," ")</f>
        <v xml:space="preserve"> </v>
      </c>
      <c r="T36" s="263" t="str">
        <f>IF(AND(A36&lt;&gt;" ",Sheet1!D$192=1,Sheet1!D$196=1),ROUND((R36/I36)*J36,Sheet1!D$75)," ")</f>
        <v xml:space="preserve"> </v>
      </c>
      <c r="U36" s="265">
        <f>SUM(T$11:T36)</f>
        <v>0</v>
      </c>
      <c r="V36" s="254" t="str">
        <f t="shared" si="0"/>
        <v xml:space="preserve"> </v>
      </c>
      <c r="W36" s="268">
        <f t="shared" si="1"/>
        <v>26</v>
      </c>
      <c r="X36" s="171" t="str">
        <f t="shared" si="2"/>
        <v xml:space="preserve"> </v>
      </c>
      <c r="AA36" s="265">
        <f>SUM(K$11:K36)</f>
        <v>0</v>
      </c>
      <c r="AB36" s="271" t="str">
        <f>IF(OR(Sheet1!D$192=1,Sheet1!D$193),IF(OR((AB35&gt;=(Sheet1!D$148+$A$11)-1),AND(Sheet1!D$8=3,AB35&gt;=6))," ",AB35+1),NA())</f>
        <v xml:space="preserve"> </v>
      </c>
      <c r="AC36" s="271" t="str">
        <f>IF(OR(Sheet1!D$192=1,Sheet1!D$193),IF(OR((AC35&gt;=(Sheet1!D$148+$B$11)-1),AND(Sheet1!D$8=3,AB35&gt;=6))," ",AC35+1),NA())</f>
        <v xml:space="preserve"> </v>
      </c>
      <c r="AD36" s="262"/>
      <c r="AE36" s="263" t="str">
        <f>IF(AND(Sheet1!D$196=1,AB36&lt;&gt;" "),ROUND(VLOOKUP(AB36,AlternativeD!A$17:M$66,12),Sheet1!D$75),IF(Sheet1!D$196=1," ","Alt  'D'  not feasible"))</f>
        <v>Alt  'D'  not feasible</v>
      </c>
      <c r="AF36" s="264" t="str">
        <f>IF(AB36&lt;=Sheet1!D$148, (1/((1+AF$10)^(AB36-0.5)))," ")</f>
        <v xml:space="preserve"> </v>
      </c>
      <c r="AG36" s="263" t="str">
        <f>IF(AND(Sheet1!D$196=1,AB36&lt;&gt;" "),ROUND(+AE36*AF36,Sheet1!D$75)," ")</f>
        <v xml:space="preserve"> </v>
      </c>
      <c r="AH36" s="264" t="str">
        <f>IF(AB36&lt;&gt;" ",ROUND(VLOOKUP(Sheet1!E$82,CHOOSE(Sheet1!D$215,Inflate1,Inflate2,Inflate3,Inflate4,Inflate5,Inflate6,Inflate7,Inflate8),2),4)," ")</f>
        <v xml:space="preserve"> </v>
      </c>
      <c r="AI36" s="264" t="str">
        <f>IF(AB36&lt;&gt;" ",ROUND(VLOOKUP(AC36,CHOOSE(Sheet1!D$215,Inflate1,Inflate2,Inflate3,Inflate4,Inflate5,Inflate6,Inflate7,Inflate8),3),4)," ")</f>
        <v xml:space="preserve"> </v>
      </c>
      <c r="AJ36" s="263" t="b">
        <f>IF(AND(Sheet1!D$196=1,AB36&lt;&gt;" "),IF(AND(O36&lt;=10,OR(Sheet1!D$8=2,Sheet1!D$8=3,Sheet1!D$22=3)),ROUND((AE36/AH36)*AI36,Sheet1!D$75),IF(AND(Sheet1!D$8&lt;&gt;2,Sheet1!D$8&lt;&gt;3,Sheet1!D$22&lt;&gt;3),ROUND((AE36/AH36)*AI36,Sheet1!D$75)," ")))</f>
        <v>0</v>
      </c>
    </row>
    <row r="37" spans="1:36" ht="12" customHeight="1" x14ac:dyDescent="0.2">
      <c r="A37" s="579" t="str">
        <f>IF(OR(Sheet1!D$192=1,Sheet1!D$193),IF(OR((A36&gt;=(Sheet1!D$148+$A$11)-1),AND(Sheet1!D$8=3,A36&gt;=6))," ",A36+1),NA())</f>
        <v xml:space="preserve"> </v>
      </c>
      <c r="B37" s="271" t="str">
        <f>IF(OR(Sheet1!D$192=1,Sheet1!D$196=1),IF(OR((B36&gt;=(Sheet1!D$148+$B$11)-1),AND(Sheet1!D$8=3,A36&gt;=6))," ",B36+1),NA())</f>
        <v xml:space="preserve"> </v>
      </c>
      <c r="C37" s="273"/>
      <c r="D37" s="263" t="str">
        <f>IF(AND(Sheet1!D$192=1,A37&lt;&gt;" "),ROUND(VLOOKUP(A37,StatusQuo!A$19:M$68,12),Sheet1!D$75),IF(Sheet1!D$192=1," ","SQ not feasible "))</f>
        <v xml:space="preserve"> </v>
      </c>
      <c r="E37" s="263" t="str">
        <f>IF(AND(Sheet1!D$196=1,A37&lt;&gt;" "),ROUND(VLOOKUP(A37,AlternativeD!A$110:M$159,12),Sheet1!D$75),IF(Sheet1!D$196=1," ","Alt  'D'  not feasible"))</f>
        <v>Alt  'D'  not feasible</v>
      </c>
      <c r="F37" s="263" t="str">
        <f>IF(AND(A37&lt;&gt;" ",Sheet1!D$192=1,Sheet1!D$196=1),D37-E37,IF(AND(Sheet1!D$196=1,A37&lt;&gt;" ")," "," "))</f>
        <v xml:space="preserve"> </v>
      </c>
      <c r="G37" s="264" t="str">
        <f>IF(A37&lt;=Sheet1!D$148, (1/((1+G$10)^(A37-0.5)))," ")</f>
        <v xml:space="preserve"> </v>
      </c>
      <c r="H37" s="263" t="str">
        <f>IF(AND(A37&lt;&gt;" ",Sheet1!D$192=1,Sheet1!D$196=1),ROUND(F37*G37,Sheet1!D$75),IF(AND(A37&lt;&gt;" ",Sheet1!D$196=1),ROUND(E37*G37,Sheet1!D$75)," "))</f>
        <v xml:space="preserve"> </v>
      </c>
      <c r="I37" s="264" t="str">
        <f>IF(A37&lt;&gt;" ",ROUND(VLOOKUP(Sheet1!E$82,CHOOSE(Sheet1!D$235,Inflate7,Inflate2,Inflate3,Inflate4,Inflate5,Inflate6,Inflate1,Inflate8),2),4)," ")</f>
        <v xml:space="preserve"> </v>
      </c>
      <c r="J37" s="264" t="str">
        <f>IF(A37&lt;&gt;" ",ROUND(VLOOKUP(B37,CHOOSE(Sheet1!D$235,Inflate7,Inflate2,Inflate3,Inflate4,Inflate5,Inflate6,Inflate1,Inflate8),3),4)," ")</f>
        <v xml:space="preserve"> </v>
      </c>
      <c r="K37" s="265" t="str">
        <f>IF(AND(A37&lt;&gt;" ",Sheet1!D$192=1,Sheet1!D$193),ROUND((F37/I37)*J37,Sheet1!D$75),IF(AND(A37&lt;&gt;" ",Sheet1!D$193),ROUND((E37/I37)*J37,Sheet1!D$75)," "))</f>
        <v xml:space="preserve"> </v>
      </c>
      <c r="L37" s="254" t="str">
        <f>IF(Sheet1!D$192=1,IF(AND(AA37&gt;AJ$61,AA36&lt;=AJ$61),"&lt;-Payback"," ")," ")</f>
        <v xml:space="preserve"> </v>
      </c>
      <c r="M37" s="271" t="str">
        <f>IF(OR(Sheet1!D$192=1,Sheet1!D$193),IF(OR((A36&gt;=(Sheet1!D$148+$A$11)-1),AND(Sheet1!D$8=3,A36&gt;=6))," ",A36+1),NA())</f>
        <v xml:space="preserve"> </v>
      </c>
      <c r="N37" s="271" t="str">
        <f>IF(OR(Sheet1!D$192=1,Sheet1!D$193),IF(OR((B36&gt;=(Sheet1!D$148+$B$11)-1),AND(Sheet1!D$8=3,A36&gt;=6))," ",B36+1),NA())</f>
        <v xml:space="preserve"> </v>
      </c>
      <c r="O37" s="266" t="e">
        <f>IF(AND(Sheet1!D$8=3,M37=" ")," ",IF(OR(Sheet1!D$192=1,Sheet1!D$196=1),IF(O36&gt;0,IF(AND(OR(Sheet1!D$8=2,Sheet1!D$22=3),O36&gt;=10)," ",O36+1),IF(NOT(Sheet1!D$192=1),0,IF(ROUND(VLOOKUP(A37,StatusQuo!A$19:M$68,13),Sheet1!D$75)-ROUND(VLOOKUP(A37,AlternativeD!A$110:M$159,13),Sheet1!D$75)&gt;0,1,0)))," "))</f>
        <v>#VALUE!</v>
      </c>
      <c r="P37" s="263" t="str">
        <f>IF(AND(A37&lt;&gt;" ",Sheet1!D$192=1,Sheet1!D$196=1),IF(AND(OR(Sheet1!D$8=2,Sheet1!D$22=3),O37&gt;10),0,ROUND(VLOOKUP(A37,StatusQuo!A$19:M$68,13),Sheet1!D$75)),IF(NOT(Sheet1!D$192=1),"not feasible",IF(A37=" "," ", "Savings is  n/a=&gt;")))</f>
        <v xml:space="preserve"> </v>
      </c>
      <c r="Q37" s="263" t="str">
        <f>IF(AND(A37&lt;&gt;" ",Sheet1!D$192=1,Sheet1!D$196=1),IF(AND(OR(Sheet1!D$8=2,Sheet1!D$22=3),O37&gt;10),0,ROUND(VLOOKUP(A37,AlternativeD!A$110:M$159,13),Sheet1!D$75)),IF(NOT(Sheet1!D$196=1),"not feasible",IF(A37=" "," ","&lt;== Savings is n/a")))</f>
        <v>not feasible</v>
      </c>
      <c r="R37" s="263" t="str">
        <f>IF(AND(A37&lt;&gt;" ",Sheet1!D$192=1,Sheet1!D$196=1),IF(G$81&lt;&gt;" ","??????? ",P37-Q37)," ")</f>
        <v xml:space="preserve"> </v>
      </c>
      <c r="S37" s="263" t="str">
        <f>IF(AND(A37&lt;&gt;" ",Sheet1!D$192=1,Sheet1!D$196=1),ROUND(R37*G37,Sheet1!D$75)," ")</f>
        <v xml:space="preserve"> </v>
      </c>
      <c r="T37" s="263" t="str">
        <f>IF(AND(A37&lt;&gt;" ",Sheet1!D$192=1,Sheet1!D$196=1),ROUND((R37/I37)*J37,Sheet1!D$75)," ")</f>
        <v xml:space="preserve"> </v>
      </c>
      <c r="U37" s="265">
        <f>SUM(T$11:T37)</f>
        <v>0</v>
      </c>
      <c r="V37" s="254" t="str">
        <f t="shared" si="0"/>
        <v xml:space="preserve"> </v>
      </c>
      <c r="W37" s="268">
        <f t="shared" si="1"/>
        <v>27</v>
      </c>
      <c r="X37" s="171" t="str">
        <f t="shared" si="2"/>
        <v xml:space="preserve"> </v>
      </c>
      <c r="AA37" s="265">
        <f>SUM(K$11:K37)</f>
        <v>0</v>
      </c>
      <c r="AB37" s="271" t="str">
        <f>IF(OR(Sheet1!D$192=1,Sheet1!D$193),IF(OR((AB36&gt;=(Sheet1!D$148+$A$11)-1),AND(Sheet1!D$8=3,AB36&gt;=6))," ",AB36+1),NA())</f>
        <v xml:space="preserve"> </v>
      </c>
      <c r="AC37" s="271" t="str">
        <f>IF(OR(Sheet1!D$192=1,Sheet1!D$193),IF(OR((AC36&gt;=(Sheet1!D$148+$B$11)-1),AND(Sheet1!D$8=3,AB36&gt;=6))," ",AC36+1),NA())</f>
        <v xml:space="preserve"> </v>
      </c>
      <c r="AD37" s="262"/>
      <c r="AE37" s="263" t="str">
        <f>IF(AND(Sheet1!D$196=1,AB37&lt;&gt;" "),ROUND(VLOOKUP(AB37,AlternativeD!A$17:M$66,12),Sheet1!D$75),IF(Sheet1!D$196=1," ","Alt  'D'  not feasible"))</f>
        <v>Alt  'D'  not feasible</v>
      </c>
      <c r="AF37" s="264" t="str">
        <f>IF(AB37&lt;=Sheet1!D$148, (1/((1+AF$10)^(AB37-0.5)))," ")</f>
        <v xml:space="preserve"> </v>
      </c>
      <c r="AG37" s="263" t="str">
        <f>IF(AND(Sheet1!D$196=1,AB37&lt;&gt;" "),ROUND(+AE37*AF37,Sheet1!D$75)," ")</f>
        <v xml:space="preserve"> </v>
      </c>
      <c r="AH37" s="264" t="str">
        <f>IF(AB37&lt;&gt;" ",ROUND(VLOOKUP(Sheet1!E$82,CHOOSE(Sheet1!D$215,Inflate1,Inflate2,Inflate3,Inflate4,Inflate5,Inflate6,Inflate7,Inflate8),2),4)," ")</f>
        <v xml:space="preserve"> </v>
      </c>
      <c r="AI37" s="264" t="str">
        <f>IF(AB37&lt;&gt;" ",ROUND(VLOOKUP(AC37,CHOOSE(Sheet1!D$215,Inflate1,Inflate2,Inflate3,Inflate4,Inflate5,Inflate6,Inflate7,Inflate8),3),4)," ")</f>
        <v xml:space="preserve"> </v>
      </c>
      <c r="AJ37" s="263" t="b">
        <f>IF(AND(Sheet1!D$196=1,AB37&lt;&gt;" "),IF(AND(O37&lt;=10,OR(Sheet1!D$8=2,Sheet1!D$8=3,Sheet1!D$22=3)),ROUND((AE37/AH37)*AI37,Sheet1!D$75),IF(AND(Sheet1!D$8&lt;&gt;2,Sheet1!D$8&lt;&gt;3,Sheet1!D$22&lt;&gt;3),ROUND((AE37/AH37)*AI37,Sheet1!D$75)," ")))</f>
        <v>0</v>
      </c>
    </row>
    <row r="38" spans="1:36" ht="12" customHeight="1" x14ac:dyDescent="0.2">
      <c r="A38" s="579" t="str">
        <f>IF(OR(Sheet1!D$192=1,Sheet1!D$193),IF(OR((A37&gt;=(Sheet1!D$148+$A$11)-1),AND(Sheet1!D$8=3,A37&gt;=6))," ",A37+1),NA())</f>
        <v xml:space="preserve"> </v>
      </c>
      <c r="B38" s="271" t="str">
        <f>IF(OR(Sheet1!D$192=1,Sheet1!D$196=1),IF(OR((B37&gt;=(Sheet1!D$148+$B$11)-1),AND(Sheet1!D$8=3,A37&gt;=6))," ",B37+1),NA())</f>
        <v xml:space="preserve"> </v>
      </c>
      <c r="C38" s="273"/>
      <c r="D38" s="263" t="str">
        <f>IF(AND(Sheet1!D$192=1,A38&lt;&gt;" "),ROUND(VLOOKUP(A38,StatusQuo!A$19:M$68,12),Sheet1!D$75),IF(Sheet1!D$192=1," ","SQ not feasible "))</f>
        <v xml:space="preserve"> </v>
      </c>
      <c r="E38" s="263" t="str">
        <f>IF(AND(Sheet1!D$196=1,A38&lt;&gt;" "),ROUND(VLOOKUP(A38,AlternativeD!A$110:M$159,12),Sheet1!D$75),IF(Sheet1!D$196=1," ","Alt  'D'  not feasible"))</f>
        <v>Alt  'D'  not feasible</v>
      </c>
      <c r="F38" s="263" t="str">
        <f>IF(AND(A38&lt;&gt;" ",Sheet1!D$192=1,Sheet1!D$196=1),D38-E38,IF(AND(Sheet1!D$196=1,A38&lt;&gt;" ")," "," "))</f>
        <v xml:space="preserve"> </v>
      </c>
      <c r="G38" s="264" t="str">
        <f>IF(A38&lt;=Sheet1!D$148, (1/((1+G$10)^(A38-0.5)))," ")</f>
        <v xml:space="preserve"> </v>
      </c>
      <c r="H38" s="263" t="str">
        <f>IF(AND(A38&lt;&gt;" ",Sheet1!D$192=1,Sheet1!D$196=1),ROUND(F38*G38,Sheet1!D$75),IF(AND(A38&lt;&gt;" ",Sheet1!D$196=1),ROUND(E38*G38,Sheet1!D$75)," "))</f>
        <v xml:space="preserve"> </v>
      </c>
      <c r="I38" s="264" t="str">
        <f>IF(A38&lt;&gt;" ",ROUND(VLOOKUP(Sheet1!E$82,CHOOSE(Sheet1!D$235,Inflate7,Inflate2,Inflate3,Inflate4,Inflate5,Inflate6,Inflate1,Inflate8),2),4)," ")</f>
        <v xml:space="preserve"> </v>
      </c>
      <c r="J38" s="264" t="str">
        <f>IF(A38&lt;&gt;" ",ROUND(VLOOKUP(B38,CHOOSE(Sheet1!D$235,Inflate7,Inflate2,Inflate3,Inflate4,Inflate5,Inflate6,Inflate1,Inflate8),3),4)," ")</f>
        <v xml:space="preserve"> </v>
      </c>
      <c r="K38" s="265" t="str">
        <f>IF(AND(A38&lt;&gt;" ",Sheet1!D$192=1,Sheet1!D$193),ROUND((F38/I38)*J38,Sheet1!D$75),IF(AND(A38&lt;&gt;" ",Sheet1!D$193),ROUND((E38/I38)*J38,Sheet1!D$75)," "))</f>
        <v xml:space="preserve"> </v>
      </c>
      <c r="L38" s="254" t="str">
        <f>IF(Sheet1!D$192=1,IF(AND(AA38&gt;AJ$61,AA37&lt;=AJ$61),"&lt;-Payback"," ")," ")</f>
        <v xml:space="preserve"> </v>
      </c>
      <c r="M38" s="271" t="str">
        <f>IF(OR(Sheet1!D$192=1,Sheet1!D$193),IF(OR((A37&gt;=(Sheet1!D$148+$A$11)-1),AND(Sheet1!D$8=3,A37&gt;=6))," ",A37+1),NA())</f>
        <v xml:space="preserve"> </v>
      </c>
      <c r="N38" s="271" t="str">
        <f>IF(OR(Sheet1!D$192=1,Sheet1!D$193),IF(OR((B37&gt;=(Sheet1!D$148+$B$11)-1),AND(Sheet1!D$8=3,A37&gt;=6))," ",B37+1),NA())</f>
        <v xml:space="preserve"> </v>
      </c>
      <c r="O38" s="266" t="e">
        <f>IF(AND(Sheet1!D$8=3,M38=" ")," ",IF(OR(Sheet1!D$192=1,Sheet1!D$196=1),IF(O37&gt;0,IF(AND(OR(Sheet1!D$8=2,Sheet1!D$22=3),O37&gt;=10)," ",O37+1),IF(NOT(Sheet1!D$192=1),0,IF(ROUND(VLOOKUP(A38,StatusQuo!A$19:M$68,13),Sheet1!D$75)-ROUND(VLOOKUP(A38,AlternativeD!A$110:M$159,13),Sheet1!D$75)&gt;0,1,0)))," "))</f>
        <v>#VALUE!</v>
      </c>
      <c r="P38" s="263" t="str">
        <f>IF(AND(A38&lt;&gt;" ",Sheet1!D$192=1,Sheet1!D$196=1),IF(AND(OR(Sheet1!D$8=2,Sheet1!D$22=3),O38&gt;10),0,ROUND(VLOOKUP(A38,StatusQuo!A$19:M$68,13),Sheet1!D$75)),IF(NOT(Sheet1!D$192=1),"not feasible",IF(A38=" "," ", "Savings is  n/a=&gt;")))</f>
        <v xml:space="preserve"> </v>
      </c>
      <c r="Q38" s="263" t="str">
        <f>IF(AND(A38&lt;&gt;" ",Sheet1!D$192=1,Sheet1!D$196=1),IF(AND(OR(Sheet1!D$8=2,Sheet1!D$22=3),O38&gt;10),0,ROUND(VLOOKUP(A38,AlternativeD!A$110:M$159,13),Sheet1!D$75)),IF(NOT(Sheet1!D$196=1),"not feasible",IF(A38=" "," ","&lt;== Savings is n/a")))</f>
        <v>not feasible</v>
      </c>
      <c r="R38" s="263" t="str">
        <f>IF(AND(A38&lt;&gt;" ",Sheet1!D$192=1,Sheet1!D$196=1),IF(G$81&lt;&gt;" ","??????? ",P38-Q38)," ")</f>
        <v xml:space="preserve"> </v>
      </c>
      <c r="S38" s="263" t="str">
        <f>IF(AND(A38&lt;&gt;" ",Sheet1!D$192=1,Sheet1!D$196=1),ROUND(R38*G38,Sheet1!D$75)," ")</f>
        <v xml:space="preserve"> </v>
      </c>
      <c r="T38" s="263" t="str">
        <f>IF(AND(A38&lt;&gt;" ",Sheet1!D$192=1,Sheet1!D$196=1),ROUND((R38/I38)*J38,Sheet1!D$75)," ")</f>
        <v xml:space="preserve"> </v>
      </c>
      <c r="U38" s="265">
        <f>SUM(T$11:T38)</f>
        <v>0</v>
      </c>
      <c r="V38" s="254" t="str">
        <f t="shared" si="0"/>
        <v xml:space="preserve"> </v>
      </c>
      <c r="W38" s="268">
        <f t="shared" si="1"/>
        <v>28</v>
      </c>
      <c r="X38" s="171" t="str">
        <f t="shared" si="2"/>
        <v xml:space="preserve"> </v>
      </c>
      <c r="AA38" s="265">
        <f>SUM(K$11:K38)</f>
        <v>0</v>
      </c>
      <c r="AB38" s="271" t="str">
        <f>IF(OR(Sheet1!D$192=1,Sheet1!D$193),IF(OR((AB37&gt;=(Sheet1!D$148+$A$11)-1),AND(Sheet1!D$8=3,AB37&gt;=6))," ",AB37+1),NA())</f>
        <v xml:space="preserve"> </v>
      </c>
      <c r="AC38" s="271" t="str">
        <f>IF(OR(Sheet1!D$192=1,Sheet1!D$193),IF(OR((AC37&gt;=(Sheet1!D$148+$B$11)-1),AND(Sheet1!D$8=3,AB37&gt;=6))," ",AC37+1),NA())</f>
        <v xml:space="preserve"> </v>
      </c>
      <c r="AD38" s="262"/>
      <c r="AE38" s="263" t="str">
        <f>IF(AND(Sheet1!D$196=1,AB38&lt;&gt;" "),ROUND(VLOOKUP(AB38,AlternativeD!A$17:M$66,12),Sheet1!D$75),IF(Sheet1!D$196=1," ","Alt  'D'  not feasible"))</f>
        <v>Alt  'D'  not feasible</v>
      </c>
      <c r="AF38" s="264" t="str">
        <f>IF(AB38&lt;=Sheet1!D$148, (1/((1+AF$10)^(AB38-0.5)))," ")</f>
        <v xml:space="preserve"> </v>
      </c>
      <c r="AG38" s="263" t="str">
        <f>IF(AND(Sheet1!D$196=1,AB38&lt;&gt;" "),ROUND(+AE38*AF38,Sheet1!D$75)," ")</f>
        <v xml:space="preserve"> </v>
      </c>
      <c r="AH38" s="264" t="str">
        <f>IF(AB38&lt;&gt;" ",ROUND(VLOOKUP(Sheet1!E$82,CHOOSE(Sheet1!D$215,Inflate1,Inflate2,Inflate3,Inflate4,Inflate5,Inflate6,Inflate7,Inflate8),2),4)," ")</f>
        <v xml:space="preserve"> </v>
      </c>
      <c r="AI38" s="264" t="str">
        <f>IF(AB38&lt;&gt;" ",ROUND(VLOOKUP(AC38,CHOOSE(Sheet1!D$215,Inflate1,Inflate2,Inflate3,Inflate4,Inflate5,Inflate6,Inflate7,Inflate8),3),4)," ")</f>
        <v xml:space="preserve"> </v>
      </c>
      <c r="AJ38" s="263" t="b">
        <f>IF(AND(Sheet1!D$196=1,AB38&lt;&gt;" "),IF(AND(O38&lt;=10,OR(Sheet1!D$8=2,Sheet1!D$8=3,Sheet1!D$22=3)),ROUND((AE38/AH38)*AI38,Sheet1!D$75),IF(AND(Sheet1!D$8&lt;&gt;2,Sheet1!D$8&lt;&gt;3,Sheet1!D$22&lt;&gt;3),ROUND((AE38/AH38)*AI38,Sheet1!D$75)," ")))</f>
        <v>0</v>
      </c>
    </row>
    <row r="39" spans="1:36" ht="12" customHeight="1" x14ac:dyDescent="0.2">
      <c r="A39" s="579" t="str">
        <f>IF(OR(Sheet1!D$192=1,Sheet1!D$193),IF(OR((A38&gt;=(Sheet1!D$148+$A$11)-1),AND(Sheet1!D$8=3,A38&gt;=6))," ",A38+1),NA())</f>
        <v xml:space="preserve"> </v>
      </c>
      <c r="B39" s="271" t="str">
        <f>IF(OR(Sheet1!D$192=1,Sheet1!D$196=1),IF(OR((B38&gt;=(Sheet1!D$148+$B$11)-1),AND(Sheet1!D$8=3,A38&gt;=6))," ",B38+1),NA())</f>
        <v xml:space="preserve"> </v>
      </c>
      <c r="C39" s="273"/>
      <c r="D39" s="263" t="str">
        <f>IF(AND(Sheet1!D$192=1,A39&lt;&gt;" "),ROUND(VLOOKUP(A39,StatusQuo!A$19:M$68,12),Sheet1!D$75),IF(Sheet1!D$192=1," ","SQ not feasible "))</f>
        <v xml:space="preserve"> </v>
      </c>
      <c r="E39" s="263" t="str">
        <f>IF(AND(Sheet1!D$196=1,A39&lt;&gt;" "),ROUND(VLOOKUP(A39,AlternativeD!A$110:M$159,12),Sheet1!D$75),IF(Sheet1!D$196=1," ","Alt  'D'  not feasible"))</f>
        <v>Alt  'D'  not feasible</v>
      </c>
      <c r="F39" s="263" t="str">
        <f>IF(AND(A39&lt;&gt;" ",Sheet1!D$192=1,Sheet1!D$196=1),D39-E39,IF(AND(Sheet1!D$196=1,A39&lt;&gt;" ")," "," "))</f>
        <v xml:space="preserve"> </v>
      </c>
      <c r="G39" s="264" t="str">
        <f>IF(A39&lt;=Sheet1!D$148, (1/((1+G$10)^(A39-0.5)))," ")</f>
        <v xml:space="preserve"> </v>
      </c>
      <c r="H39" s="263" t="str">
        <f>IF(AND(A39&lt;&gt;" ",Sheet1!D$192=1,Sheet1!D$196=1),ROUND(F39*G39,Sheet1!D$75),IF(AND(A39&lt;&gt;" ",Sheet1!D$196=1),ROUND(E39*G39,Sheet1!D$75)," "))</f>
        <v xml:space="preserve"> </v>
      </c>
      <c r="I39" s="264" t="str">
        <f>IF(A39&lt;&gt;" ",ROUND(VLOOKUP(Sheet1!E$82,CHOOSE(Sheet1!D$235,Inflate7,Inflate2,Inflate3,Inflate4,Inflate5,Inflate6,Inflate1,Inflate8),2),4)," ")</f>
        <v xml:space="preserve"> </v>
      </c>
      <c r="J39" s="264" t="str">
        <f>IF(A39&lt;&gt;" ",ROUND(VLOOKUP(B39,CHOOSE(Sheet1!D$235,Inflate7,Inflate2,Inflate3,Inflate4,Inflate5,Inflate6,Inflate1,Inflate8),3),4)," ")</f>
        <v xml:space="preserve"> </v>
      </c>
      <c r="K39" s="265" t="str">
        <f>IF(AND(A39&lt;&gt;" ",Sheet1!D$192=1,Sheet1!D$193),ROUND((F39/I39)*J39,Sheet1!D$75),IF(AND(A39&lt;&gt;" ",Sheet1!D$193),ROUND((E39/I39)*J39,Sheet1!D$75)," "))</f>
        <v xml:space="preserve"> </v>
      </c>
      <c r="L39" s="254" t="str">
        <f>IF(Sheet1!D$192=1,IF(AND(AA39&gt;AJ$61,AA38&lt;=AJ$61),"&lt;-Payback"," ")," ")</f>
        <v xml:space="preserve"> </v>
      </c>
      <c r="M39" s="271" t="str">
        <f>IF(OR(Sheet1!D$192=1,Sheet1!D$193),IF(OR((A38&gt;=(Sheet1!D$148+$A$11)-1),AND(Sheet1!D$8=3,A38&gt;=6))," ",A38+1),NA())</f>
        <v xml:space="preserve"> </v>
      </c>
      <c r="N39" s="271" t="str">
        <f>IF(OR(Sheet1!D$192=1,Sheet1!D$193),IF(OR((B38&gt;=(Sheet1!D$148+$B$11)-1),AND(Sheet1!D$8=3,A38&gt;=6))," ",B38+1),NA())</f>
        <v xml:space="preserve"> </v>
      </c>
      <c r="O39" s="266" t="e">
        <f>IF(AND(Sheet1!D$8=3,M39=" ")," ",IF(OR(Sheet1!D$192=1,Sheet1!D$196=1),IF(O38&gt;0,IF(AND(OR(Sheet1!D$8=2,Sheet1!D$22=3),O38&gt;=10)," ",O38+1),IF(NOT(Sheet1!D$192=1),0,IF(ROUND(VLOOKUP(A39,StatusQuo!A$19:M$68,13),Sheet1!D$75)-ROUND(VLOOKUP(A39,AlternativeD!A$110:M$159,13),Sheet1!D$75)&gt;0,1,0)))," "))</f>
        <v>#VALUE!</v>
      </c>
      <c r="P39" s="263" t="str">
        <f>IF(AND(A39&lt;&gt;" ",Sheet1!D$192=1,Sheet1!D$196=1),IF(AND(OR(Sheet1!D$8=2,Sheet1!D$22=3),O39&gt;10),0,ROUND(VLOOKUP(A39,StatusQuo!A$19:M$68,13),Sheet1!D$75)),IF(NOT(Sheet1!D$192=1),"not feasible",IF(A39=" "," ", "Savings is  n/a=&gt;")))</f>
        <v xml:space="preserve"> </v>
      </c>
      <c r="Q39" s="263" t="str">
        <f>IF(AND(A39&lt;&gt;" ",Sheet1!D$192=1,Sheet1!D$196=1),IF(AND(OR(Sheet1!D$8=2,Sheet1!D$22=3),O39&gt;10),0,ROUND(VLOOKUP(A39,AlternativeD!A$110:M$159,13),Sheet1!D$75)),IF(NOT(Sheet1!D$196=1),"not feasible",IF(A39=" "," ","&lt;== Savings is n/a")))</f>
        <v>not feasible</v>
      </c>
      <c r="R39" s="263" t="str">
        <f>IF(AND(A39&lt;&gt;" ",Sheet1!D$192=1,Sheet1!D$196=1),IF(G$81&lt;&gt;" ","??????? ",P39-Q39)," ")</f>
        <v xml:space="preserve"> </v>
      </c>
      <c r="S39" s="263" t="str">
        <f>IF(AND(A39&lt;&gt;" ",Sheet1!D$192=1,Sheet1!D$196=1),ROUND(R39*G39,Sheet1!D$75)," ")</f>
        <v xml:space="preserve"> </v>
      </c>
      <c r="T39" s="263" t="str">
        <f>IF(AND(A39&lt;&gt;" ",Sheet1!D$192=1,Sheet1!D$196=1),ROUND((R39/I39)*J39,Sheet1!D$75)," ")</f>
        <v xml:space="preserve"> </v>
      </c>
      <c r="U39" s="265">
        <f>SUM(T$11:T39)</f>
        <v>0</v>
      </c>
      <c r="V39" s="254" t="str">
        <f t="shared" si="0"/>
        <v xml:space="preserve"> </v>
      </c>
      <c r="W39" s="268">
        <f t="shared" si="1"/>
        <v>29</v>
      </c>
      <c r="X39" s="171" t="str">
        <f t="shared" si="2"/>
        <v xml:space="preserve"> </v>
      </c>
      <c r="AA39" s="265">
        <f>SUM(K$11:K39)</f>
        <v>0</v>
      </c>
      <c r="AB39" s="271" t="str">
        <f>IF(OR(Sheet1!D$192=1,Sheet1!D$193),IF(OR((AB38&gt;=(Sheet1!D$148+$A$11)-1),AND(Sheet1!D$8=3,AB38&gt;=6))," ",AB38+1),NA())</f>
        <v xml:space="preserve"> </v>
      </c>
      <c r="AC39" s="271" t="str">
        <f>IF(OR(Sheet1!D$192=1,Sheet1!D$193),IF(OR((AC38&gt;=(Sheet1!D$148+$B$11)-1),AND(Sheet1!D$8=3,AB38&gt;=6))," ",AC38+1),NA())</f>
        <v xml:space="preserve"> </v>
      </c>
      <c r="AD39" s="262"/>
      <c r="AE39" s="263" t="str">
        <f>IF(AND(Sheet1!D$196=1,AB39&lt;&gt;" "),ROUND(VLOOKUP(AB39,AlternativeD!A$17:M$66,12),Sheet1!D$75),IF(Sheet1!D$196=1," ","Alt  'D'  not feasible"))</f>
        <v>Alt  'D'  not feasible</v>
      </c>
      <c r="AF39" s="264" t="str">
        <f>IF(AB39&lt;=Sheet1!D$148, (1/((1+AF$10)^(AB39-0.5)))," ")</f>
        <v xml:space="preserve"> </v>
      </c>
      <c r="AG39" s="263" t="str">
        <f>IF(AND(Sheet1!D$196=1,AB39&lt;&gt;" "),ROUND(+AE39*AF39,Sheet1!D$75)," ")</f>
        <v xml:space="preserve"> </v>
      </c>
      <c r="AH39" s="264" t="str">
        <f>IF(AB39&lt;&gt;" ",ROUND(VLOOKUP(Sheet1!E$82,CHOOSE(Sheet1!D$215,Inflate1,Inflate2,Inflate3,Inflate4,Inflate5,Inflate6,Inflate7,Inflate8),2),4)," ")</f>
        <v xml:space="preserve"> </v>
      </c>
      <c r="AI39" s="264" t="str">
        <f>IF(AB39&lt;&gt;" ",ROUND(VLOOKUP(AC39,CHOOSE(Sheet1!D$215,Inflate1,Inflate2,Inflate3,Inflate4,Inflate5,Inflate6,Inflate7,Inflate8),3),4)," ")</f>
        <v xml:space="preserve"> </v>
      </c>
      <c r="AJ39" s="263" t="b">
        <f>IF(AND(Sheet1!D$196=1,AB39&lt;&gt;" "),IF(AND(O39&lt;=10,OR(Sheet1!D$8=2,Sheet1!D$8=3,Sheet1!D$22=3)),ROUND((AE39/AH39)*AI39,Sheet1!D$75),IF(AND(Sheet1!D$8&lt;&gt;2,Sheet1!D$8&lt;&gt;3,Sheet1!D$22&lt;&gt;3),ROUND((AE39/AH39)*AI39,Sheet1!D$75)," ")))</f>
        <v>0</v>
      </c>
    </row>
    <row r="40" spans="1:36" ht="12" customHeight="1" x14ac:dyDescent="0.2">
      <c r="A40" s="579" t="str">
        <f>IF(OR(Sheet1!D$192=1,Sheet1!D$193),IF(OR((A39&gt;=(Sheet1!D$148+$A$11)-1),AND(Sheet1!D$8=3,A39&gt;=6))," ",A39+1),NA())</f>
        <v xml:space="preserve"> </v>
      </c>
      <c r="B40" s="271" t="str">
        <f>IF(OR(Sheet1!D$192=1,Sheet1!D$196=1),IF(OR((B39&gt;=(Sheet1!D$148+$B$11)-1),AND(Sheet1!D$8=3,A39&gt;=6))," ",B39+1),NA())</f>
        <v xml:space="preserve"> </v>
      </c>
      <c r="C40" s="273"/>
      <c r="D40" s="263" t="str">
        <f>IF(AND(Sheet1!D$192=1,A40&lt;&gt;" "),ROUND(VLOOKUP(A40,StatusQuo!A$19:M$68,12),Sheet1!D$75),IF(Sheet1!D$192=1," ","SQ not feasible "))</f>
        <v xml:space="preserve"> </v>
      </c>
      <c r="E40" s="263" t="str">
        <f>IF(AND(Sheet1!D$196=1,A40&lt;&gt;" "),ROUND(VLOOKUP(A40,AlternativeD!A$110:M$159,12),Sheet1!D$75),IF(Sheet1!D$196=1," ","Alt  'D'  not feasible"))</f>
        <v>Alt  'D'  not feasible</v>
      </c>
      <c r="F40" s="263" t="str">
        <f>IF(AND(A40&lt;&gt;" ",Sheet1!D$192=1,Sheet1!D$196=1),D40-E40,IF(AND(Sheet1!D$196=1,A40&lt;&gt;" ")," "," "))</f>
        <v xml:space="preserve"> </v>
      </c>
      <c r="G40" s="264" t="str">
        <f>IF(A40&lt;=Sheet1!D$148, (1/((1+G$10)^(A40-0.5)))," ")</f>
        <v xml:space="preserve"> </v>
      </c>
      <c r="H40" s="263" t="str">
        <f>IF(AND(A40&lt;&gt;" ",Sheet1!D$192=1,Sheet1!D$196=1),ROUND(F40*G40,Sheet1!D$75),IF(AND(A40&lt;&gt;" ",Sheet1!D$196=1),ROUND(E40*G40,Sheet1!D$75)," "))</f>
        <v xml:space="preserve"> </v>
      </c>
      <c r="I40" s="264" t="str">
        <f>IF(A40&lt;&gt;" ",ROUND(VLOOKUP(Sheet1!E$82,CHOOSE(Sheet1!D$235,Inflate7,Inflate2,Inflate3,Inflate4,Inflate5,Inflate6,Inflate1,Inflate8),2),4)," ")</f>
        <v xml:space="preserve"> </v>
      </c>
      <c r="J40" s="264" t="str">
        <f>IF(A40&lt;&gt;" ",ROUND(VLOOKUP(B40,CHOOSE(Sheet1!D$235,Inflate7,Inflate2,Inflate3,Inflate4,Inflate5,Inflate6,Inflate1,Inflate8),3),4)," ")</f>
        <v xml:space="preserve"> </v>
      </c>
      <c r="K40" s="265" t="str">
        <f>IF(AND(A40&lt;&gt;" ",Sheet1!D$192=1,Sheet1!D$193),ROUND((F40/I40)*J40,Sheet1!D$75),IF(AND(A40&lt;&gt;" ",Sheet1!D$193),ROUND((E40/I40)*J40,Sheet1!D$75)," "))</f>
        <v xml:space="preserve"> </v>
      </c>
      <c r="L40" s="254" t="str">
        <f>IF(Sheet1!D$192=1,IF(AND(AA40&gt;AJ$61,AA39&lt;=AJ$61),"&lt;-Payback"," ")," ")</f>
        <v xml:space="preserve"> </v>
      </c>
      <c r="M40" s="271" t="str">
        <f>IF(OR(Sheet1!D$192=1,Sheet1!D$193),IF(OR((A39&gt;=(Sheet1!D$148+$A$11)-1),AND(Sheet1!D$8=3,A39&gt;=6))," ",A39+1),NA())</f>
        <v xml:space="preserve"> </v>
      </c>
      <c r="N40" s="271" t="str">
        <f>IF(OR(Sheet1!D$192=1,Sheet1!D$193),IF(OR((B39&gt;=(Sheet1!D$148+$B$11)-1),AND(Sheet1!D$8=3,A39&gt;=6))," ",B39+1),NA())</f>
        <v xml:space="preserve"> </v>
      </c>
      <c r="O40" s="266" t="e">
        <f>IF(AND(Sheet1!D$8=3,M40=" ")," ",IF(OR(Sheet1!D$192=1,Sheet1!D$196=1),IF(O39&gt;0,IF(AND(OR(Sheet1!D$8=2,Sheet1!D$22=3),O39&gt;=10)," ",O39+1),IF(NOT(Sheet1!D$192=1),0,IF(ROUND(VLOOKUP(A40,StatusQuo!A$19:M$68,13),Sheet1!D$75)-ROUND(VLOOKUP(A40,AlternativeD!A$110:M$159,13),Sheet1!D$75)&gt;0,1,0)))," "))</f>
        <v>#VALUE!</v>
      </c>
      <c r="P40" s="263" t="str">
        <f>IF(AND(A40&lt;&gt;" ",Sheet1!D$192=1,Sheet1!D$196=1),IF(AND(OR(Sheet1!D$8=2,Sheet1!D$22=3),O40&gt;10),0,ROUND(VLOOKUP(A40,StatusQuo!A$19:M$68,13),Sheet1!D$75)),IF(NOT(Sheet1!D$192=1),"not feasible",IF(A40=" "," ", "Savings is  n/a=&gt;")))</f>
        <v xml:space="preserve"> </v>
      </c>
      <c r="Q40" s="263" t="str">
        <f>IF(AND(A40&lt;&gt;" ",Sheet1!D$192=1,Sheet1!D$196=1),IF(AND(OR(Sheet1!D$8=2,Sheet1!D$22=3),O40&gt;10),0,ROUND(VLOOKUP(A40,AlternativeD!A$110:M$159,13),Sheet1!D$75)),IF(NOT(Sheet1!D$196=1),"not feasible",IF(A40=" "," ","&lt;== Savings is n/a")))</f>
        <v>not feasible</v>
      </c>
      <c r="R40" s="263" t="str">
        <f>IF(AND(A40&lt;&gt;" ",Sheet1!D$192=1,Sheet1!D$196=1),IF(G$81&lt;&gt;" ","??????? ",P40-Q40)," ")</f>
        <v xml:space="preserve"> </v>
      </c>
      <c r="S40" s="263" t="str">
        <f>IF(AND(A40&lt;&gt;" ",Sheet1!D$192=1,Sheet1!D$196=1),ROUND(R40*G40,Sheet1!D$75)," ")</f>
        <v xml:space="preserve"> </v>
      </c>
      <c r="T40" s="263" t="str">
        <f>IF(AND(A40&lt;&gt;" ",Sheet1!D$192=1,Sheet1!D$196=1),ROUND((R40/I40)*J40,Sheet1!D$75)," ")</f>
        <v xml:space="preserve"> </v>
      </c>
      <c r="U40" s="265">
        <f>SUM(T$11:T40)</f>
        <v>0</v>
      </c>
      <c r="V40" s="254" t="str">
        <f t="shared" si="0"/>
        <v xml:space="preserve"> </v>
      </c>
      <c r="W40" s="268">
        <f t="shared" si="1"/>
        <v>30</v>
      </c>
      <c r="X40" s="171" t="str">
        <f t="shared" si="2"/>
        <v xml:space="preserve"> </v>
      </c>
      <c r="AA40" s="265">
        <f>SUM(K$11:K40)</f>
        <v>0</v>
      </c>
      <c r="AB40" s="271" t="str">
        <f>IF(OR(Sheet1!D$192=1,Sheet1!D$193),IF(OR((AB39&gt;=(Sheet1!D$148+$A$11)-1),AND(Sheet1!D$8=3,AB39&gt;=6))," ",AB39+1),NA())</f>
        <v xml:space="preserve"> </v>
      </c>
      <c r="AC40" s="271" t="str">
        <f>IF(OR(Sheet1!D$192=1,Sheet1!D$193),IF(OR((AC39&gt;=(Sheet1!D$148+$B$11)-1),AND(Sheet1!D$8=3,AB39&gt;=6))," ",AC39+1),NA())</f>
        <v xml:space="preserve"> </v>
      </c>
      <c r="AD40" s="262"/>
      <c r="AE40" s="263" t="str">
        <f>IF(AND(Sheet1!D$196=1,AB40&lt;&gt;" "),ROUND(VLOOKUP(AB40,AlternativeD!A$17:M$66,12),Sheet1!D$75),IF(Sheet1!D$196=1," ","Alt  'D'  not feasible"))</f>
        <v>Alt  'D'  not feasible</v>
      </c>
      <c r="AF40" s="264" t="str">
        <f>IF(AB40&lt;=Sheet1!D$148, (1/((1+AF$10)^(AB40-0.5)))," ")</f>
        <v xml:space="preserve"> </v>
      </c>
      <c r="AG40" s="263" t="str">
        <f>IF(AND(Sheet1!D$196=1,AB40&lt;&gt;" "),ROUND(+AE40*AF40,Sheet1!D$75)," ")</f>
        <v xml:space="preserve"> </v>
      </c>
      <c r="AH40" s="264" t="str">
        <f>IF(AB40&lt;&gt;" ",ROUND(VLOOKUP(Sheet1!E$82,CHOOSE(Sheet1!D$215,Inflate1,Inflate2,Inflate3,Inflate4,Inflate5,Inflate6,Inflate7,Inflate8),2),4)," ")</f>
        <v xml:space="preserve"> </v>
      </c>
      <c r="AI40" s="264" t="str">
        <f>IF(AB40&lt;&gt;" ",ROUND(VLOOKUP(AC40,CHOOSE(Sheet1!D$215,Inflate1,Inflate2,Inflate3,Inflate4,Inflate5,Inflate6,Inflate7,Inflate8),3),4)," ")</f>
        <v xml:space="preserve"> </v>
      </c>
      <c r="AJ40" s="263" t="b">
        <f>IF(AND(Sheet1!D$196=1,AB40&lt;&gt;" "),IF(AND(O40&lt;=10,OR(Sheet1!D$8=2,Sheet1!D$8=3,Sheet1!D$22=3)),ROUND((AE40/AH40)*AI40,Sheet1!D$75),IF(AND(Sheet1!D$8&lt;&gt;2,Sheet1!D$8&lt;&gt;3,Sheet1!D$22&lt;&gt;3),ROUND((AE40/AH40)*AI40,Sheet1!D$75)," ")))</f>
        <v>0</v>
      </c>
    </row>
    <row r="41" spans="1:36" ht="12" customHeight="1" x14ac:dyDescent="0.2">
      <c r="A41" s="579" t="str">
        <f>IF(OR(Sheet1!D$192=1,Sheet1!D$193),IF(OR((A40&gt;=(Sheet1!D$148+$A$11)-1),AND(Sheet1!D$8=3,A40&gt;=6))," ",A40+1),NA())</f>
        <v xml:space="preserve"> </v>
      </c>
      <c r="B41" s="271" t="str">
        <f>IF(OR(Sheet1!D$192=1,Sheet1!D$196=1),IF(OR((B40&gt;=(Sheet1!D$148+$B$11)-1),AND(Sheet1!D$8=3,A40&gt;=6))," ",B40+1),NA())</f>
        <v xml:space="preserve"> </v>
      </c>
      <c r="C41" s="273"/>
      <c r="D41" s="263" t="str">
        <f>IF(AND(Sheet1!D$192=1,A41&lt;&gt;" "),ROUND(VLOOKUP(A41,StatusQuo!A$19:M$68,12),Sheet1!D$75),IF(Sheet1!D$192=1," ","SQ not feasible "))</f>
        <v xml:space="preserve"> </v>
      </c>
      <c r="E41" s="263" t="str">
        <f>IF(AND(Sheet1!D$196=1,A41&lt;&gt;" "),ROUND(VLOOKUP(A41,AlternativeD!A$110:M$159,12),Sheet1!D$75),IF(Sheet1!D$196=1," ","Alt  'D'  not feasible"))</f>
        <v>Alt  'D'  not feasible</v>
      </c>
      <c r="F41" s="263" t="str">
        <f>IF(AND(A41&lt;&gt;" ",Sheet1!D$192=1,Sheet1!D$196=1),D41-E41,IF(AND(Sheet1!D$196=1,A41&lt;&gt;" ")," "," "))</f>
        <v xml:space="preserve"> </v>
      </c>
      <c r="G41" s="264" t="str">
        <f>IF(A41&lt;=Sheet1!D$148, (1/((1+G$10)^(A41-0.5)))," ")</f>
        <v xml:space="preserve"> </v>
      </c>
      <c r="H41" s="263" t="str">
        <f>IF(AND(A41&lt;&gt;" ",Sheet1!D$192=1,Sheet1!D$196=1),ROUND(F41*G41,Sheet1!D$75),IF(AND(A41&lt;&gt;" ",Sheet1!D$196=1),ROUND(E41*G41,Sheet1!D$75)," "))</f>
        <v xml:space="preserve"> </v>
      </c>
      <c r="I41" s="264" t="str">
        <f>IF(A41&lt;&gt;" ",ROUND(VLOOKUP(Sheet1!E$82,CHOOSE(Sheet1!D$235,Inflate7,Inflate2,Inflate3,Inflate4,Inflate5,Inflate6,Inflate1,Inflate8),2),4)," ")</f>
        <v xml:space="preserve"> </v>
      </c>
      <c r="J41" s="264" t="str">
        <f>IF(A41&lt;&gt;" ",ROUND(VLOOKUP(B41,CHOOSE(Sheet1!D$235,Inflate7,Inflate2,Inflate3,Inflate4,Inflate5,Inflate6,Inflate1,Inflate8),3),4)," ")</f>
        <v xml:space="preserve"> </v>
      </c>
      <c r="K41" s="265" t="str">
        <f>IF(AND(A41&lt;&gt;" ",Sheet1!D$192=1,Sheet1!D$193),ROUND((F41/I41)*J41,Sheet1!D$75),IF(AND(A41&lt;&gt;" ",Sheet1!D$193),ROUND((E41/I41)*J41,Sheet1!D$75)," "))</f>
        <v xml:space="preserve"> </v>
      </c>
      <c r="L41" s="254" t="str">
        <f>IF(Sheet1!D$192=1,IF(AND(AA41&gt;AJ$61,AA40&lt;=AJ$61),"&lt;-Payback"," ")," ")</f>
        <v xml:space="preserve"> </v>
      </c>
      <c r="M41" s="271" t="str">
        <f>IF(OR(Sheet1!D$192=1,Sheet1!D$193),IF(OR((A40&gt;=(Sheet1!D$148+$A$11)-1),AND(Sheet1!D$8=3,A40&gt;=6))," ",A40+1),NA())</f>
        <v xml:space="preserve"> </v>
      </c>
      <c r="N41" s="271" t="str">
        <f>IF(OR(Sheet1!D$192=1,Sheet1!D$193),IF(OR((B40&gt;=(Sheet1!D$148+$B$11)-1),AND(Sheet1!D$8=3,A40&gt;=6))," ",B40+1),NA())</f>
        <v xml:space="preserve"> </v>
      </c>
      <c r="O41" s="266" t="e">
        <f>IF(AND(Sheet1!D$8=3,M41=" ")," ",IF(OR(Sheet1!D$192=1,Sheet1!D$196=1),IF(O40&gt;0,IF(AND(OR(Sheet1!D$8=2,Sheet1!D$22=3),O40&gt;=10)," ",O40+1),IF(NOT(Sheet1!D$192=1),0,IF(ROUND(VLOOKUP(A41,StatusQuo!A$19:M$68,13),Sheet1!D$75)-ROUND(VLOOKUP(A41,AlternativeD!A$110:M$159,13),Sheet1!D$75)&gt;0,1,0)))," "))</f>
        <v>#VALUE!</v>
      </c>
      <c r="P41" s="263" t="str">
        <f>IF(AND(A41&lt;&gt;" ",Sheet1!D$192=1,Sheet1!D$196=1),IF(AND(OR(Sheet1!D$8=2,Sheet1!D$22=3),O41&gt;10),0,ROUND(VLOOKUP(A41,StatusQuo!A$19:M$68,13),Sheet1!D$75)),IF(NOT(Sheet1!D$192=1),"not feasible",IF(A41=" "," ", "Savings is  n/a=&gt;")))</f>
        <v xml:space="preserve"> </v>
      </c>
      <c r="Q41" s="263" t="str">
        <f>IF(AND(A41&lt;&gt;" ",Sheet1!D$192=1,Sheet1!D$196=1),IF(AND(OR(Sheet1!D$8=2,Sheet1!D$22=3),O41&gt;10),0,ROUND(VLOOKUP(A41,AlternativeD!A$110:M$159,13),Sheet1!D$75)),IF(NOT(Sheet1!D$196=1),"not feasible",IF(A41=" "," ","&lt;== Savings is n/a")))</f>
        <v>not feasible</v>
      </c>
      <c r="R41" s="263" t="str">
        <f>IF(AND(A41&lt;&gt;" ",Sheet1!D$192=1,Sheet1!D$196=1),IF(G$81&lt;&gt;" ","??????? ",P41-Q41)," ")</f>
        <v xml:space="preserve"> </v>
      </c>
      <c r="S41" s="263" t="str">
        <f>IF(AND(A41&lt;&gt;" ",Sheet1!D$192=1,Sheet1!D$196=1),ROUND(R41*G41,Sheet1!D$75)," ")</f>
        <v xml:space="preserve"> </v>
      </c>
      <c r="T41" s="263" t="str">
        <f>IF(AND(A41&lt;&gt;" ",Sheet1!D$192=1,Sheet1!D$196=1),ROUND((R41/I41)*J41,Sheet1!D$75)," ")</f>
        <v xml:space="preserve"> </v>
      </c>
      <c r="U41" s="265">
        <f>SUM(T$11:T41)</f>
        <v>0</v>
      </c>
      <c r="V41" s="254" t="str">
        <f t="shared" si="0"/>
        <v xml:space="preserve"> </v>
      </c>
      <c r="W41" s="268">
        <f t="shared" si="1"/>
        <v>31</v>
      </c>
      <c r="X41" s="171" t="str">
        <f t="shared" si="2"/>
        <v xml:space="preserve"> </v>
      </c>
      <c r="AA41" s="265">
        <f>SUM(K$11:K41)</f>
        <v>0</v>
      </c>
      <c r="AB41" s="271" t="str">
        <f>IF(OR(Sheet1!D$192=1,Sheet1!D$193),IF(OR((AB40&gt;=(Sheet1!D$148+$A$11)-1),AND(Sheet1!D$8=3,AB40&gt;=6))," ",AB40+1),NA())</f>
        <v xml:space="preserve"> </v>
      </c>
      <c r="AC41" s="271" t="str">
        <f>IF(OR(Sheet1!D$192=1,Sheet1!D$193),IF(OR((AC40&gt;=(Sheet1!D$148+$B$11)-1),AND(Sheet1!D$8=3,AB40&gt;=6))," ",AC40+1),NA())</f>
        <v xml:space="preserve"> </v>
      </c>
      <c r="AD41" s="262"/>
      <c r="AE41" s="263" t="str">
        <f>IF(AND(Sheet1!D$196=1,AB41&lt;&gt;" "),ROUND(VLOOKUP(AB41,AlternativeD!A$17:M$66,12),Sheet1!D$75),IF(Sheet1!D$196=1," ","Alt  'D'  not feasible"))</f>
        <v>Alt  'D'  not feasible</v>
      </c>
      <c r="AF41" s="264" t="str">
        <f>IF(AB41&lt;=Sheet1!D$148, (1/((1+AF$10)^(AB41-0.5)))," ")</f>
        <v xml:space="preserve"> </v>
      </c>
      <c r="AG41" s="263" t="str">
        <f>IF(AND(Sheet1!D$196=1,AB41&lt;&gt;" "),ROUND(+AE41*AF41,Sheet1!D$75)," ")</f>
        <v xml:space="preserve"> </v>
      </c>
      <c r="AH41" s="264" t="str">
        <f>IF(AB41&lt;&gt;" ",ROUND(VLOOKUP(Sheet1!E$82,CHOOSE(Sheet1!D$215,Inflate1,Inflate2,Inflate3,Inflate4,Inflate5,Inflate6,Inflate7,Inflate8),2),4)," ")</f>
        <v xml:space="preserve"> </v>
      </c>
      <c r="AI41" s="264" t="str">
        <f>IF(AB41&lt;&gt;" ",ROUND(VLOOKUP(AC41,CHOOSE(Sheet1!D$215,Inflate1,Inflate2,Inflate3,Inflate4,Inflate5,Inflate6,Inflate7,Inflate8),3),4)," ")</f>
        <v xml:space="preserve"> </v>
      </c>
      <c r="AJ41" s="263" t="b">
        <f>IF(AND(Sheet1!D$196=1,AB41&lt;&gt;" "),IF(AND(O41&lt;=10,OR(Sheet1!D$8=2,Sheet1!D$8=3,Sheet1!D$22=3)),ROUND((AE41/AH41)*AI41,Sheet1!D$75),IF(AND(Sheet1!D$8&lt;&gt;2,Sheet1!D$8&lt;&gt;3,Sheet1!D$22&lt;&gt;3),ROUND((AE41/AH41)*AI41,Sheet1!D$75)," ")))</f>
        <v>0</v>
      </c>
    </row>
    <row r="42" spans="1:36" ht="12" customHeight="1" x14ac:dyDescent="0.2">
      <c r="A42" s="579" t="str">
        <f>IF(OR(Sheet1!D$192=1,Sheet1!D$193),IF(OR((A41&gt;=(Sheet1!D$148+$A$11)-1),AND(Sheet1!D$8=3,A41&gt;=6))," ",A41+1),NA())</f>
        <v xml:space="preserve"> </v>
      </c>
      <c r="B42" s="271" t="str">
        <f>IF(OR(Sheet1!D$192=1,Sheet1!D$196=1),IF(OR((B41&gt;=(Sheet1!D$148+$B$11)-1),AND(Sheet1!D$8=3,A41&gt;=6))," ",B41+1),NA())</f>
        <v xml:space="preserve"> </v>
      </c>
      <c r="C42" s="273"/>
      <c r="D42" s="263" t="str">
        <f>IF(AND(Sheet1!D$192=1,A42&lt;&gt;" "),ROUND(VLOOKUP(A42,StatusQuo!A$19:M$68,12),Sheet1!D$75),IF(Sheet1!D$192=1," ","SQ not feasible "))</f>
        <v xml:space="preserve"> </v>
      </c>
      <c r="E42" s="263" t="str">
        <f>IF(AND(Sheet1!D$196=1,A42&lt;&gt;" "),ROUND(VLOOKUP(A42,AlternativeD!A$110:M$159,12),Sheet1!D$75),IF(Sheet1!D$196=1," ","Alt  'D'  not feasible"))</f>
        <v>Alt  'D'  not feasible</v>
      </c>
      <c r="F42" s="263" t="str">
        <f>IF(AND(A42&lt;&gt;" ",Sheet1!D$192=1,Sheet1!D$193),D42-E42,IF(AND(Sheet1!D$193,A42&lt;&gt;" ")," "," "))</f>
        <v xml:space="preserve"> </v>
      </c>
      <c r="G42" s="264" t="str">
        <f>IF(A42&lt;=Sheet1!D$148, (1/((1+G$10)^(A42-0.5)))," ")</f>
        <v xml:space="preserve"> </v>
      </c>
      <c r="H42" s="263" t="str">
        <f>IF(AND(A42&lt;&gt;" ",Sheet1!D$192=1,Sheet1!D$193),ROUND(F42*G42,Sheet1!D$75),IF(AND(A42&lt;&gt;" ",Sheet1!D$193),ROUND(E42*G42,Sheet1!D$75)," "))</f>
        <v xml:space="preserve"> </v>
      </c>
      <c r="I42" s="264" t="str">
        <f>IF(A42&lt;&gt;" ",ROUND(VLOOKUP(Sheet1!E$82,CHOOSE(Sheet1!D$232,Inflate7,Inflate2,Inflate3,Inflate4,Inflate5,Inflate6,Inflate1,Inflate8),2),4)," ")</f>
        <v xml:space="preserve"> </v>
      </c>
      <c r="J42" s="264" t="str">
        <f>IF(A42&lt;&gt;" ",ROUND(VLOOKUP(B42,CHOOSE(Sheet1!D$235,Inflate7,Inflate2,Inflate3,Inflate4,Inflate5,Inflate6,Inflate1,Inflate8),3),4)," ")</f>
        <v xml:space="preserve"> </v>
      </c>
      <c r="K42" s="265" t="str">
        <f>IF(AND(A42&lt;&gt;" ",Sheet1!D$192=1,Sheet1!D$193),ROUND((F42/I42)*J42,Sheet1!D$75),IF(AND(A42&lt;&gt;" ",Sheet1!D$193),ROUND((E42/I42)*J42,Sheet1!D$75)," "))</f>
        <v xml:space="preserve"> </v>
      </c>
      <c r="L42" s="254" t="str">
        <f>IF(Sheet1!D$192=1,IF(AND(AA42&gt;AJ$61,AA41&lt;=AJ$61),"&lt;-Payback"," ")," ")</f>
        <v xml:space="preserve"> </v>
      </c>
      <c r="M42" s="271" t="str">
        <f>IF(OR(Sheet1!D$192=1,Sheet1!D$193),IF(OR((A41&gt;=(Sheet1!D$148+$A$11)-1),AND(Sheet1!D$8=3,A41&gt;=6))," ",A41+1),NA())</f>
        <v xml:space="preserve"> </v>
      </c>
      <c r="N42" s="271" t="str">
        <f>IF(OR(Sheet1!D$192=1,Sheet1!D$193),IF(OR((B41&gt;=(Sheet1!D$148+$B$11)-1),AND(Sheet1!D$8=3,A41&gt;=6))," ",B41+1),NA())</f>
        <v xml:space="preserve"> </v>
      </c>
      <c r="O42" s="266" t="e">
        <f>IF(AND(Sheet1!D$8=3,M42=" ")," ",IF(OR(Sheet1!D$192=1,Sheet1!D$196=1),IF(O41&gt;0,IF(AND(OR(Sheet1!D$8=2,Sheet1!D$22=3),O41&gt;=10)," ",O41+1),IF(NOT(Sheet1!D$192=1),0,IF(ROUND(VLOOKUP(A42,StatusQuo!A$19:M$68,13),Sheet1!D$75)-ROUND(VLOOKUP(A42,AlternativeD!A$110:M$159,13),Sheet1!D$75)&gt;0,1,0)))," "))</f>
        <v>#VALUE!</v>
      </c>
      <c r="P42" s="263" t="str">
        <f>IF(AND(A42&lt;&gt;" ",Sheet1!D$192=1,Sheet1!D$196=1),IF(AND(OR(Sheet1!D$8=2,Sheet1!D$22=3),O42&gt;10),0,ROUND(VLOOKUP(A42,StatusQuo!A$19:M$68,13),Sheet1!D$75)),IF(NOT(Sheet1!D$192=1),"not feasible",IF(A42=" "," ", "Savings is  n/a=&gt;")))</f>
        <v xml:space="preserve"> </v>
      </c>
      <c r="Q42" s="263" t="str">
        <f>IF(AND(A42&lt;&gt;" ",Sheet1!D$192=1,Sheet1!D$196=1),IF(AND(OR(Sheet1!D$8=2,Sheet1!D$22=3),O42&gt;10),0,ROUND(VLOOKUP(A42,AlternativeD!A$110:M$159,13),Sheet1!D$75)),IF(NOT(Sheet1!D$196=1),"not feasible",IF(A42=" "," ","&lt;== Savings is n/a")))</f>
        <v>not feasible</v>
      </c>
      <c r="R42" s="263" t="str">
        <f>IF(AND(A42&lt;&gt;" ",Sheet1!D$192=1,Sheet1!D$193),IF(G$81&lt;&gt;" ","??????? ",P42-Q42)," ")</f>
        <v xml:space="preserve"> </v>
      </c>
      <c r="S42" s="263" t="str">
        <f>IF(AND(A42&lt;&gt;" ",Sheet1!D$192=1,Sheet1!D$196=1),ROUND(R42*G42,Sheet1!D$75)," ")</f>
        <v xml:space="preserve"> </v>
      </c>
      <c r="T42" s="263" t="str">
        <f>IF(AND(A42&lt;&gt;" ",Sheet1!D$192=1,Sheet1!D$193),ROUND((R42/I42)*J42,Sheet1!D$75)," ")</f>
        <v xml:space="preserve"> </v>
      </c>
      <c r="U42" s="265">
        <f>SUM(T$11:T42)</f>
        <v>0</v>
      </c>
      <c r="V42" s="254" t="str">
        <f t="shared" si="0"/>
        <v xml:space="preserve"> </v>
      </c>
      <c r="W42" s="268">
        <f t="shared" si="1"/>
        <v>32</v>
      </c>
      <c r="X42" s="171" t="str">
        <f t="shared" si="2"/>
        <v xml:space="preserve"> </v>
      </c>
      <c r="AA42" s="265">
        <f>SUM(K$11:K42)</f>
        <v>0</v>
      </c>
      <c r="AB42" s="271" t="str">
        <f>IF(OR(Sheet1!D$192=1,Sheet1!D$193),IF(OR((AB41&gt;=(Sheet1!D$148+$A$11)-1),AND(Sheet1!D$8=3,AB41&gt;=6))," ",AB41+1),NA())</f>
        <v xml:space="preserve"> </v>
      </c>
      <c r="AC42" s="271" t="str">
        <f>IF(OR(Sheet1!D$192=1,Sheet1!D$193),IF(OR((AC41&gt;=(Sheet1!D$148+$B$11)-1),AND(Sheet1!D$8=3,AB41&gt;=6))," ",AC41+1),NA())</f>
        <v xml:space="preserve"> </v>
      </c>
      <c r="AD42" s="262"/>
      <c r="AE42" s="263" t="str">
        <f>IF(AND(Sheet1!D$196=1,AB42&lt;&gt;" "),ROUND(VLOOKUP(AB42,AlternativeD!A$17:M$66,12),Sheet1!D$75),IF(Sheet1!D$196=1," ","Alt  'D'  not feasible"))</f>
        <v>Alt  'D'  not feasible</v>
      </c>
      <c r="AF42" s="264" t="str">
        <f>IF(AB42&lt;=Sheet1!D$148, (1/((1+AF$10)^(AB42-0.5)))," ")</f>
        <v xml:space="preserve"> </v>
      </c>
      <c r="AG42" s="263" t="str">
        <f>IF(AND(Sheet1!D$193,AB42&lt;&gt;" "),ROUND(+AE42*AF42,Sheet1!D$75)," ")</f>
        <v xml:space="preserve"> </v>
      </c>
      <c r="AH42" s="264" t="str">
        <f>IF(AB42&lt;&gt;" ",ROUND(VLOOKUP(Sheet1!E$82,CHOOSE(Sheet1!D$215,Inflate1,Inflate2,Inflate3,Inflate4,Inflate5,Inflate6,Inflate7,Inflate8),2),4)," ")</f>
        <v xml:space="preserve"> </v>
      </c>
      <c r="AI42" s="264" t="str">
        <f>IF(AB42&lt;&gt;" ",ROUND(VLOOKUP(AC42,CHOOSE(Sheet1!D$212,Inflate1,Inflate2,Inflate3,Inflate4,Inflate5,Inflate6,Inflate7,Inflate8),3),4)," ")</f>
        <v xml:space="preserve"> </v>
      </c>
      <c r="AJ42" s="263" t="b">
        <f>IF(AND(Sheet1!D$193,AB42&lt;&gt;" "),IF(AND(O42&lt;=10,OR(Sheet1!D$8=2,Sheet1!D$8=3,Sheet1!D$22=3)),ROUND((AE42/AH42)*AI42,Sheet1!D$75),IF(AND(Sheet1!D$8&lt;&gt;2,Sheet1!D$8&lt;&gt;3,Sheet1!D$22&lt;&gt;3),ROUND((AE42/AH42)*AI42,Sheet1!D$75)," ")))</f>
        <v>0</v>
      </c>
    </row>
    <row r="43" spans="1:36" ht="12" customHeight="1" x14ac:dyDescent="0.2">
      <c r="A43" s="579" t="str">
        <f>IF(OR(Sheet1!D$192=1,Sheet1!D$193),IF(OR((A42&gt;=(Sheet1!D$148+$A$11)-1),AND(Sheet1!D$8=3,A42&gt;=6))," ",A42+1),NA())</f>
        <v xml:space="preserve"> </v>
      </c>
      <c r="B43" s="271" t="str">
        <f>IF(OR(Sheet1!D$192=1,Sheet1!D$196=1),IF(OR((B42&gt;=(Sheet1!D$148+$B$11)-1),AND(Sheet1!D$8=3,A42&gt;=6))," ",B42+1),NA())</f>
        <v xml:space="preserve"> </v>
      </c>
      <c r="C43" s="273"/>
      <c r="D43" s="263" t="str">
        <f>IF(AND(Sheet1!D$192=1,A43&lt;&gt;" "),ROUND(VLOOKUP(A43,StatusQuo!A$19:M$68,12),Sheet1!D$75),IF(Sheet1!D$192=1," ","SQ not feasible "))</f>
        <v xml:space="preserve"> </v>
      </c>
      <c r="E43" s="263" t="str">
        <f>IF(AND(Sheet1!D$196=1,A43&lt;&gt;" "),ROUND(VLOOKUP(A43,AlternativeD!A$110:M$159,12),Sheet1!D$75),IF(Sheet1!D$196=1," ","Alt  'D'  not feasible"))</f>
        <v>Alt  'D'  not feasible</v>
      </c>
      <c r="F43" s="263" t="str">
        <f>IF(AND(A43&lt;&gt;" ",Sheet1!D$192=1,Sheet1!D$193),D43-E43,IF(AND(Sheet1!D$193,A43&lt;&gt;" ")," "," "))</f>
        <v xml:space="preserve"> </v>
      </c>
      <c r="G43" s="264" t="str">
        <f>IF(A43&lt;=Sheet1!D$148, (1/((1+G$10)^(A43-0.5)))," ")</f>
        <v xml:space="preserve"> </v>
      </c>
      <c r="H43" s="263" t="str">
        <f>IF(AND(A43&lt;&gt;" ",Sheet1!D$192=1,Sheet1!D$193),ROUND(F43*G43,Sheet1!D$75),IF(AND(A43&lt;&gt;" ",Sheet1!D$193),ROUND(E43*G43,Sheet1!D$75)," "))</f>
        <v xml:space="preserve"> </v>
      </c>
      <c r="I43" s="264" t="str">
        <f>IF(A43&lt;&gt;" ",ROUND(VLOOKUP(Sheet1!E$82,CHOOSE(Sheet1!D$232,Inflate7,Inflate2,Inflate3,Inflate4,Inflate5,Inflate6,Inflate1,Inflate8),2),4)," ")</f>
        <v xml:space="preserve"> </v>
      </c>
      <c r="J43" s="264" t="str">
        <f>IF(A43&lt;&gt;" ",ROUND(VLOOKUP(B43,CHOOSE(Sheet1!D$235,Inflate7,Inflate2,Inflate3,Inflate4,Inflate5,Inflate6,Inflate1,Inflate8),3),4)," ")</f>
        <v xml:space="preserve"> </v>
      </c>
      <c r="K43" s="265" t="str">
        <f>IF(AND(A43&lt;&gt;" ",Sheet1!D$192=1,Sheet1!D$193),ROUND((F43/I43)*J43,Sheet1!D$75),IF(AND(A43&lt;&gt;" ",Sheet1!D$193),ROUND((E43/I43)*J43,Sheet1!D$75)," "))</f>
        <v xml:space="preserve"> </v>
      </c>
      <c r="L43" s="254" t="str">
        <f>IF(Sheet1!D$192=1,IF(AND(AA43&gt;AJ$61,AA42&lt;=AJ$61),"&lt;-Payback"," ")," ")</f>
        <v xml:space="preserve"> </v>
      </c>
      <c r="M43" s="271" t="str">
        <f>IF(OR(Sheet1!D$192=1,Sheet1!D$193),IF(OR((A42&gt;=(Sheet1!D$148+$A$11)-1),AND(Sheet1!D$8=3,A42&gt;=6))," ",A42+1),NA())</f>
        <v xml:space="preserve"> </v>
      </c>
      <c r="N43" s="271" t="str">
        <f>IF(OR(Sheet1!D$192=1,Sheet1!D$193),IF(OR((B42&gt;=(Sheet1!D$148+$B$11)-1),AND(Sheet1!D$8=3,A42&gt;=6))," ",B42+1),NA())</f>
        <v xml:space="preserve"> </v>
      </c>
      <c r="O43" s="266" t="e">
        <f>IF(AND(Sheet1!D$8=3,M43=" ")," ",IF(OR(Sheet1!D$192=1,Sheet1!D$196=1),IF(O42&gt;0,IF(AND(OR(Sheet1!D$8=2,Sheet1!D$22=3),O42&gt;=10)," ",O42+1),IF(NOT(Sheet1!D$192=1),0,IF(ROUND(VLOOKUP(A43,StatusQuo!A$19:M$68,13),Sheet1!D$75)-ROUND(VLOOKUP(A43,AlternativeD!A$110:M$159,13),Sheet1!D$75)&gt;0,1,0)))," "))</f>
        <v>#VALUE!</v>
      </c>
      <c r="P43" s="263" t="str">
        <f>IF(AND(A43&lt;&gt;" ",Sheet1!D$192=1,Sheet1!D$196=1),IF(AND(OR(Sheet1!D$8=2,Sheet1!D$22=3),O43&gt;10),0,ROUND(VLOOKUP(A43,StatusQuo!A$19:M$68,13),Sheet1!D$75)),IF(NOT(Sheet1!D$192=1),"not feasible",IF(A43=" "," ", "Savings is  n/a=&gt;")))</f>
        <v xml:space="preserve"> </v>
      </c>
      <c r="Q43" s="263" t="str">
        <f>IF(AND(A43&lt;&gt;" ",Sheet1!D$192=1,Sheet1!D$196=1),IF(AND(OR(Sheet1!D$8=2,Sheet1!D$22=3),O43&gt;10),0,ROUND(VLOOKUP(A43,AlternativeD!A$110:M$159,13),Sheet1!D$75)),IF(NOT(Sheet1!D$196=1),"not feasible",IF(A43=" "," ","&lt;== Savings is n/a")))</f>
        <v>not feasible</v>
      </c>
      <c r="R43" s="263" t="str">
        <f>IF(AND(A43&lt;&gt;" ",Sheet1!D$192=1,Sheet1!D$193),IF(G$81&lt;&gt;" ","??????? ",P43-Q43)," ")</f>
        <v xml:space="preserve"> </v>
      </c>
      <c r="S43" s="263" t="str">
        <f>IF(AND(A43&lt;&gt;" ",Sheet1!D$192=1,Sheet1!D$196=1),ROUND(R43*G43,Sheet1!D$75)," ")</f>
        <v xml:space="preserve"> </v>
      </c>
      <c r="T43" s="263" t="str">
        <f>IF(AND(A43&lt;&gt;" ",Sheet1!D$192=1,Sheet1!D$193),ROUND((R43/I43)*J43,Sheet1!D$75)," ")</f>
        <v xml:space="preserve"> </v>
      </c>
      <c r="U43" s="265">
        <f>SUM(T$11:T43)</f>
        <v>0</v>
      </c>
      <c r="V43" s="254" t="str">
        <f t="shared" si="0"/>
        <v xml:space="preserve"> </v>
      </c>
      <c r="W43" s="268"/>
      <c r="AA43" s="260"/>
      <c r="AB43" s="271" t="str">
        <f>IF(OR(Sheet1!D$192=1,Sheet1!D$193),IF(OR((AB42&gt;=(Sheet1!D$148+$A$11)-1),AND(Sheet1!D$8=3,AB42&gt;=6))," ",AB42+1),NA())</f>
        <v xml:space="preserve"> </v>
      </c>
      <c r="AC43" s="271" t="str">
        <f>IF(OR(Sheet1!D$192=1,Sheet1!D$193),IF(OR((AC42&gt;=(Sheet1!D$148+$B$11)-1),AND(Sheet1!D$8=3,AB42&gt;=6))," ",AC42+1),NA())</f>
        <v xml:space="preserve"> </v>
      </c>
      <c r="AD43" s="272"/>
      <c r="AE43" s="263" t="str">
        <f>IF(AND(Sheet1!D$196=1,AB43&lt;&gt;" "),ROUND(VLOOKUP(AB43,AlternativeD!A$17:M$66,12),Sheet1!D$75),IF(Sheet1!D$196=1," ","Alt  'D'  not feasible"))</f>
        <v>Alt  'D'  not feasible</v>
      </c>
      <c r="AF43" s="264" t="str">
        <f>IF(AB43&lt;=Sheet1!D$148, (1/((1+AF$10)^(AB43-0.5)))," ")</f>
        <v xml:space="preserve"> </v>
      </c>
      <c r="AG43" s="263" t="str">
        <f>IF(AND(Sheet1!D$193,AB43&lt;&gt;" "),ROUND(+AE43*AF43,Sheet1!D$75)," ")</f>
        <v xml:space="preserve"> </v>
      </c>
      <c r="AH43" s="264" t="str">
        <f>IF(AB43&lt;&gt;" ",ROUND(VLOOKUP(Sheet1!E$82,CHOOSE(Sheet1!D$215,Inflate1,Inflate2,Inflate3,Inflate4,Inflate5,Inflate6,Inflate7,Inflate8),2),4)," ")</f>
        <v xml:space="preserve"> </v>
      </c>
      <c r="AI43" s="264" t="str">
        <f>IF(AB43&lt;&gt;" ",ROUND(VLOOKUP(AC43,CHOOSE(Sheet1!D$212,Inflate1,Inflate2,Inflate3,Inflate4,Inflate5,Inflate6,Inflate7,Inflate8),3),4)," ")</f>
        <v xml:space="preserve"> </v>
      </c>
      <c r="AJ43" s="263" t="b">
        <f>IF(AND(Sheet1!D$193,AB43&lt;&gt;" "),IF(AND(O43&lt;=10,OR(Sheet1!D$8=2,Sheet1!D$8=3,Sheet1!D$22=3)),ROUND((AE43/AH43)*AI43,Sheet1!D$75),IF(AND(Sheet1!D$8&lt;&gt;2,Sheet1!D$8&lt;&gt;3,Sheet1!D$22&lt;&gt;3),ROUND((AE43/AH43)*AI43,Sheet1!D$75)," ")))</f>
        <v>0</v>
      </c>
    </row>
    <row r="44" spans="1:36" ht="12" customHeight="1" x14ac:dyDescent="0.2">
      <c r="A44" s="579" t="str">
        <f>IF(OR(Sheet1!D$192=1,Sheet1!D$193),IF(OR((A43&gt;=(Sheet1!D$148+$A$11)-1),AND(Sheet1!D$8=3,A43&gt;=6))," ",A43+1),NA())</f>
        <v xml:space="preserve"> </v>
      </c>
      <c r="B44" s="271" t="str">
        <f>IF(OR(Sheet1!D$192=1,Sheet1!D$196=1),IF(OR((B43&gt;=(Sheet1!D$148+$B$11)-1),AND(Sheet1!D$8=3,A43&gt;=6))," ",B43+1),NA())</f>
        <v xml:space="preserve"> </v>
      </c>
      <c r="C44" s="273"/>
      <c r="D44" s="263" t="str">
        <f>IF(AND(Sheet1!D$192=1,A44&lt;&gt;" "),ROUND(VLOOKUP(A44,StatusQuo!A$19:M$68,12),Sheet1!D$75),IF(Sheet1!D$192=1," ","SQ not feasible "))</f>
        <v xml:space="preserve"> </v>
      </c>
      <c r="E44" s="263" t="str">
        <f>IF(AND(Sheet1!D$196=1,A44&lt;&gt;" "),ROUND(VLOOKUP(A44,AlternativeD!A$110:M$159,12),Sheet1!D$75),IF(Sheet1!D$196=1," ","Alt  'D'  not feasible"))</f>
        <v>Alt  'D'  not feasible</v>
      </c>
      <c r="F44" s="263" t="str">
        <f>IF(AND(A44&lt;&gt;" ",Sheet1!D$192=1,Sheet1!D$193),D44-E44,IF(AND(Sheet1!D$193,A44&lt;&gt;" ")," "," "))</f>
        <v xml:space="preserve"> </v>
      </c>
      <c r="G44" s="264" t="str">
        <f>IF(A44&lt;=Sheet1!D$148, (1/((1+G$10)^(A44-0.5)))," ")</f>
        <v xml:space="preserve"> </v>
      </c>
      <c r="H44" s="263" t="str">
        <f>IF(AND(A44&lt;&gt;" ",Sheet1!D$192=1,Sheet1!D$193),ROUND(F44*G44,Sheet1!D$75),IF(AND(A44&lt;&gt;" ",Sheet1!D$193),ROUND(E44*G44,Sheet1!D$75)," "))</f>
        <v xml:space="preserve"> </v>
      </c>
      <c r="I44" s="264" t="str">
        <f>IF(A44&lt;&gt;" ",ROUND(VLOOKUP(Sheet1!E$82,CHOOSE(Sheet1!D$232,Inflate7,Inflate2,Inflate3,Inflate4,Inflate5,Inflate6,Inflate1,Inflate8),2),4)," ")</f>
        <v xml:space="preserve"> </v>
      </c>
      <c r="J44" s="264" t="str">
        <f>IF(A44&lt;&gt;" ",ROUND(VLOOKUP(B44,CHOOSE(Sheet1!D$235,Inflate7,Inflate2,Inflate3,Inflate4,Inflate5,Inflate6,Inflate1,Inflate8),3),4)," ")</f>
        <v xml:space="preserve"> </v>
      </c>
      <c r="K44" s="265" t="str">
        <f>IF(AND(A44&lt;&gt;" ",Sheet1!D$192=1,Sheet1!D$193),ROUND((F44/I44)*J44,Sheet1!D$75),IF(AND(A44&lt;&gt;" ",Sheet1!D$193),ROUND((E44/I44)*J44,Sheet1!D$75)," "))</f>
        <v xml:space="preserve"> </v>
      </c>
      <c r="L44" s="254" t="str">
        <f>IF(Sheet1!D$192=1,IF(AND(AA44&gt;AJ$61,AA43&lt;=AJ$61),"&lt;-Payback"," ")," ")</f>
        <v xml:space="preserve"> </v>
      </c>
      <c r="M44" s="271" t="str">
        <f>IF(OR(Sheet1!D$192=1,Sheet1!D$193),IF(OR((A43&gt;=(Sheet1!D$148+$A$11)-1),AND(Sheet1!D$8=3,A43&gt;=6))," ",A43+1),NA())</f>
        <v xml:space="preserve"> </v>
      </c>
      <c r="N44" s="271" t="str">
        <f>IF(OR(Sheet1!D$192=1,Sheet1!D$193),IF(OR((B43&gt;=(Sheet1!D$148+$B$11)-1),AND(Sheet1!D$8=3,A43&gt;=6))," ",B43+1),NA())</f>
        <v xml:space="preserve"> </v>
      </c>
      <c r="O44" s="266" t="e">
        <f>IF(AND(Sheet1!D$8=3,M44=" ")," ",IF(OR(Sheet1!D$192=1,Sheet1!D$196=1),IF(O43&gt;0,IF(AND(OR(Sheet1!D$8=2,Sheet1!D$22=3),O43&gt;=10)," ",O43+1),IF(NOT(Sheet1!D$192=1),0,IF(ROUND(VLOOKUP(A44,StatusQuo!A$19:M$68,13),Sheet1!D$75)-ROUND(VLOOKUP(A44,AlternativeD!A$110:M$159,13),Sheet1!D$75)&gt;0,1,0)))," "))</f>
        <v>#VALUE!</v>
      </c>
      <c r="P44" s="263" t="str">
        <f>IF(AND(A44&lt;&gt;" ",Sheet1!D$192=1,Sheet1!D$196=1),IF(AND(OR(Sheet1!D$8=2,Sheet1!D$22=3),O44&gt;10),0,ROUND(VLOOKUP(A44,StatusQuo!A$19:M$68,13),Sheet1!D$75)),IF(NOT(Sheet1!D$192=1),"not feasible",IF(A44=" "," ", "Savings is  n/a=&gt;")))</f>
        <v xml:space="preserve"> </v>
      </c>
      <c r="Q44" s="263" t="str">
        <f>IF(AND(A44&lt;&gt;" ",Sheet1!D$192=1,Sheet1!D$196=1),IF(AND(OR(Sheet1!D$8=2,Sheet1!D$22=3),O44&gt;10),0,ROUND(VLOOKUP(A44,AlternativeD!A$110:M$159,13),Sheet1!D$75)),IF(NOT(Sheet1!D$196=1),"not feasible",IF(A44=" "," ","&lt;== Savings is n/a")))</f>
        <v>not feasible</v>
      </c>
      <c r="R44" s="263" t="str">
        <f>IF(AND(A44&lt;&gt;" ",Sheet1!D$192=1,Sheet1!D$193),IF(G$81&lt;&gt;" ","??????? ",P44-Q44)," ")</f>
        <v xml:space="preserve"> </v>
      </c>
      <c r="S44" s="263" t="str">
        <f>IF(AND(A44&lt;&gt;" ",Sheet1!D$192=1,Sheet1!D$196=1),ROUND(R44*G44,Sheet1!D$75)," ")</f>
        <v xml:space="preserve"> </v>
      </c>
      <c r="T44" s="263" t="str">
        <f>IF(AND(A44&lt;&gt;" ",Sheet1!D$192=1,Sheet1!D$193),ROUND((R44/I44)*J44,Sheet1!D$75)," ")</f>
        <v xml:space="preserve"> </v>
      </c>
      <c r="U44" s="265">
        <f>SUM(T$11:T44)</f>
        <v>0</v>
      </c>
      <c r="V44" s="254" t="str">
        <f t="shared" si="0"/>
        <v xml:space="preserve"> </v>
      </c>
      <c r="W44" s="268"/>
      <c r="AA44" s="260"/>
      <c r="AB44" s="271" t="str">
        <f>IF(OR(Sheet1!D$192=1,Sheet1!D$193),IF(OR((AB43&gt;=(Sheet1!D$148+$A$11)-1),AND(Sheet1!D$8=3,AB43&gt;=6))," ",AB43+1),NA())</f>
        <v xml:space="preserve"> </v>
      </c>
      <c r="AC44" s="271" t="str">
        <f>IF(OR(Sheet1!D$192=1,Sheet1!D$193),IF(OR((AC43&gt;=(Sheet1!D$148+$B$11)-1),AND(Sheet1!D$8=3,AB43&gt;=6))," ",AC43+1),NA())</f>
        <v xml:space="preserve"> </v>
      </c>
      <c r="AD44" s="272"/>
      <c r="AE44" s="263" t="str">
        <f>IF(AND(Sheet1!D$196=1,AB44&lt;&gt;" "),ROUND(VLOOKUP(AB44,AlternativeD!A$17:M$66,12),Sheet1!D$75),IF(Sheet1!D$196=1," ","Alt  'D'  not feasible"))</f>
        <v>Alt  'D'  not feasible</v>
      </c>
      <c r="AF44" s="264" t="str">
        <f>IF(AB44&lt;=Sheet1!D$148, (1/((1+AF$10)^(AB44-0.5)))," ")</f>
        <v xml:space="preserve"> </v>
      </c>
      <c r="AG44" s="263" t="str">
        <f>IF(AND(Sheet1!D$193,AB44&lt;&gt;" "),ROUND(+AE44*AF44,Sheet1!D$75)," ")</f>
        <v xml:space="preserve"> </v>
      </c>
      <c r="AH44" s="264" t="str">
        <f>IF(AB44&lt;&gt;" ",ROUND(VLOOKUP(Sheet1!E$82,CHOOSE(Sheet1!D$215,Inflate1,Inflate2,Inflate3,Inflate4,Inflate5,Inflate6,Inflate7,Inflate8),2),4)," ")</f>
        <v xml:space="preserve"> </v>
      </c>
      <c r="AI44" s="264" t="str">
        <f>IF(AB44&lt;&gt;" ",ROUND(VLOOKUP(AC44,CHOOSE(Sheet1!D$212,Inflate1,Inflate2,Inflate3,Inflate4,Inflate5,Inflate6,Inflate7,Inflate8),3),4)," ")</f>
        <v xml:space="preserve"> </v>
      </c>
      <c r="AJ44" s="263" t="b">
        <f>IF(AND(Sheet1!D$193,AB44&lt;&gt;" "),IF(AND(O44&lt;=10,OR(Sheet1!D$8=2,Sheet1!D$8=3,Sheet1!D$22=3)),ROUND((AE44/AH44)*AI44,Sheet1!D$75),IF(AND(Sheet1!D$8&lt;&gt;2,Sheet1!D$8&lt;&gt;3,Sheet1!D$22&lt;&gt;3),ROUND((AE44/AH44)*AI44,Sheet1!D$75)," ")))</f>
        <v>0</v>
      </c>
    </row>
    <row r="45" spans="1:36" ht="12" customHeight="1" x14ac:dyDescent="0.2">
      <c r="A45" s="579" t="str">
        <f>IF(OR(Sheet1!D$192=1,Sheet1!D$193),IF(OR((A44&gt;=(Sheet1!D$148+$A$11)-1),AND(Sheet1!D$8=3,A44&gt;=6))," ",A44+1),NA())</f>
        <v xml:space="preserve"> </v>
      </c>
      <c r="B45" s="271" t="str">
        <f>IF(OR(Sheet1!D$192=1,Sheet1!D$196=1),IF(OR((B44&gt;=(Sheet1!D$148+$B$11)-1),AND(Sheet1!D$8=3,A44&gt;=6))," ",B44+1),NA())</f>
        <v xml:space="preserve"> </v>
      </c>
      <c r="C45" s="273"/>
      <c r="D45" s="263" t="str">
        <f>IF(AND(Sheet1!D$192=1,A45&lt;&gt;" "),ROUND(VLOOKUP(A45,StatusQuo!A$19:M$68,12),Sheet1!D$75),IF(Sheet1!D$192=1," ","SQ not feasible "))</f>
        <v xml:space="preserve"> </v>
      </c>
      <c r="E45" s="263" t="str">
        <f>IF(AND(Sheet1!D$196=1,A45&lt;&gt;" "),ROUND(VLOOKUP(A45,AlternativeD!A$110:M$159,12),Sheet1!D$75),IF(Sheet1!D$196=1," ","Alt  'D'  not feasible"))</f>
        <v>Alt  'D'  not feasible</v>
      </c>
      <c r="F45" s="263" t="str">
        <f>IF(AND(A45&lt;&gt;" ",Sheet1!D$192=1,Sheet1!D$193),D45-E45,IF(AND(Sheet1!D$193,A45&lt;&gt;" ")," "," "))</f>
        <v xml:space="preserve"> </v>
      </c>
      <c r="G45" s="264" t="str">
        <f>IF(A45&lt;=Sheet1!D$148, (1/((1+G$10)^(A45-0.5)))," ")</f>
        <v xml:space="preserve"> </v>
      </c>
      <c r="H45" s="263" t="str">
        <f>IF(AND(A45&lt;&gt;" ",Sheet1!D$192=1,Sheet1!D$193),ROUND(F45*G45,Sheet1!D$75),IF(AND(A45&lt;&gt;" ",Sheet1!D$193),ROUND(E45*G45,Sheet1!D$75)," "))</f>
        <v xml:space="preserve"> </v>
      </c>
      <c r="I45" s="264" t="str">
        <f>IF(A45&lt;&gt;" ",ROUND(VLOOKUP(Sheet1!E$82,CHOOSE(Sheet1!D$232,Inflate7,Inflate2,Inflate3,Inflate4,Inflate5,Inflate6,Inflate1,Inflate8),2),4)," ")</f>
        <v xml:space="preserve"> </v>
      </c>
      <c r="J45" s="264" t="str">
        <f>IF(A45&lt;&gt;" ",ROUND(VLOOKUP(B45,CHOOSE(Sheet1!D$235,Inflate7,Inflate2,Inflate3,Inflate4,Inflate5,Inflate6,Inflate1,Inflate8),3),4)," ")</f>
        <v xml:space="preserve"> </v>
      </c>
      <c r="K45" s="265" t="str">
        <f>IF(AND(A45&lt;&gt;" ",Sheet1!D$192=1,Sheet1!D$193),ROUND((F45/I45)*J45,Sheet1!D$75),IF(AND(A45&lt;&gt;" ",Sheet1!D$193),ROUND((E45/I45)*J45,Sheet1!D$75)," "))</f>
        <v xml:space="preserve"> </v>
      </c>
      <c r="L45" s="254" t="str">
        <f>IF(Sheet1!D$192=1,IF(AND(AA45&gt;AJ$61,AA44&lt;=AJ$61),"&lt;-Payback"," ")," ")</f>
        <v xml:space="preserve"> </v>
      </c>
      <c r="M45" s="271" t="str">
        <f>IF(OR(Sheet1!D$192=1,Sheet1!D$193),IF(OR((A44&gt;=(Sheet1!D$148+$A$11)-1),AND(Sheet1!D$8=3,A44&gt;=6))," ",A44+1),NA())</f>
        <v xml:space="preserve"> </v>
      </c>
      <c r="N45" s="271" t="str">
        <f>IF(OR(Sheet1!D$192=1,Sheet1!D$193),IF(OR((B44&gt;=(Sheet1!D$148+$B$11)-1),AND(Sheet1!D$8=3,A44&gt;=6))," ",B44+1),NA())</f>
        <v xml:space="preserve"> </v>
      </c>
      <c r="O45" s="266" t="e">
        <f>IF(AND(Sheet1!D$8=3,M45=" ")," ",IF(OR(Sheet1!D$192=1,Sheet1!D$196=1),IF(O44&gt;0,IF(AND(OR(Sheet1!D$8=2,Sheet1!D$22=3),O44&gt;=10)," ",O44+1),IF(NOT(Sheet1!D$192=1),0,IF(ROUND(VLOOKUP(A45,StatusQuo!A$19:M$68,13),Sheet1!D$75)-ROUND(VLOOKUP(A45,AlternativeD!A$110:M$159,13),Sheet1!D$75)&gt;0,1,0)))," "))</f>
        <v>#VALUE!</v>
      </c>
      <c r="P45" s="263" t="str">
        <f>IF(AND(A45&lt;&gt;" ",Sheet1!D$192=1,Sheet1!D$196=1),IF(AND(OR(Sheet1!D$8=2,Sheet1!D$22=3),O45&gt;10),0,ROUND(VLOOKUP(A45,StatusQuo!A$19:M$68,13),Sheet1!D$75)),IF(NOT(Sheet1!D$192=1),"not feasible",IF(A45=" "," ", "Savings is  n/a=&gt;")))</f>
        <v xml:space="preserve"> </v>
      </c>
      <c r="Q45" s="263" t="str">
        <f>IF(AND(A45&lt;&gt;" ",Sheet1!D$192=1,Sheet1!D$196=1),IF(AND(OR(Sheet1!D$8=2,Sheet1!D$22=3),O45&gt;10),0,ROUND(VLOOKUP(A45,AlternativeD!A$110:M$159,13),Sheet1!D$75)),IF(NOT(Sheet1!D$196=1),"not feasible",IF(A45=" "," ","&lt;== Savings is n/a")))</f>
        <v>not feasible</v>
      </c>
      <c r="R45" s="263" t="str">
        <f>IF(AND(A45&lt;&gt;" ",Sheet1!D$192=1,Sheet1!D$193),IF(G$81&lt;&gt;" ","??????? ",P45-Q45)," ")</f>
        <v xml:space="preserve"> </v>
      </c>
      <c r="S45" s="263" t="str">
        <f>IF(AND(A45&lt;&gt;" ",Sheet1!D$192=1,Sheet1!D$196=1),ROUND(R45*G45,Sheet1!D$75)," ")</f>
        <v xml:space="preserve"> </v>
      </c>
      <c r="T45" s="263" t="str">
        <f>IF(AND(A45&lt;&gt;" ",Sheet1!D$192=1,Sheet1!D$193),ROUND((R45/I45)*J45,Sheet1!D$75)," ")</f>
        <v xml:space="preserve"> </v>
      </c>
      <c r="U45" s="265">
        <f>SUM(T$11:T45)</f>
        <v>0</v>
      </c>
      <c r="V45" s="254" t="str">
        <f t="shared" si="0"/>
        <v xml:space="preserve"> </v>
      </c>
      <c r="W45" s="268"/>
      <c r="AA45" s="260"/>
      <c r="AB45" s="271" t="str">
        <f>IF(OR(Sheet1!D$192=1,Sheet1!D$193),IF(OR((AB44&gt;=(Sheet1!D$148+$A$11)-1),AND(Sheet1!D$8=3,AB44&gt;=6))," ",AB44+1),NA())</f>
        <v xml:space="preserve"> </v>
      </c>
      <c r="AC45" s="271" t="str">
        <f>IF(OR(Sheet1!D$192=1,Sheet1!D$193),IF(OR((AC44&gt;=(Sheet1!D$148+$B$11)-1),AND(Sheet1!D$8=3,AB44&gt;=6))," ",AC44+1),NA())</f>
        <v xml:space="preserve"> </v>
      </c>
      <c r="AD45" s="272"/>
      <c r="AE45" s="263" t="str">
        <f>IF(AND(Sheet1!D$196=1,AB45&lt;&gt;" "),ROUND(VLOOKUP(AB45,AlternativeD!A$17:M$66,12),Sheet1!D$75),IF(Sheet1!D$196=1," ","Alt  'D'  not feasible"))</f>
        <v>Alt  'D'  not feasible</v>
      </c>
      <c r="AF45" s="264" t="str">
        <f>IF(AB45&lt;=Sheet1!D$148, (1/((1+AF$10)^(AB45-0.5)))," ")</f>
        <v xml:space="preserve"> </v>
      </c>
      <c r="AG45" s="263" t="str">
        <f>IF(AND(Sheet1!D$193,AB45&lt;&gt;" "),ROUND(+AE45*AF45,Sheet1!D$75)," ")</f>
        <v xml:space="preserve"> </v>
      </c>
      <c r="AH45" s="264" t="str">
        <f>IF(AB45&lt;&gt;" ",ROUND(VLOOKUP(Sheet1!E$82,CHOOSE(Sheet1!D$215,Inflate1,Inflate2,Inflate3,Inflate4,Inflate5,Inflate6,Inflate7,Inflate8),2),4)," ")</f>
        <v xml:space="preserve"> </v>
      </c>
      <c r="AI45" s="264" t="str">
        <f>IF(AB45&lt;&gt;" ",ROUND(VLOOKUP(AC45,CHOOSE(Sheet1!D$212,Inflate1,Inflate2,Inflate3,Inflate4,Inflate5,Inflate6,Inflate7,Inflate8),3),4)," ")</f>
        <v xml:space="preserve"> </v>
      </c>
      <c r="AJ45" s="263" t="b">
        <f>IF(AND(Sheet1!D$193,AB45&lt;&gt;" "),IF(AND(O45&lt;=10,OR(Sheet1!D$8=2,Sheet1!D$8=3,Sheet1!D$22=3)),ROUND((AE45/AH45)*AI45,Sheet1!D$75),IF(AND(Sheet1!D$8&lt;&gt;2,Sheet1!D$8&lt;&gt;3,Sheet1!D$22&lt;&gt;3),ROUND((AE45/AH45)*AI45,Sheet1!D$75)," ")))</f>
        <v>0</v>
      </c>
    </row>
    <row r="46" spans="1:36" ht="12" customHeight="1" x14ac:dyDescent="0.2">
      <c r="A46" s="579" t="str">
        <f>IF(OR(Sheet1!D$192=1,Sheet1!D$193),IF(OR((A45&gt;=(Sheet1!D$148+$A$11)-1),AND(Sheet1!D$8=3,A45&gt;=6))," ",A45+1),NA())</f>
        <v xml:space="preserve"> </v>
      </c>
      <c r="B46" s="271" t="str">
        <f>IF(OR(Sheet1!D$192=1,Sheet1!D$196=1),IF(OR((B45&gt;=(Sheet1!D$148+$B$11)-1),AND(Sheet1!D$8=3,A45&gt;=6))," ",B45+1),NA())</f>
        <v xml:space="preserve"> </v>
      </c>
      <c r="C46" s="273"/>
      <c r="D46" s="263" t="str">
        <f>IF(AND(Sheet1!D$192=1,A46&lt;&gt;" "),ROUND(VLOOKUP(A46,StatusQuo!A$19:M$68,12),Sheet1!D$75),IF(Sheet1!D$192=1," ","SQ not feasible "))</f>
        <v xml:space="preserve"> </v>
      </c>
      <c r="E46" s="263" t="str">
        <f>IF(AND(Sheet1!D$196=1,A46&lt;&gt;" "),ROUND(VLOOKUP(A46,AlternativeD!A$110:M$159,12),Sheet1!D$75),IF(Sheet1!D$196=1," ","Alt  'D'  not feasible"))</f>
        <v>Alt  'D'  not feasible</v>
      </c>
      <c r="F46" s="263" t="str">
        <f>IF(AND(A46&lt;&gt;" ",Sheet1!D$192=1,Sheet1!D$193),D46-E46,IF(AND(Sheet1!D$193,A46&lt;&gt;" ")," "," "))</f>
        <v xml:space="preserve"> </v>
      </c>
      <c r="G46" s="264" t="str">
        <f>IF(A46&lt;=Sheet1!D$148, (1/((1+G$10)^(A46-0.5)))," ")</f>
        <v xml:space="preserve"> </v>
      </c>
      <c r="H46" s="263" t="str">
        <f>IF(AND(A46&lt;&gt;" ",Sheet1!D$192=1,Sheet1!D$193),ROUND(F46*G46,Sheet1!D$75),IF(AND(A46&lt;&gt;" ",Sheet1!D$193),ROUND(E46*G46,Sheet1!D$75)," "))</f>
        <v xml:space="preserve"> </v>
      </c>
      <c r="I46" s="264" t="str">
        <f>IF(A46&lt;&gt;" ",ROUND(VLOOKUP(Sheet1!E$82,CHOOSE(Sheet1!D$232,Inflate7,Inflate2,Inflate3,Inflate4,Inflate5,Inflate6,Inflate1,Inflate8),2),4)," ")</f>
        <v xml:space="preserve"> </v>
      </c>
      <c r="J46" s="264" t="str">
        <f>IF(A46&lt;&gt;" ",ROUND(VLOOKUP(B46,CHOOSE(Sheet1!D$235,Inflate7,Inflate2,Inflate3,Inflate4,Inflate5,Inflate6,Inflate1,Inflate8),3),4)," ")</f>
        <v xml:space="preserve"> </v>
      </c>
      <c r="K46" s="265" t="str">
        <f>IF(AND(A46&lt;&gt;" ",Sheet1!D$192=1,Sheet1!D$193),ROUND((F46/I46)*J46,Sheet1!D$75),IF(AND(A46&lt;&gt;" ",Sheet1!D$193),ROUND((E46/I46)*J46,Sheet1!D$75)," "))</f>
        <v xml:space="preserve"> </v>
      </c>
      <c r="L46" s="254" t="str">
        <f>IF(Sheet1!D$192=1,IF(AND(AA46&gt;AJ$61,AA45&lt;=AJ$61),"&lt;-Payback"," ")," ")</f>
        <v xml:space="preserve"> </v>
      </c>
      <c r="M46" s="271" t="str">
        <f>IF(OR(Sheet1!D$192=1,Sheet1!D$193),IF(OR((A45&gt;=(Sheet1!D$148+$A$11)-1),AND(Sheet1!D$8=3,A45&gt;=6))," ",A45+1),NA())</f>
        <v xml:space="preserve"> </v>
      </c>
      <c r="N46" s="271" t="str">
        <f>IF(OR(Sheet1!D$192=1,Sheet1!D$193),IF(OR((B45&gt;=(Sheet1!D$148+$B$11)-1),AND(Sheet1!D$8=3,A45&gt;=6))," ",B45+1),NA())</f>
        <v xml:space="preserve"> </v>
      </c>
      <c r="O46" s="266" t="e">
        <f>IF(AND(Sheet1!D$8=3,M46=" ")," ",IF(OR(Sheet1!D$192=1,Sheet1!D$196=1),IF(O45&gt;0,IF(AND(OR(Sheet1!D$8=2,Sheet1!D$22=3),O45&gt;=10)," ",O45+1),IF(NOT(Sheet1!D$192=1),0,IF(ROUND(VLOOKUP(A46,StatusQuo!A$19:M$68,13),Sheet1!D$75)-ROUND(VLOOKUP(A46,AlternativeD!A$110:M$159,13),Sheet1!D$75)&gt;0,1,0)))," "))</f>
        <v>#VALUE!</v>
      </c>
      <c r="P46" s="263" t="str">
        <f>IF(AND(A46&lt;&gt;" ",Sheet1!D$192=1,Sheet1!D$196=1),IF(AND(OR(Sheet1!D$8=2,Sheet1!D$22=3),O46&gt;10),0,ROUND(VLOOKUP(A46,StatusQuo!A$19:M$68,13),Sheet1!D$75)),IF(NOT(Sheet1!D$192=1),"not feasible",IF(A46=" "," ", "Savings is  n/a=&gt;")))</f>
        <v xml:space="preserve"> </v>
      </c>
      <c r="Q46" s="263" t="str">
        <f>IF(AND(A46&lt;&gt;" ",Sheet1!D$192=1,Sheet1!D$196=1),IF(AND(OR(Sheet1!D$8=2,Sheet1!D$22=3),O46&gt;10),0,ROUND(VLOOKUP(A46,AlternativeD!A$110:M$159,13),Sheet1!D$75)),IF(NOT(Sheet1!D$196=1),"not feasible",IF(A46=" "," ","&lt;== Savings is n/a")))</f>
        <v>not feasible</v>
      </c>
      <c r="R46" s="263" t="str">
        <f>IF(AND(A46&lt;&gt;" ",Sheet1!D$192=1,Sheet1!D$193),IF(G$81&lt;&gt;" ","??????? ",P46-Q46)," ")</f>
        <v xml:space="preserve"> </v>
      </c>
      <c r="S46" s="263" t="str">
        <f>IF(AND(A46&lt;&gt;" ",Sheet1!D$192=1,Sheet1!D$196=1),ROUND(R46*G46,Sheet1!D$75)," ")</f>
        <v xml:space="preserve"> </v>
      </c>
      <c r="T46" s="263" t="str">
        <f>IF(AND(A46&lt;&gt;" ",Sheet1!D$192=1,Sheet1!D$193),ROUND((R46/I46)*J46,Sheet1!D$75)," ")</f>
        <v xml:space="preserve"> </v>
      </c>
      <c r="U46" s="265">
        <f>SUM(T$11:T46)</f>
        <v>0</v>
      </c>
      <c r="V46" s="254" t="str">
        <f t="shared" si="0"/>
        <v xml:space="preserve"> </v>
      </c>
      <c r="W46" s="268"/>
      <c r="AA46" s="260"/>
      <c r="AB46" s="271" t="str">
        <f>IF(OR(Sheet1!D$192=1,Sheet1!D$193),IF(OR((AB45&gt;=(Sheet1!D$148+$A$11)-1),AND(Sheet1!D$8=3,AB45&gt;=6))," ",AB45+1),NA())</f>
        <v xml:space="preserve"> </v>
      </c>
      <c r="AC46" s="271" t="str">
        <f>IF(OR(Sheet1!D$192=1,Sheet1!D$193),IF(OR((AC45&gt;=(Sheet1!D$148+$B$11)-1),AND(Sheet1!D$8=3,AB45&gt;=6))," ",AC45+1),NA())</f>
        <v xml:space="preserve"> </v>
      </c>
      <c r="AD46" s="272"/>
      <c r="AE46" s="263" t="str">
        <f>IF(AND(Sheet1!D$196=1,AB46&lt;&gt;" "),ROUND(VLOOKUP(AB46,AlternativeD!A$17:M$66,12),Sheet1!D$75),IF(Sheet1!D$196=1," ","Alt  'D'  not feasible"))</f>
        <v>Alt  'D'  not feasible</v>
      </c>
      <c r="AF46" s="264" t="str">
        <f>IF(AB46&lt;=Sheet1!D$148, (1/((1+AF$10)^(AB46-0.5)))," ")</f>
        <v xml:space="preserve"> </v>
      </c>
      <c r="AG46" s="263" t="str">
        <f>IF(AND(Sheet1!D$193,AB46&lt;&gt;" "),ROUND(+AE46*AF46,Sheet1!D$75)," ")</f>
        <v xml:space="preserve"> </v>
      </c>
      <c r="AH46" s="264" t="str">
        <f>IF(AB46&lt;&gt;" ",ROUND(VLOOKUP(Sheet1!E$82,CHOOSE(Sheet1!D$215,Inflate1,Inflate2,Inflate3,Inflate4,Inflate5,Inflate6,Inflate7,Inflate8),2),4)," ")</f>
        <v xml:space="preserve"> </v>
      </c>
      <c r="AI46" s="264" t="str">
        <f>IF(AB46&lt;&gt;" ",ROUND(VLOOKUP(AC46,CHOOSE(Sheet1!D$212,Inflate1,Inflate2,Inflate3,Inflate4,Inflate5,Inflate6,Inflate7,Inflate8),3),4)," ")</f>
        <v xml:space="preserve"> </v>
      </c>
      <c r="AJ46" s="263" t="b">
        <f>IF(AND(Sheet1!D$193,AB46&lt;&gt;" "),IF(AND(O46&lt;=10,OR(Sheet1!D$8=2,Sheet1!D$8=3,Sheet1!D$22=3)),ROUND((AE46/AH46)*AI46,Sheet1!D$75),IF(AND(Sheet1!D$8&lt;&gt;2,Sheet1!D$8&lt;&gt;3,Sheet1!D$22&lt;&gt;3),ROUND((AE46/AH46)*AI46,Sheet1!D$75)," ")))</f>
        <v>0</v>
      </c>
    </row>
    <row r="47" spans="1:36" ht="12" customHeight="1" x14ac:dyDescent="0.2">
      <c r="A47" s="579" t="str">
        <f>IF(OR(Sheet1!D$192=1,Sheet1!D$193),IF(OR((A46&gt;=(Sheet1!D$148+$A$11)-1),AND(Sheet1!D$8=3,A46&gt;=6))," ",A46+1),NA())</f>
        <v xml:space="preserve"> </v>
      </c>
      <c r="B47" s="271" t="str">
        <f>IF(OR(Sheet1!D$192=1,Sheet1!D$196=1),IF(OR((B46&gt;=(Sheet1!D$148+$B$11)-1),AND(Sheet1!D$8=3,A46&gt;=6))," ",B46+1),NA())</f>
        <v xml:space="preserve"> </v>
      </c>
      <c r="C47" s="273"/>
      <c r="D47" s="263" t="str">
        <f>IF(AND(Sheet1!D$192=1,A47&lt;&gt;" "),ROUND(VLOOKUP(A47,StatusQuo!A$19:M$68,12),Sheet1!D$75),IF(Sheet1!D$192=1," ","SQ not feasible "))</f>
        <v xml:space="preserve"> </v>
      </c>
      <c r="E47" s="263" t="str">
        <f>IF(AND(Sheet1!D$196=1,A47&lt;&gt;" "),ROUND(VLOOKUP(A47,AlternativeD!A$110:M$159,12),Sheet1!D$75),IF(Sheet1!D$196=1," ","Alt  'D'  not feasible"))</f>
        <v>Alt  'D'  not feasible</v>
      </c>
      <c r="F47" s="263" t="str">
        <f>IF(AND(A47&lt;&gt;" ",Sheet1!D$192=1,Sheet1!D$193),D47-E47,IF(AND(Sheet1!D$193,A47&lt;&gt;" ")," "," "))</f>
        <v xml:space="preserve"> </v>
      </c>
      <c r="G47" s="264" t="str">
        <f>IF(A47&lt;=Sheet1!D$148, (1/((1+G$10)^(A47-0.5)))," ")</f>
        <v xml:space="preserve"> </v>
      </c>
      <c r="H47" s="263" t="str">
        <f>IF(AND(A47&lt;&gt;" ",Sheet1!D$192=1,Sheet1!D$193),ROUND(F47*G47,Sheet1!D$75),IF(AND(A47&lt;&gt;" ",Sheet1!D$193),ROUND(E47*G47,Sheet1!D$75)," "))</f>
        <v xml:space="preserve"> </v>
      </c>
      <c r="I47" s="264" t="str">
        <f>IF(A47&lt;&gt;" ",ROUND(VLOOKUP(Sheet1!E$82,CHOOSE(Sheet1!D$232,Inflate7,Inflate2,Inflate3,Inflate4,Inflate5,Inflate6,Inflate1,Inflate8),2),4)," ")</f>
        <v xml:space="preserve"> </v>
      </c>
      <c r="J47" s="264" t="str">
        <f>IF(A47&lt;&gt;" ",ROUND(VLOOKUP(B47,CHOOSE(Sheet1!D$235,Inflate7,Inflate2,Inflate3,Inflate4,Inflate5,Inflate6,Inflate1,Inflate8),3),4)," ")</f>
        <v xml:space="preserve"> </v>
      </c>
      <c r="K47" s="265" t="str">
        <f>IF(AND(A47&lt;&gt;" ",Sheet1!D$192=1,Sheet1!D$193),ROUND((F47/I47)*J47,Sheet1!D$75),IF(AND(A47&lt;&gt;" ",Sheet1!D$193),ROUND((E47/I47)*J47,Sheet1!D$75)," "))</f>
        <v xml:space="preserve"> </v>
      </c>
      <c r="L47" s="254" t="str">
        <f>IF(Sheet1!D$192=1,IF(AND(AA47&gt;AJ$61,AA46&lt;=AJ$61),"&lt;-Payback"," ")," ")</f>
        <v xml:space="preserve"> </v>
      </c>
      <c r="M47" s="271" t="str">
        <f>IF(OR(Sheet1!D$192=1,Sheet1!D$193),IF(OR((A46&gt;=(Sheet1!D$148+$A$11)-1),AND(Sheet1!D$8=3,A46&gt;=6))," ",A46+1),NA())</f>
        <v xml:space="preserve"> </v>
      </c>
      <c r="N47" s="271" t="str">
        <f>IF(OR(Sheet1!D$192=1,Sheet1!D$193),IF(OR((B46&gt;=(Sheet1!D$148+$B$11)-1),AND(Sheet1!D$8=3,A46&gt;=6))," ",B46+1),NA())</f>
        <v xml:space="preserve"> </v>
      </c>
      <c r="O47" s="266" t="e">
        <f>IF(AND(Sheet1!D$8=3,M47=" ")," ",IF(OR(Sheet1!D$192=1,Sheet1!D$196=1),IF(O46&gt;0,IF(AND(OR(Sheet1!D$8=2,Sheet1!D$22=3),O46&gt;=10)," ",O46+1),IF(NOT(Sheet1!D$192=1),0,IF(ROUND(VLOOKUP(A47,StatusQuo!A$19:M$68,13),Sheet1!D$75)-ROUND(VLOOKUP(A47,AlternativeD!A$110:M$159,13),Sheet1!D$75)&gt;0,1,0)))," "))</f>
        <v>#VALUE!</v>
      </c>
      <c r="P47" s="263" t="str">
        <f>IF(AND(A47&lt;&gt;" ",Sheet1!D$192=1,Sheet1!D$196=1),IF(AND(OR(Sheet1!D$8=2,Sheet1!D$22=3),O47&gt;10),0,ROUND(VLOOKUP(A47,StatusQuo!A$19:M$68,13),Sheet1!D$75)),IF(NOT(Sheet1!D$192=1),"not feasible",IF(A47=" "," ", "Savings is  n/a=&gt;")))</f>
        <v xml:space="preserve"> </v>
      </c>
      <c r="Q47" s="263" t="str">
        <f>IF(AND(A47&lt;&gt;" ",Sheet1!D$192=1,Sheet1!D$196=1),IF(AND(OR(Sheet1!D$8=2,Sheet1!D$22=3),O47&gt;10),0,ROUND(VLOOKUP(A47,AlternativeD!A$110:M$159,13),Sheet1!D$75)),IF(NOT(Sheet1!D$196=1),"not feasible",IF(A47=" "," ","&lt;== Savings is n/a")))</f>
        <v>not feasible</v>
      </c>
      <c r="R47" s="263" t="str">
        <f>IF(AND(A47&lt;&gt;" ",Sheet1!D$192=1,Sheet1!D$193),IF(G$81&lt;&gt;" ","??????? ",P47-Q47)," ")</f>
        <v xml:space="preserve"> </v>
      </c>
      <c r="S47" s="263" t="str">
        <f>IF(AND(A47&lt;&gt;" ",Sheet1!D$192=1,Sheet1!D$196=1),ROUND(R47*G47,Sheet1!D$75)," ")</f>
        <v xml:space="preserve"> </v>
      </c>
      <c r="T47" s="263" t="str">
        <f>IF(AND(A47&lt;&gt;" ",Sheet1!D$192=1,Sheet1!D$193),ROUND((R47/I47)*J47,Sheet1!D$75)," ")</f>
        <v xml:space="preserve"> </v>
      </c>
      <c r="U47" s="265">
        <f>SUM(T$11:T47)</f>
        <v>0</v>
      </c>
      <c r="V47" s="254" t="str">
        <f t="shared" si="0"/>
        <v xml:space="preserve"> </v>
      </c>
      <c r="W47" s="268"/>
      <c r="AA47" s="260"/>
      <c r="AB47" s="271" t="str">
        <f>IF(OR(Sheet1!D$192=1,Sheet1!D$193),IF(OR((AB46&gt;=(Sheet1!D$148+$A$11)-1),AND(Sheet1!D$8=3,AB46&gt;=6))," ",AB46+1),NA())</f>
        <v xml:space="preserve"> </v>
      </c>
      <c r="AC47" s="271" t="str">
        <f>IF(OR(Sheet1!D$192=1,Sheet1!D$193),IF(OR((AC46&gt;=(Sheet1!D$148+$B$11)-1),AND(Sheet1!D$8=3,AB46&gt;=6))," ",AC46+1),NA())</f>
        <v xml:space="preserve"> </v>
      </c>
      <c r="AD47" s="272"/>
      <c r="AE47" s="263" t="str">
        <f>IF(AND(Sheet1!D$196=1,AB47&lt;&gt;" "),ROUND(VLOOKUP(AB47,AlternativeD!A$17:M$66,12),Sheet1!D$75),IF(Sheet1!D$196=1," ","Alt  'D'  not feasible"))</f>
        <v>Alt  'D'  not feasible</v>
      </c>
      <c r="AF47" s="264" t="str">
        <f>IF(AB47&lt;=Sheet1!D$148, (1/((1+AF$10)^(AB47-0.5)))," ")</f>
        <v xml:space="preserve"> </v>
      </c>
      <c r="AG47" s="263" t="str">
        <f>IF(AND(Sheet1!D$193,AB47&lt;&gt;" "),ROUND(+AE47*AF47,Sheet1!D$75)," ")</f>
        <v xml:space="preserve"> </v>
      </c>
      <c r="AH47" s="264" t="str">
        <f>IF(AB47&lt;&gt;" ",ROUND(VLOOKUP(Sheet1!E$82,CHOOSE(Sheet1!D$215,Inflate1,Inflate2,Inflate3,Inflate4,Inflate5,Inflate6,Inflate7,Inflate8),2),4)," ")</f>
        <v xml:space="preserve"> </v>
      </c>
      <c r="AI47" s="264" t="str">
        <f>IF(AB47&lt;&gt;" ",ROUND(VLOOKUP(AC47,CHOOSE(Sheet1!D$212,Inflate1,Inflate2,Inflate3,Inflate4,Inflate5,Inflate6,Inflate7,Inflate8),3),4)," ")</f>
        <v xml:space="preserve"> </v>
      </c>
      <c r="AJ47" s="263" t="b">
        <f>IF(AND(Sheet1!D$193,AB47&lt;&gt;" "),IF(AND(O47&lt;=10,OR(Sheet1!D$8=2,Sheet1!D$8=3,Sheet1!D$22=3)),ROUND((AE47/AH47)*AI47,Sheet1!D$75),IF(AND(Sheet1!D$8&lt;&gt;2,Sheet1!D$8&lt;&gt;3,Sheet1!D$22&lt;&gt;3),ROUND((AE47/AH47)*AI47,Sheet1!D$75)," ")))</f>
        <v>0</v>
      </c>
    </row>
    <row r="48" spans="1:36" ht="12" customHeight="1" x14ac:dyDescent="0.2">
      <c r="A48" s="579" t="str">
        <f>IF(OR(Sheet1!D$192=1,Sheet1!D$193),IF(OR((A47&gt;=(Sheet1!D$148+$A$11)-1),AND(Sheet1!D$8=3,A47&gt;=6))," ",A47+1),NA())</f>
        <v xml:space="preserve"> </v>
      </c>
      <c r="B48" s="271" t="str">
        <f>IF(OR(Sheet1!D$192=1,Sheet1!D$196=1),IF(OR((B47&gt;=(Sheet1!D$148+$B$11)-1),AND(Sheet1!D$8=3,A47&gt;=6))," ",B47+1),NA())</f>
        <v xml:space="preserve"> </v>
      </c>
      <c r="C48" s="273"/>
      <c r="D48" s="263" t="str">
        <f>IF(AND(Sheet1!D$192=1,A48&lt;&gt;" "),ROUND(VLOOKUP(A48,StatusQuo!A$19:M$68,12),Sheet1!D$75),IF(Sheet1!D$192=1," ","SQ not feasible "))</f>
        <v xml:space="preserve"> </v>
      </c>
      <c r="E48" s="263" t="str">
        <f>IF(AND(Sheet1!D$196=1,A48&lt;&gt;" "),ROUND(VLOOKUP(A48,AlternativeD!A$110:M$159,12),Sheet1!D$75),IF(Sheet1!D$196=1," ","Alt  'D'  not feasible"))</f>
        <v>Alt  'D'  not feasible</v>
      </c>
      <c r="F48" s="263" t="str">
        <f>IF(AND(A48&lt;&gt;" ",Sheet1!D$192=1,Sheet1!D$193),D48-E48,IF(AND(Sheet1!D$193,A48&lt;&gt;" ")," "," "))</f>
        <v xml:space="preserve"> </v>
      </c>
      <c r="G48" s="264" t="str">
        <f>IF(A48&lt;=Sheet1!D$148, (1/((1+G$10)^(A48-0.5)))," ")</f>
        <v xml:space="preserve"> </v>
      </c>
      <c r="H48" s="263" t="str">
        <f>IF(AND(A48&lt;&gt;" ",Sheet1!D$192=1,Sheet1!D$193),ROUND(F48*G48,Sheet1!D$75),IF(AND(A48&lt;&gt;" ",Sheet1!D$193),ROUND(E48*G48,Sheet1!D$75)," "))</f>
        <v xml:space="preserve"> </v>
      </c>
      <c r="I48" s="264" t="str">
        <f>IF(A48&lt;&gt;" ",ROUND(VLOOKUP(Sheet1!E$82,CHOOSE(Sheet1!D$232,Inflate7,Inflate2,Inflate3,Inflate4,Inflate5,Inflate6,Inflate1,Inflate8),2),4)," ")</f>
        <v xml:space="preserve"> </v>
      </c>
      <c r="J48" s="264" t="str">
        <f>IF(A48&lt;&gt;" ",ROUND(VLOOKUP(B48,CHOOSE(Sheet1!D$235,Inflate7,Inflate2,Inflate3,Inflate4,Inflate5,Inflate6,Inflate1,Inflate8),3),4)," ")</f>
        <v xml:space="preserve"> </v>
      </c>
      <c r="K48" s="265" t="str">
        <f>IF(AND(A48&lt;&gt;" ",Sheet1!D$192=1,Sheet1!D$193),ROUND((F48/I48)*J48,Sheet1!D$75),IF(AND(A48&lt;&gt;" ",Sheet1!D$193),ROUND((E48/I48)*J48,Sheet1!D$75)," "))</f>
        <v xml:space="preserve"> </v>
      </c>
      <c r="L48" s="254" t="str">
        <f>IF(Sheet1!D$192=1,IF(AND(AA48&gt;AJ$61,AA47&lt;=AJ$61),"&lt;-Payback"," ")," ")</f>
        <v xml:space="preserve"> </v>
      </c>
      <c r="M48" s="271" t="str">
        <f>IF(OR(Sheet1!D$192=1,Sheet1!D$193),IF(OR((A47&gt;=(Sheet1!D$148+$A$11)-1),AND(Sheet1!D$8=3,A47&gt;=6))," ",A47+1),NA())</f>
        <v xml:space="preserve"> </v>
      </c>
      <c r="N48" s="271" t="str">
        <f>IF(OR(Sheet1!D$192=1,Sheet1!D$193),IF(OR((B47&gt;=(Sheet1!D$148+$B$11)-1),AND(Sheet1!D$8=3,A47&gt;=6))," ",B47+1),NA())</f>
        <v xml:space="preserve"> </v>
      </c>
      <c r="O48" s="266" t="e">
        <f>IF(AND(Sheet1!D$8=3,M48=" ")," ",IF(OR(Sheet1!D$192=1,Sheet1!D$196=1),IF(O47&gt;0,IF(AND(OR(Sheet1!D$8=2,Sheet1!D$22=3),O47&gt;=10)," ",O47+1),IF(NOT(Sheet1!D$192=1),0,IF(ROUND(VLOOKUP(A48,StatusQuo!A$19:M$68,13),Sheet1!D$75)-ROUND(VLOOKUP(A48,AlternativeD!A$110:M$159,13),Sheet1!D$75)&gt;0,1,0)))," "))</f>
        <v>#VALUE!</v>
      </c>
      <c r="P48" s="263" t="str">
        <f>IF(AND(A48&lt;&gt;" ",Sheet1!D$192=1,Sheet1!D$196=1),IF(AND(OR(Sheet1!D$8=2,Sheet1!D$22=3),O48&gt;10),0,ROUND(VLOOKUP(A48,StatusQuo!A$19:M$68,13),Sheet1!D$75)),IF(NOT(Sheet1!D$192=1),"not feasible",IF(A48=" "," ", "Savings is  n/a=&gt;")))</f>
        <v xml:space="preserve"> </v>
      </c>
      <c r="Q48" s="263" t="str">
        <f>IF(AND(A48&lt;&gt;" ",Sheet1!D$192=1,Sheet1!D$196=1),IF(AND(OR(Sheet1!D$8=2,Sheet1!D$22=3),O48&gt;10),0,ROUND(VLOOKUP(A48,AlternativeD!A$110:M$159,13),Sheet1!D$75)),IF(NOT(Sheet1!D$196=1),"not feasible",IF(A48=" "," ","&lt;== Savings is n/a")))</f>
        <v>not feasible</v>
      </c>
      <c r="R48" s="263" t="str">
        <f>IF(AND(A48&lt;&gt;" ",Sheet1!D$192=1,Sheet1!D$193),IF(G$81&lt;&gt;" ","??????? ",P48-Q48)," ")</f>
        <v xml:space="preserve"> </v>
      </c>
      <c r="S48" s="263" t="str">
        <f>IF(AND(A48&lt;&gt;" ",Sheet1!D$192=1,Sheet1!D$196=1),ROUND(R48*G48,Sheet1!D$75)," ")</f>
        <v xml:space="preserve"> </v>
      </c>
      <c r="T48" s="263" t="str">
        <f>IF(AND(A48&lt;&gt;" ",Sheet1!D$192=1,Sheet1!D$193),ROUND((R48/I48)*J48,Sheet1!D$75)," ")</f>
        <v xml:space="preserve"> </v>
      </c>
      <c r="U48" s="265">
        <f>SUM(T$11:T48)</f>
        <v>0</v>
      </c>
      <c r="V48" s="254" t="str">
        <f t="shared" si="0"/>
        <v xml:space="preserve"> </v>
      </c>
      <c r="W48" s="268"/>
      <c r="AA48" s="260"/>
      <c r="AB48" s="271" t="str">
        <f>IF(OR(Sheet1!D$192=1,Sheet1!D$193),IF(OR((AB47&gt;=(Sheet1!D$148+$A$11)-1),AND(Sheet1!D$8=3,AB47&gt;=6))," ",AB47+1),NA())</f>
        <v xml:space="preserve"> </v>
      </c>
      <c r="AC48" s="271" t="str">
        <f>IF(OR(Sheet1!D$192=1,Sheet1!D$193),IF(OR((AC47&gt;=(Sheet1!D$148+$B$11)-1),AND(Sheet1!D$8=3,AB47&gt;=6))," ",AC47+1),NA())</f>
        <v xml:space="preserve"> </v>
      </c>
      <c r="AD48" s="272"/>
      <c r="AE48" s="263" t="str">
        <f>IF(AND(Sheet1!D$196=1,AB48&lt;&gt;" "),ROUND(VLOOKUP(AB48,AlternativeD!A$17:M$66,12),Sheet1!D$75),IF(Sheet1!D$196=1," ","Alt  'D'  not feasible"))</f>
        <v>Alt  'D'  not feasible</v>
      </c>
      <c r="AF48" s="264" t="str">
        <f>IF(AB48&lt;=Sheet1!D$148, (1/((1+AF$10)^(AB48-0.5)))," ")</f>
        <v xml:space="preserve"> </v>
      </c>
      <c r="AG48" s="263" t="str">
        <f>IF(AND(Sheet1!D$193,AB48&lt;&gt;" "),ROUND(+AE48*AF48,Sheet1!D$75)," ")</f>
        <v xml:space="preserve"> </v>
      </c>
      <c r="AH48" s="264" t="str">
        <f>IF(AB48&lt;&gt;" ",ROUND(VLOOKUP(Sheet1!E$82,CHOOSE(Sheet1!D$215,Inflate1,Inflate2,Inflate3,Inflate4,Inflate5,Inflate6,Inflate7,Inflate8),2),4)," ")</f>
        <v xml:space="preserve"> </v>
      </c>
      <c r="AI48" s="264" t="str">
        <f>IF(AB48&lt;&gt;" ",ROUND(VLOOKUP(AC48,CHOOSE(Sheet1!D$212,Inflate1,Inflate2,Inflate3,Inflate4,Inflate5,Inflate6,Inflate7,Inflate8),3),4)," ")</f>
        <v xml:space="preserve"> </v>
      </c>
      <c r="AJ48" s="263" t="b">
        <f>IF(AND(Sheet1!D$193,AB48&lt;&gt;" "),IF(AND(O48&lt;=10,OR(Sheet1!D$8=2,Sheet1!D$8=3,Sheet1!D$22=3)),ROUND((AE48/AH48)*AI48,Sheet1!D$75),IF(AND(Sheet1!D$8&lt;&gt;2,Sheet1!D$8&lt;&gt;3,Sheet1!D$22&lt;&gt;3),ROUND((AE48/AH48)*AI48,Sheet1!D$75)," ")))</f>
        <v>0</v>
      </c>
    </row>
    <row r="49" spans="1:36" ht="12" customHeight="1" x14ac:dyDescent="0.2">
      <c r="A49" s="579" t="str">
        <f>IF(OR(Sheet1!D$192=1,Sheet1!D$193),IF(OR((A48&gt;=(Sheet1!D$148+$A$11)-1),AND(Sheet1!D$8=3,A48&gt;=6))," ",A48+1),NA())</f>
        <v xml:space="preserve"> </v>
      </c>
      <c r="B49" s="271" t="str">
        <f>IF(OR(Sheet1!D$192=1,Sheet1!D$196=1),IF(OR((B48&gt;=(Sheet1!D$148+$B$11)-1),AND(Sheet1!D$8=3,A48&gt;=6))," ",B48+1),NA())</f>
        <v xml:space="preserve"> </v>
      </c>
      <c r="C49" s="273"/>
      <c r="D49" s="263" t="str">
        <f>IF(AND(Sheet1!D$192=1,A49&lt;&gt;" "),ROUND(VLOOKUP(A49,StatusQuo!A$19:M$68,12),Sheet1!D$75),IF(Sheet1!D$192=1," ","SQ not feasible "))</f>
        <v xml:space="preserve"> </v>
      </c>
      <c r="E49" s="263" t="str">
        <f>IF(AND(Sheet1!D$196=1,A49&lt;&gt;" "),ROUND(VLOOKUP(A49,AlternativeD!A$110:M$159,12),Sheet1!D$75),IF(Sheet1!D$196=1," ","Alt  'D'  not feasible"))</f>
        <v>Alt  'D'  not feasible</v>
      </c>
      <c r="F49" s="263" t="str">
        <f>IF(AND(A49&lt;&gt;" ",Sheet1!D$192=1,Sheet1!D$193),D49-E49,IF(AND(Sheet1!D$193,A49&lt;&gt;" ")," "," "))</f>
        <v xml:space="preserve"> </v>
      </c>
      <c r="G49" s="264" t="str">
        <f>IF(A49&lt;=Sheet1!D$148, (1/((1+G$10)^(A49-0.5)))," ")</f>
        <v xml:space="preserve"> </v>
      </c>
      <c r="H49" s="263" t="str">
        <f>IF(AND(A49&lt;&gt;" ",Sheet1!D$192=1,Sheet1!D$193),ROUND(F49*G49,Sheet1!D$75),IF(AND(A49&lt;&gt;" ",Sheet1!D$193),ROUND(E49*G49,Sheet1!D$75)," "))</f>
        <v xml:space="preserve"> </v>
      </c>
      <c r="I49" s="264" t="str">
        <f>IF(A49&lt;&gt;" ",ROUND(VLOOKUP(Sheet1!E$82,CHOOSE(Sheet1!D$232,Inflate7,Inflate2,Inflate3,Inflate4,Inflate5,Inflate6,Inflate1,Inflate8),2),4)," ")</f>
        <v xml:space="preserve"> </v>
      </c>
      <c r="J49" s="264" t="str">
        <f>IF(A49&lt;&gt;" ",ROUND(VLOOKUP(B49,CHOOSE(Sheet1!D$235,Inflate7,Inflate2,Inflate3,Inflate4,Inflate5,Inflate6,Inflate1,Inflate8),3),4)," ")</f>
        <v xml:space="preserve"> </v>
      </c>
      <c r="K49" s="265" t="str">
        <f>IF(AND(A49&lt;&gt;" ",Sheet1!D$192=1,Sheet1!D$193),ROUND((F49/I49)*J49,Sheet1!D$75),IF(AND(A49&lt;&gt;" ",Sheet1!D$193),ROUND((E49/I49)*J49,Sheet1!D$75)," "))</f>
        <v xml:space="preserve"> </v>
      </c>
      <c r="L49" s="254" t="str">
        <f>IF(Sheet1!D$192=1,IF(AND(AA49&gt;AJ$61,AA48&lt;=AJ$61),"&lt;-Payback"," ")," ")</f>
        <v xml:space="preserve"> </v>
      </c>
      <c r="M49" s="271" t="str">
        <f>IF(OR(Sheet1!D$192=1,Sheet1!D$193),IF(OR((A48&gt;=(Sheet1!D$148+$A$11)-1),AND(Sheet1!D$8=3,A48&gt;=6))," ",A48+1),NA())</f>
        <v xml:space="preserve"> </v>
      </c>
      <c r="N49" s="271" t="str">
        <f>IF(OR(Sheet1!D$192=1,Sheet1!D$193),IF(OR((B48&gt;=(Sheet1!D$148+$B$11)-1),AND(Sheet1!D$8=3,A48&gt;=6))," ",B48+1),NA())</f>
        <v xml:space="preserve"> </v>
      </c>
      <c r="O49" s="266" t="e">
        <f>IF(AND(Sheet1!D$8=3,M49=" ")," ",IF(OR(Sheet1!D$192=1,Sheet1!D$196=1),IF(O48&gt;0,IF(AND(OR(Sheet1!D$8=2,Sheet1!D$22=3),O48&gt;=10)," ",O48+1),IF(NOT(Sheet1!D$192=1),0,IF(ROUND(VLOOKUP(A49,StatusQuo!A$19:M$68,13),Sheet1!D$75)-ROUND(VLOOKUP(A49,AlternativeD!A$110:M$159,13),Sheet1!D$75)&gt;0,1,0)))," "))</f>
        <v>#VALUE!</v>
      </c>
      <c r="P49" s="263" t="str">
        <f>IF(AND(A49&lt;&gt;" ",Sheet1!D$192=1,Sheet1!D$196=1),IF(AND(OR(Sheet1!D$8=2,Sheet1!D$22=3),O49&gt;10),0,ROUND(VLOOKUP(A49,StatusQuo!A$19:M$68,13),Sheet1!D$75)),IF(NOT(Sheet1!D$192=1),"not feasible",IF(A49=" "," ", "Savings is  n/a=&gt;")))</f>
        <v xml:space="preserve"> </v>
      </c>
      <c r="Q49" s="263" t="str">
        <f>IF(AND(A49&lt;&gt;" ",Sheet1!D$192=1,Sheet1!D$196=1),IF(AND(OR(Sheet1!D$8=2,Sheet1!D$22=3),O49&gt;10),0,ROUND(VLOOKUP(A49,AlternativeD!A$110:M$159,13),Sheet1!D$75)),IF(NOT(Sheet1!D$196=1),"not feasible",IF(A49=" "," ","&lt;== Savings is n/a")))</f>
        <v>not feasible</v>
      </c>
      <c r="R49" s="263" t="str">
        <f>IF(AND(A49&lt;&gt;" ",Sheet1!D$192=1,Sheet1!D$193),IF(G$81&lt;&gt;" ","??????? ",P49-Q49)," ")</f>
        <v xml:space="preserve"> </v>
      </c>
      <c r="S49" s="263" t="str">
        <f>IF(AND(A49&lt;&gt;" ",Sheet1!D$192=1,Sheet1!D$196=1),ROUND(R49*G49,Sheet1!D$75)," ")</f>
        <v xml:space="preserve"> </v>
      </c>
      <c r="T49" s="263" t="str">
        <f>IF(AND(A49&lt;&gt;" ",Sheet1!D$192=1,Sheet1!D$193),ROUND((R49/I49)*J49,Sheet1!D$75)," ")</f>
        <v xml:space="preserve"> </v>
      </c>
      <c r="U49" s="265">
        <f>SUM(T$11:T49)</f>
        <v>0</v>
      </c>
      <c r="V49" s="254" t="str">
        <f t="shared" si="0"/>
        <v xml:space="preserve"> </v>
      </c>
      <c r="W49" s="268"/>
      <c r="AA49" s="260"/>
      <c r="AB49" s="271" t="str">
        <f>IF(OR(Sheet1!D$192=1,Sheet1!D$193),IF(OR((AB48&gt;=(Sheet1!D$148+$A$11)-1),AND(Sheet1!D$8=3,AB48&gt;=6))," ",AB48+1),NA())</f>
        <v xml:space="preserve"> </v>
      </c>
      <c r="AC49" s="271" t="str">
        <f>IF(OR(Sheet1!D$192=1,Sheet1!D$193),IF(OR((AC48&gt;=(Sheet1!D$148+$B$11)-1),AND(Sheet1!D$8=3,AB48&gt;=6))," ",AC48+1),NA())</f>
        <v xml:space="preserve"> </v>
      </c>
      <c r="AD49" s="272"/>
      <c r="AE49" s="263" t="str">
        <f>IF(AND(Sheet1!D$196=1,AB49&lt;&gt;" "),ROUND(VLOOKUP(AB49,AlternativeD!A$17:M$66,12),Sheet1!D$75),IF(Sheet1!D$196=1," ","Alt  'D'  not feasible"))</f>
        <v>Alt  'D'  not feasible</v>
      </c>
      <c r="AF49" s="264" t="str">
        <f>IF(AB49&lt;=Sheet1!D$148, (1/((1+AF$10)^(AB49-0.5)))," ")</f>
        <v xml:space="preserve"> </v>
      </c>
      <c r="AG49" s="263" t="str">
        <f>IF(AND(Sheet1!D$193,AB49&lt;&gt;" "),ROUND(+AE49*AF49,Sheet1!D$75)," ")</f>
        <v xml:space="preserve"> </v>
      </c>
      <c r="AH49" s="264" t="str">
        <f>IF(AB49&lt;&gt;" ",ROUND(VLOOKUP(Sheet1!E$82,CHOOSE(Sheet1!D$215,Inflate1,Inflate2,Inflate3,Inflate4,Inflate5,Inflate6,Inflate7,Inflate8),2),4)," ")</f>
        <v xml:space="preserve"> </v>
      </c>
      <c r="AI49" s="264" t="str">
        <f>IF(AB49&lt;&gt;" ",ROUND(VLOOKUP(AC49,CHOOSE(Sheet1!D$212,Inflate1,Inflate2,Inflate3,Inflate4,Inflate5,Inflate6,Inflate7,Inflate8),3),4)," ")</f>
        <v xml:space="preserve"> </v>
      </c>
      <c r="AJ49" s="263" t="b">
        <f>IF(AND(Sheet1!D$193,AB49&lt;&gt;" "),IF(AND(O49&lt;=10,OR(Sheet1!D$8=2,Sheet1!D$8=3,Sheet1!D$22=3)),ROUND((AE49/AH49)*AI49,Sheet1!D$75),IF(AND(Sheet1!D$8&lt;&gt;2,Sheet1!D$8&lt;&gt;3,Sheet1!D$22&lt;&gt;3),ROUND((AE49/AH49)*AI49,Sheet1!D$75)," ")))</f>
        <v>0</v>
      </c>
    </row>
    <row r="50" spans="1:36" ht="12" customHeight="1" x14ac:dyDescent="0.2">
      <c r="A50" s="579" t="str">
        <f>IF(OR(Sheet1!D$192=1,Sheet1!D$193),IF(OR((A49&gt;=(Sheet1!D$148+$A$11)-1),AND(Sheet1!D$8=3,A49&gt;=6))," ",A49+1),NA())</f>
        <v xml:space="preserve"> </v>
      </c>
      <c r="B50" s="271" t="str">
        <f>IF(OR(Sheet1!D$192=1,Sheet1!D$196=1),IF(OR((B49&gt;=(Sheet1!D$148+$B$11)-1),AND(Sheet1!D$8=3,A49&gt;=6))," ",B49+1),NA())</f>
        <v xml:space="preserve"> </v>
      </c>
      <c r="C50" s="273"/>
      <c r="D50" s="263" t="str">
        <f>IF(AND(Sheet1!D$192=1,A50&lt;&gt;" "),ROUND(VLOOKUP(A50,StatusQuo!A$19:M$68,12),Sheet1!D$75),IF(Sheet1!D$192=1," ","SQ not feasible "))</f>
        <v xml:space="preserve"> </v>
      </c>
      <c r="E50" s="263" t="str">
        <f>IF(AND(Sheet1!D$196=1,A50&lt;&gt;" "),ROUND(VLOOKUP(A50,AlternativeD!A$110:M$159,12),Sheet1!D$75),IF(Sheet1!D$196=1," ","Alt  'D'  not feasible"))</f>
        <v>Alt  'D'  not feasible</v>
      </c>
      <c r="F50" s="263" t="str">
        <f>IF(AND(A50&lt;&gt;" ",Sheet1!D$192=1,Sheet1!D$193),D50-E50,IF(AND(Sheet1!D$193,A50&lt;&gt;" ")," "," "))</f>
        <v xml:space="preserve"> </v>
      </c>
      <c r="G50" s="264" t="str">
        <f>IF(A50&lt;=Sheet1!D$148, (1/((1+G$10)^(A50-0.5)))," ")</f>
        <v xml:space="preserve"> </v>
      </c>
      <c r="H50" s="263" t="str">
        <f>IF(AND(A50&lt;&gt;" ",Sheet1!D$192=1,Sheet1!D$193),ROUND(F50*G50,Sheet1!D$75),IF(AND(A50&lt;&gt;" ",Sheet1!D$193),ROUND(E50*G50,Sheet1!D$75)," "))</f>
        <v xml:space="preserve"> </v>
      </c>
      <c r="I50" s="264" t="str">
        <f>IF(A50&lt;&gt;" ",ROUND(VLOOKUP(Sheet1!E$82,CHOOSE(Sheet1!D$232,Inflate7,Inflate2,Inflate3,Inflate4,Inflate5,Inflate6,Inflate1,Inflate8),2),4)," ")</f>
        <v xml:space="preserve"> </v>
      </c>
      <c r="J50" s="264" t="str">
        <f>IF(A50&lt;&gt;" ",ROUND(VLOOKUP(B50,CHOOSE(Sheet1!D$235,Inflate7,Inflate2,Inflate3,Inflate4,Inflate5,Inflate6,Inflate1,Inflate8),3),4)," ")</f>
        <v xml:space="preserve"> </v>
      </c>
      <c r="K50" s="265" t="str">
        <f>IF(AND(A50&lt;&gt;" ",Sheet1!D$192=1,Sheet1!D$193),ROUND((F50/I50)*J50,Sheet1!D$75),IF(AND(A50&lt;&gt;" ",Sheet1!D$193),ROUND((E50/I50)*J50,Sheet1!D$75)," "))</f>
        <v xml:space="preserve"> </v>
      </c>
      <c r="L50" s="254" t="str">
        <f>IF(Sheet1!D$192=1,IF(AND(AA50&gt;AJ$61,AA49&lt;=AJ$61),"&lt;-Payback"," ")," ")</f>
        <v xml:space="preserve"> </v>
      </c>
      <c r="M50" s="271" t="str">
        <f>IF(OR(Sheet1!D$192=1,Sheet1!D$193),IF(OR((A49&gt;=(Sheet1!D$148+$A$11)-1),AND(Sheet1!D$8=3,A49&gt;=6))," ",A49+1),NA())</f>
        <v xml:space="preserve"> </v>
      </c>
      <c r="N50" s="271" t="str">
        <f>IF(OR(Sheet1!D$192=1,Sheet1!D$193),IF(OR((B49&gt;=(Sheet1!D$148+$B$11)-1),AND(Sheet1!D$8=3,A49&gt;=6))," ",B49+1),NA())</f>
        <v xml:space="preserve"> </v>
      </c>
      <c r="O50" s="266" t="e">
        <f>IF(AND(Sheet1!D$8=3,M50=" ")," ",IF(OR(Sheet1!D$192=1,Sheet1!D$196=1),IF(O49&gt;0,IF(AND(OR(Sheet1!D$8=2,Sheet1!D$22=3),O49&gt;=10)," ",O49+1),IF(NOT(Sheet1!D$192=1),0,IF(ROUND(VLOOKUP(A50,StatusQuo!A$19:M$68,13),Sheet1!D$75)-ROUND(VLOOKUP(A50,AlternativeD!A$110:M$159,13),Sheet1!D$75)&gt;0,1,0)))," "))</f>
        <v>#VALUE!</v>
      </c>
      <c r="P50" s="263" t="str">
        <f>IF(AND(A50&lt;&gt;" ",Sheet1!D$192=1,Sheet1!D$196=1),IF(AND(OR(Sheet1!D$8=2,Sheet1!D$22=3),O50&gt;10),0,ROUND(VLOOKUP(A50,StatusQuo!A$19:M$68,13),Sheet1!D$75)),IF(NOT(Sheet1!D$192=1),"not feasible",IF(A50=" "," ", "Savings is  n/a=&gt;")))</f>
        <v xml:space="preserve"> </v>
      </c>
      <c r="Q50" s="263" t="str">
        <f>IF(AND(A50&lt;&gt;" ",Sheet1!D$192=1,Sheet1!D$196=1),IF(AND(OR(Sheet1!D$8=2,Sheet1!D$22=3),O50&gt;10),0,ROUND(VLOOKUP(A50,AlternativeD!A$110:M$159,13),Sheet1!D$75)),IF(NOT(Sheet1!D$196=1),"not feasible",IF(A50=" "," ","&lt;== Savings is n/a")))</f>
        <v>not feasible</v>
      </c>
      <c r="R50" s="263" t="str">
        <f>IF(AND(A50&lt;&gt;" ",Sheet1!D$192=1,Sheet1!D$193),IF(G$81&lt;&gt;" ","??????? ",P50-Q50)," ")</f>
        <v xml:space="preserve"> </v>
      </c>
      <c r="S50" s="263" t="str">
        <f>IF(AND(A50&lt;&gt;" ",Sheet1!D$192=1,Sheet1!D$196=1),ROUND(R50*G50,Sheet1!D$75)," ")</f>
        <v xml:space="preserve"> </v>
      </c>
      <c r="T50" s="263" t="str">
        <f>IF(AND(A50&lt;&gt;" ",Sheet1!D$192=1,Sheet1!D$193),ROUND((R50/I50)*J50,Sheet1!D$75)," ")</f>
        <v xml:space="preserve"> </v>
      </c>
      <c r="U50" s="265">
        <f>SUM(T$11:T50)</f>
        <v>0</v>
      </c>
      <c r="V50" s="254" t="str">
        <f t="shared" si="0"/>
        <v xml:space="preserve"> </v>
      </c>
      <c r="W50" s="268"/>
      <c r="AA50" s="260"/>
      <c r="AB50" s="271" t="str">
        <f>IF(OR(Sheet1!D$192=1,Sheet1!D$193),IF(OR((AB49&gt;=(Sheet1!D$148+$A$11)-1),AND(Sheet1!D$8=3,AB49&gt;=6))," ",AB49+1),NA())</f>
        <v xml:space="preserve"> </v>
      </c>
      <c r="AC50" s="271" t="str">
        <f>IF(OR(Sheet1!D$192=1,Sheet1!D$193),IF(OR((AC49&gt;=(Sheet1!D$148+$B$11)-1),AND(Sheet1!D$8=3,AB49&gt;=6))," ",AC49+1),NA())</f>
        <v xml:space="preserve"> </v>
      </c>
      <c r="AD50" s="272"/>
      <c r="AE50" s="263" t="str">
        <f>IF(AND(Sheet1!D$196=1,AB50&lt;&gt;" "),ROUND(VLOOKUP(AB50,AlternativeD!A$17:M$66,12),Sheet1!D$75),IF(Sheet1!D$196=1," ","Alt  'D'  not feasible"))</f>
        <v>Alt  'D'  not feasible</v>
      </c>
      <c r="AF50" s="264" t="str">
        <f>IF(AB50&lt;=Sheet1!D$148, (1/((1+AF$10)^(AB50-0.5)))," ")</f>
        <v xml:space="preserve"> </v>
      </c>
      <c r="AG50" s="263" t="str">
        <f>IF(AND(Sheet1!D$193,AB50&lt;&gt;" "),ROUND(+AE50*AF50,Sheet1!D$75)," ")</f>
        <v xml:space="preserve"> </v>
      </c>
      <c r="AH50" s="264" t="str">
        <f>IF(AB50&lt;&gt;" ",ROUND(VLOOKUP(Sheet1!E$82,CHOOSE(Sheet1!D$215,Inflate1,Inflate2,Inflate3,Inflate4,Inflate5,Inflate6,Inflate7,Inflate8),2),4)," ")</f>
        <v xml:space="preserve"> </v>
      </c>
      <c r="AI50" s="264" t="str">
        <f>IF(AB50&lt;&gt;" ",ROUND(VLOOKUP(AC50,CHOOSE(Sheet1!D$212,Inflate1,Inflate2,Inflate3,Inflate4,Inflate5,Inflate6,Inflate7,Inflate8),3),4)," ")</f>
        <v xml:space="preserve"> </v>
      </c>
      <c r="AJ50" s="263" t="b">
        <f>IF(AND(Sheet1!D$193,AB50&lt;&gt;" "),IF(AND(O50&lt;=10,OR(Sheet1!D$8=2,Sheet1!D$8=3,Sheet1!D$22=3)),ROUND((AE50/AH50)*AI50,Sheet1!D$75),IF(AND(Sheet1!D$8&lt;&gt;2,Sheet1!D$8&lt;&gt;3,Sheet1!D$22&lt;&gt;3),ROUND((AE50/AH50)*AI50,Sheet1!D$75)," ")))</f>
        <v>0</v>
      </c>
    </row>
    <row r="51" spans="1:36" ht="12" customHeight="1" x14ac:dyDescent="0.2">
      <c r="A51" s="579" t="str">
        <f>IF(OR(Sheet1!D$192=1,Sheet1!D$193),IF(OR((A50&gt;=(Sheet1!D$148+$A$11)-1),AND(Sheet1!D$8=3,A50&gt;=6))," ",A50+1),NA())</f>
        <v xml:space="preserve"> </v>
      </c>
      <c r="B51" s="271" t="str">
        <f>IF(OR(Sheet1!D$192=1,Sheet1!D$196=1),IF(OR((B50&gt;=(Sheet1!D$148+$B$11)-1),AND(Sheet1!D$8=3,A50&gt;=6))," ",B50+1),NA())</f>
        <v xml:space="preserve"> </v>
      </c>
      <c r="C51" s="273"/>
      <c r="D51" s="263" t="str">
        <f>IF(AND(Sheet1!D$192=1,A51&lt;&gt;" "),ROUND(VLOOKUP(A51,StatusQuo!A$19:M$68,12),Sheet1!D$75),IF(Sheet1!D$192=1," ","SQ not feasible "))</f>
        <v xml:space="preserve"> </v>
      </c>
      <c r="E51" s="263" t="str">
        <f>IF(AND(Sheet1!D$196=1,A51&lt;&gt;" "),ROUND(VLOOKUP(A51,AlternativeD!A$110:M$159,12),Sheet1!D$75),IF(Sheet1!D$196=1," ","Alt  'D'  not feasible"))</f>
        <v>Alt  'D'  not feasible</v>
      </c>
      <c r="F51" s="263" t="str">
        <f>IF(AND(A51&lt;&gt;" ",Sheet1!D$192=1,Sheet1!D$193),D51-E51,IF(AND(Sheet1!D$193,A51&lt;&gt;" ")," "," "))</f>
        <v xml:space="preserve"> </v>
      </c>
      <c r="G51" s="264" t="str">
        <f>IF(A51&lt;=Sheet1!D$148, (1/((1+G$10)^(A51-0.5)))," ")</f>
        <v xml:space="preserve"> </v>
      </c>
      <c r="H51" s="263" t="str">
        <f>IF(AND(A51&lt;&gt;" ",Sheet1!D$192=1,Sheet1!D$193),ROUND(F51*G51,Sheet1!D$75),IF(AND(A51&lt;&gt;" ",Sheet1!D$193),ROUND(E51*G51,Sheet1!D$75)," "))</f>
        <v xml:space="preserve"> </v>
      </c>
      <c r="I51" s="264" t="str">
        <f>IF(A51&lt;&gt;" ",ROUND(VLOOKUP(Sheet1!E$82,CHOOSE(Sheet1!D$232,Inflate7,Inflate2,Inflate3,Inflate4,Inflate5,Inflate6,Inflate1,Inflate8),2),4)," ")</f>
        <v xml:space="preserve"> </v>
      </c>
      <c r="J51" s="264" t="str">
        <f>IF(A51&lt;&gt;" ",ROUND(VLOOKUP(B51,CHOOSE(Sheet1!D$235,Inflate7,Inflate2,Inflate3,Inflate4,Inflate5,Inflate6,Inflate1,Inflate8),3),4)," ")</f>
        <v xml:space="preserve"> </v>
      </c>
      <c r="K51" s="265" t="str">
        <f>IF(AND(A51&lt;&gt;" ",Sheet1!D$192=1,Sheet1!D$193),ROUND((F51/I51)*J51,Sheet1!D$75),IF(AND(A51&lt;&gt;" ",Sheet1!D$193),ROUND((E51/I51)*J51,Sheet1!D$75)," "))</f>
        <v xml:space="preserve"> </v>
      </c>
      <c r="L51" s="254" t="str">
        <f>IF(Sheet1!D$192=1,IF(AND(AA51&gt;AJ$61,AA50&lt;=AJ$61),"&lt;-Payback"," ")," ")</f>
        <v xml:space="preserve"> </v>
      </c>
      <c r="M51" s="271" t="str">
        <f>IF(OR(Sheet1!D$192=1,Sheet1!D$193),IF(OR((A50&gt;=(Sheet1!D$148+$A$11)-1),AND(Sheet1!D$8=3,A50&gt;=6))," ",A50+1),NA())</f>
        <v xml:space="preserve"> </v>
      </c>
      <c r="N51" s="271" t="str">
        <f>IF(OR(Sheet1!D$192=1,Sheet1!D$193),IF(OR((B50&gt;=(Sheet1!D$148+$B$11)-1),AND(Sheet1!D$8=3,A50&gt;=6))," ",B50+1),NA())</f>
        <v xml:space="preserve"> </v>
      </c>
      <c r="O51" s="266" t="e">
        <f>IF(AND(Sheet1!D$8=3,M51=" ")," ",IF(OR(Sheet1!D$192=1,Sheet1!D$196=1),IF(O50&gt;0,IF(AND(OR(Sheet1!D$8=2,Sheet1!D$22=3),O50&gt;=10)," ",O50+1),IF(NOT(Sheet1!D$192=1),0,IF(ROUND(VLOOKUP(A51,StatusQuo!A$19:M$68,13),Sheet1!D$75)-ROUND(VLOOKUP(A51,AlternativeD!A$110:M$159,13),Sheet1!D$75)&gt;0,1,0)))," "))</f>
        <v>#VALUE!</v>
      </c>
      <c r="P51" s="263" t="str">
        <f>IF(AND(A51&lt;&gt;" ",Sheet1!D$192=1,Sheet1!D$196=1),IF(AND(OR(Sheet1!D$8=2,Sheet1!D$22=3),O51&gt;10),0,ROUND(VLOOKUP(A51,StatusQuo!A$19:M$68,13),Sheet1!D$75)),IF(NOT(Sheet1!D$192=1),"not feasible",IF(A51=" "," ", "Savings is  n/a=&gt;")))</f>
        <v xml:space="preserve"> </v>
      </c>
      <c r="Q51" s="263" t="str">
        <f>IF(AND(A51&lt;&gt;" ",Sheet1!D$192=1,Sheet1!D$196=1),IF(AND(OR(Sheet1!D$8=2,Sheet1!D$22=3),O51&gt;10),0,ROUND(VLOOKUP(A51,AlternativeD!A$110:M$159,13),Sheet1!D$75)),IF(NOT(Sheet1!D$196=1),"not feasible",IF(A51=" "," ","&lt;== Savings is n/a")))</f>
        <v>not feasible</v>
      </c>
      <c r="R51" s="263" t="str">
        <f>IF(AND(A51&lt;&gt;" ",Sheet1!D$192=1,Sheet1!D$193),IF(G$81&lt;&gt;" ","??????? ",P51-Q51)," ")</f>
        <v xml:space="preserve"> </v>
      </c>
      <c r="S51" s="263" t="str">
        <f>IF(AND(A51&lt;&gt;" ",Sheet1!D$192=1,Sheet1!D$196=1),ROUND(R51*G51,Sheet1!D$75)," ")</f>
        <v xml:space="preserve"> </v>
      </c>
      <c r="T51" s="263" t="str">
        <f>IF(AND(A51&lt;&gt;" ",Sheet1!D$192=1,Sheet1!D$193),ROUND((R51/I51)*J51,Sheet1!D$75)," ")</f>
        <v xml:space="preserve"> </v>
      </c>
      <c r="U51" s="265">
        <f>SUM(T$11:T51)</f>
        <v>0</v>
      </c>
      <c r="V51" s="254" t="str">
        <f t="shared" si="0"/>
        <v xml:space="preserve"> </v>
      </c>
      <c r="W51" s="268"/>
      <c r="AA51" s="260"/>
      <c r="AB51" s="271" t="str">
        <f>IF(OR(Sheet1!D$192=1,Sheet1!D$193),IF(OR((AB50&gt;=(Sheet1!D$148+$A$11)-1),AND(Sheet1!D$8=3,AB50&gt;=6))," ",AB50+1),NA())</f>
        <v xml:space="preserve"> </v>
      </c>
      <c r="AC51" s="271" t="str">
        <f>IF(OR(Sheet1!D$192=1,Sheet1!D$193),IF(OR((AC50&gt;=(Sheet1!D$148+$B$11)-1),AND(Sheet1!D$8=3,AB50&gt;=6))," ",AC50+1),NA())</f>
        <v xml:space="preserve"> </v>
      </c>
      <c r="AD51" s="272"/>
      <c r="AE51" s="263" t="str">
        <f>IF(AND(Sheet1!D$196=1,AB51&lt;&gt;" "),ROUND(VLOOKUP(AB51,AlternativeD!A$17:M$66,12),Sheet1!D$75),IF(Sheet1!D$196=1," ","Alt  'D'  not feasible"))</f>
        <v>Alt  'D'  not feasible</v>
      </c>
      <c r="AF51" s="264" t="str">
        <f>IF(AB51&lt;=Sheet1!D$148, (1/((1+AF$10)^(AB51-0.5)))," ")</f>
        <v xml:space="preserve"> </v>
      </c>
      <c r="AG51" s="263" t="str">
        <f>IF(AND(Sheet1!D$193,AB51&lt;&gt;" "),ROUND(+AE51*AF51,Sheet1!D$75)," ")</f>
        <v xml:space="preserve"> </v>
      </c>
      <c r="AH51" s="264" t="str">
        <f>IF(AB51&lt;&gt;" ",ROUND(VLOOKUP(Sheet1!E$82,CHOOSE(Sheet1!D$215,Inflate1,Inflate2,Inflate3,Inflate4,Inflate5,Inflate6,Inflate7,Inflate8),2),4)," ")</f>
        <v xml:space="preserve"> </v>
      </c>
      <c r="AI51" s="264" t="str">
        <f>IF(AB51&lt;&gt;" ",ROUND(VLOOKUP(AC51,CHOOSE(Sheet1!D$212,Inflate1,Inflate2,Inflate3,Inflate4,Inflate5,Inflate6,Inflate7,Inflate8),3),4)," ")</f>
        <v xml:space="preserve"> </v>
      </c>
      <c r="AJ51" s="263" t="b">
        <f>IF(AND(Sheet1!D$193,AB51&lt;&gt;" "),IF(AND(O51&lt;=10,OR(Sheet1!D$8=2,Sheet1!D$8=3,Sheet1!D$22=3)),ROUND((AE51/AH51)*AI51,Sheet1!D$75),IF(AND(Sheet1!D$8&lt;&gt;2,Sheet1!D$8&lt;&gt;3,Sheet1!D$22&lt;&gt;3),ROUND((AE51/AH51)*AI51,Sheet1!D$75)," ")))</f>
        <v>0</v>
      </c>
    </row>
    <row r="52" spans="1:36" ht="12" customHeight="1" x14ac:dyDescent="0.2">
      <c r="A52" s="579" t="str">
        <f>IF(OR(Sheet1!D$192=1,Sheet1!D$193),IF(OR((A51&gt;=(Sheet1!D$148+$A$11)-1),AND(Sheet1!D$8=3,A51&gt;=6))," ",A51+1),NA())</f>
        <v xml:space="preserve"> </v>
      </c>
      <c r="B52" s="271" t="str">
        <f>IF(OR(Sheet1!D$192=1,Sheet1!D$196=1),IF(OR((B51&gt;=(Sheet1!D$148+$B$11)-1),AND(Sheet1!D$8=3,A51&gt;=6))," ",B51+1),NA())</f>
        <v xml:space="preserve"> </v>
      </c>
      <c r="C52" s="273"/>
      <c r="D52" s="263" t="str">
        <f>IF(AND(Sheet1!D$192=1,A52&lt;&gt;" "),ROUND(VLOOKUP(A52,StatusQuo!A$19:M$68,12),Sheet1!D$75),IF(Sheet1!D$192=1," ","SQ not feasible "))</f>
        <v xml:space="preserve"> </v>
      </c>
      <c r="E52" s="263" t="str">
        <f>IF(AND(Sheet1!D$196=1,A52&lt;&gt;" "),ROUND(VLOOKUP(A52,AlternativeD!A$110:M$159,12),Sheet1!D$75),IF(Sheet1!D$196=1," ","Alt  'D'  not feasible"))</f>
        <v>Alt  'D'  not feasible</v>
      </c>
      <c r="F52" s="263" t="str">
        <f>IF(AND(A52&lt;&gt;" ",Sheet1!D$192=1,Sheet1!D$193),D52-E52,IF(AND(Sheet1!D$193,A52&lt;&gt;" ")," "," "))</f>
        <v xml:space="preserve"> </v>
      </c>
      <c r="G52" s="264" t="str">
        <f>IF(A52&lt;=Sheet1!D$148, (1/((1+G$10)^(A52-0.5)))," ")</f>
        <v xml:space="preserve"> </v>
      </c>
      <c r="H52" s="263" t="str">
        <f>IF(AND(A52&lt;&gt;" ",Sheet1!D$192=1,Sheet1!D$193),ROUND(F52*G52,Sheet1!D$75),IF(AND(A52&lt;&gt;" ",Sheet1!D$193),ROUND(E52*G52,Sheet1!D$75)," "))</f>
        <v xml:space="preserve"> </v>
      </c>
      <c r="I52" s="264" t="str">
        <f>IF(A52&lt;&gt;" ",ROUND(VLOOKUP(Sheet1!E$82,CHOOSE(Sheet1!D$232,Inflate7,Inflate2,Inflate3,Inflate4,Inflate5,Inflate6,Inflate1,Inflate8),2),4)," ")</f>
        <v xml:space="preserve"> </v>
      </c>
      <c r="J52" s="264" t="str">
        <f>IF(A52&lt;&gt;" ",ROUND(VLOOKUP(B52,CHOOSE(Sheet1!D$235,Inflate7,Inflate2,Inflate3,Inflate4,Inflate5,Inflate6,Inflate1,Inflate8),3),4)," ")</f>
        <v xml:space="preserve"> </v>
      </c>
      <c r="K52" s="265" t="str">
        <f>IF(AND(A52&lt;&gt;" ",Sheet1!D$192=1,Sheet1!D$193),ROUND((F52/I52)*J52,Sheet1!D$75),IF(AND(A52&lt;&gt;" ",Sheet1!D$193),ROUND((E52/I52)*J52,Sheet1!D$75)," "))</f>
        <v xml:space="preserve"> </v>
      </c>
      <c r="L52" s="254" t="str">
        <f>IF(Sheet1!D$192=1,IF(AND(AA52&gt;AJ$61,AA51&lt;=AJ$61),"&lt;-Payback"," ")," ")</f>
        <v xml:space="preserve"> </v>
      </c>
      <c r="M52" s="271" t="str">
        <f>IF(OR(Sheet1!D$192=1,Sheet1!D$193),IF(OR((A51&gt;=(Sheet1!D$148+$A$11)-1),AND(Sheet1!D$8=3,A51&gt;=6))," ",A51+1),NA())</f>
        <v xml:space="preserve"> </v>
      </c>
      <c r="N52" s="271" t="str">
        <f>IF(OR(Sheet1!D$192=1,Sheet1!D$193),IF(OR((B51&gt;=(Sheet1!D$148+$B$11)-1),AND(Sheet1!D$8=3,A51&gt;=6))," ",B51+1),NA())</f>
        <v xml:space="preserve"> </v>
      </c>
      <c r="O52" s="266" t="e">
        <f>IF(AND(Sheet1!D$8=3,M52=" ")," ",IF(OR(Sheet1!D$192=1,Sheet1!D$196=1),IF(O51&gt;0,IF(AND(OR(Sheet1!D$8=2,Sheet1!D$22=3),O51&gt;=10)," ",O51+1),IF(NOT(Sheet1!D$192=1),0,IF(ROUND(VLOOKUP(A52,StatusQuo!A$19:M$68,13),Sheet1!D$75)-ROUND(VLOOKUP(A52,AlternativeD!A$110:M$159,13),Sheet1!D$75)&gt;0,1,0)))," "))</f>
        <v>#VALUE!</v>
      </c>
      <c r="P52" s="263" t="str">
        <f>IF(AND(A52&lt;&gt;" ",Sheet1!D$192=1,Sheet1!D$196=1),IF(AND(OR(Sheet1!D$8=2,Sheet1!D$22=3),O52&gt;10),0,ROUND(VLOOKUP(A52,StatusQuo!A$19:M$68,13),Sheet1!D$75)),IF(NOT(Sheet1!D$192=1),"not feasible",IF(A52=" "," ", "Savings is  n/a=&gt;")))</f>
        <v xml:space="preserve"> </v>
      </c>
      <c r="Q52" s="263" t="str">
        <f>IF(AND(A52&lt;&gt;" ",Sheet1!D$192=1,Sheet1!D$196=1),IF(AND(OR(Sheet1!D$8=2,Sheet1!D$22=3),O52&gt;10),0,ROUND(VLOOKUP(A52,AlternativeD!A$110:M$159,13),Sheet1!D$75)),IF(NOT(Sheet1!D$196=1),"not feasible",IF(A52=" "," ","&lt;== Savings is n/a")))</f>
        <v>not feasible</v>
      </c>
      <c r="R52" s="263" t="str">
        <f>IF(AND(A52&lt;&gt;" ",Sheet1!D$192=1,Sheet1!D$193),IF(G$81&lt;&gt;" ","??????? ",P52-Q52)," ")</f>
        <v xml:space="preserve"> </v>
      </c>
      <c r="S52" s="263" t="str">
        <f>IF(AND(A52&lt;&gt;" ",Sheet1!D$192=1,Sheet1!D$196=1),ROUND(R52*G52,Sheet1!D$75)," ")</f>
        <v xml:space="preserve"> </v>
      </c>
      <c r="T52" s="263" t="str">
        <f>IF(AND(A52&lt;&gt;" ",Sheet1!D$192=1,Sheet1!D$193),ROUND((R52/I52)*J52,Sheet1!D$75)," ")</f>
        <v xml:space="preserve"> </v>
      </c>
      <c r="U52" s="265">
        <f>SUM(T$11:T52)</f>
        <v>0</v>
      </c>
      <c r="V52" s="254" t="str">
        <f t="shared" si="0"/>
        <v xml:space="preserve"> </v>
      </c>
      <c r="W52" s="268"/>
      <c r="AA52" s="260"/>
      <c r="AB52" s="271" t="str">
        <f>IF(OR(Sheet1!D$192=1,Sheet1!D$193),IF(OR((AB51&gt;=(Sheet1!D$148+$A$11)-1),AND(Sheet1!D$8=3,AB51&gt;=6))," ",AB51+1),NA())</f>
        <v xml:space="preserve"> </v>
      </c>
      <c r="AC52" s="271" t="str">
        <f>IF(OR(Sheet1!D$192=1,Sheet1!D$193),IF(OR((AC51&gt;=(Sheet1!D$148+$B$11)-1),AND(Sheet1!D$8=3,AB51&gt;=6))," ",AC51+1),NA())</f>
        <v xml:space="preserve"> </v>
      </c>
      <c r="AD52" s="272"/>
      <c r="AE52" s="263" t="str">
        <f>IF(AND(Sheet1!D$196=1,AB52&lt;&gt;" "),ROUND(VLOOKUP(AB52,AlternativeD!A$17:M$66,12),Sheet1!D$75),IF(Sheet1!D$196=1," ","Alt  'D'  not feasible"))</f>
        <v>Alt  'D'  not feasible</v>
      </c>
      <c r="AF52" s="264" t="str">
        <f>IF(AB52&lt;=Sheet1!D$148, (1/((1+AF$10)^(AB52-0.5)))," ")</f>
        <v xml:space="preserve"> </v>
      </c>
      <c r="AG52" s="263" t="str">
        <f>IF(AND(Sheet1!D$193,AB52&lt;&gt;" "),ROUND(+AE52*AF52,Sheet1!D$75)," ")</f>
        <v xml:space="preserve"> </v>
      </c>
      <c r="AH52" s="264" t="str">
        <f>IF(AB52&lt;&gt;" ",ROUND(VLOOKUP(Sheet1!E$82,CHOOSE(Sheet1!D$215,Inflate1,Inflate2,Inflate3,Inflate4,Inflate5,Inflate6,Inflate7,Inflate8),2),4)," ")</f>
        <v xml:space="preserve"> </v>
      </c>
      <c r="AI52" s="264" t="str">
        <f>IF(AB52&lt;&gt;" ",ROUND(VLOOKUP(AC52,CHOOSE(Sheet1!D$212,Inflate1,Inflate2,Inflate3,Inflate4,Inflate5,Inflate6,Inflate7,Inflate8),3),4)," ")</f>
        <v xml:space="preserve"> </v>
      </c>
      <c r="AJ52" s="263" t="b">
        <f>IF(AND(Sheet1!D$193,AB52&lt;&gt;" "),IF(AND(O52&lt;=10,OR(Sheet1!D$8=2,Sheet1!D$8=3,Sheet1!D$22=3)),ROUND((AE52/AH52)*AI52,Sheet1!D$75),IF(AND(Sheet1!D$8&lt;&gt;2,Sheet1!D$8&lt;&gt;3,Sheet1!D$22&lt;&gt;3),ROUND((AE52/AH52)*AI52,Sheet1!D$75)," ")))</f>
        <v>0</v>
      </c>
    </row>
    <row r="53" spans="1:36" ht="12" customHeight="1" x14ac:dyDescent="0.2">
      <c r="A53" s="579" t="str">
        <f>IF(OR(Sheet1!D$192=1,Sheet1!D$193),IF(OR((A52&gt;=(Sheet1!D$148+$A$11)-1),AND(Sheet1!D$8=3,A52&gt;=6))," ",A52+1),NA())</f>
        <v xml:space="preserve"> </v>
      </c>
      <c r="B53" s="271" t="str">
        <f>IF(OR(Sheet1!D$192=1,Sheet1!D$196=1),IF(OR((B52&gt;=(Sheet1!D$148+$B$11)-1),AND(Sheet1!D$8=3,A52&gt;=6))," ",B52+1),NA())</f>
        <v xml:space="preserve"> </v>
      </c>
      <c r="C53" s="273"/>
      <c r="D53" s="263" t="str">
        <f>IF(AND(Sheet1!D$192=1,A53&lt;&gt;" "),ROUND(VLOOKUP(A53,StatusQuo!A$19:M$68,12),Sheet1!D$75),IF(Sheet1!D$192=1," ","SQ not feasible "))</f>
        <v xml:space="preserve"> </v>
      </c>
      <c r="E53" s="263" t="str">
        <f>IF(AND(Sheet1!D$196=1,A53&lt;&gt;" "),ROUND(VLOOKUP(A53,AlternativeD!A$110:M$159,12),Sheet1!D$75),IF(Sheet1!D$196=1," ","Alt  'D'  not feasible"))</f>
        <v>Alt  'D'  not feasible</v>
      </c>
      <c r="F53" s="263" t="str">
        <f>IF(AND(A53&lt;&gt;" ",Sheet1!D$192=1,Sheet1!D$193),D53-E53,IF(AND(Sheet1!D$193,A53&lt;&gt;" ")," "," "))</f>
        <v xml:space="preserve"> </v>
      </c>
      <c r="G53" s="264" t="str">
        <f>IF(A53&lt;=Sheet1!D$148, (1/((1+G$10)^(A53-0.5)))," ")</f>
        <v xml:space="preserve"> </v>
      </c>
      <c r="H53" s="263" t="str">
        <f>IF(AND(A53&lt;&gt;" ",Sheet1!D$192=1,Sheet1!D$193),ROUND(F53*G53,Sheet1!D$75),IF(AND(A53&lt;&gt;" ",Sheet1!D$193),ROUND(E53*G53,Sheet1!D$75)," "))</f>
        <v xml:space="preserve"> </v>
      </c>
      <c r="I53" s="264" t="str">
        <f>IF(A53&lt;&gt;" ",ROUND(VLOOKUP(Sheet1!E$82,CHOOSE(Sheet1!D$232,Inflate7,Inflate2,Inflate3,Inflate4,Inflate5,Inflate6,Inflate1,Inflate8),2),4)," ")</f>
        <v xml:space="preserve"> </v>
      </c>
      <c r="J53" s="264" t="str">
        <f>IF(A53&lt;&gt;" ",ROUND(VLOOKUP(B53,CHOOSE(Sheet1!D$235,Inflate7,Inflate2,Inflate3,Inflate4,Inflate5,Inflate6,Inflate1,Inflate8),3),4)," ")</f>
        <v xml:space="preserve"> </v>
      </c>
      <c r="K53" s="265" t="str">
        <f>IF(AND(A53&lt;&gt;" ",Sheet1!D$192=1,Sheet1!D$193),ROUND((F53/I53)*J53,Sheet1!D$75),IF(AND(A53&lt;&gt;" ",Sheet1!D$193),ROUND((E53/I53)*J53,Sheet1!D$75)," "))</f>
        <v xml:space="preserve"> </v>
      </c>
      <c r="L53" s="254" t="str">
        <f>IF(Sheet1!D$192=1,IF(AND(AA53&gt;AJ$61,AA52&lt;=AJ$61),"&lt;-Payback"," ")," ")</f>
        <v xml:space="preserve"> </v>
      </c>
      <c r="M53" s="271" t="str">
        <f>IF(OR(Sheet1!D$192=1,Sheet1!D$193),IF(OR((A52&gt;=(Sheet1!D$148+$A$11)-1),AND(Sheet1!D$8=3,A52&gt;=6))," ",A52+1),NA())</f>
        <v xml:space="preserve"> </v>
      </c>
      <c r="N53" s="271" t="str">
        <f>IF(OR(Sheet1!D$192=1,Sheet1!D$193),IF(OR((B52&gt;=(Sheet1!D$148+$B$11)-1),AND(Sheet1!D$8=3,A52&gt;=6))," ",B52+1),NA())</f>
        <v xml:space="preserve"> </v>
      </c>
      <c r="O53" s="266" t="e">
        <f>IF(AND(Sheet1!D$8=3,M53=" ")," ",IF(OR(Sheet1!D$192=1,Sheet1!D$196=1),IF(O52&gt;0,IF(AND(OR(Sheet1!D$8=2,Sheet1!D$22=3),O52&gt;=10)," ",O52+1),IF(NOT(Sheet1!D$192=1),0,IF(ROUND(VLOOKUP(A53,StatusQuo!A$19:M$68,13),Sheet1!D$75)-ROUND(VLOOKUP(A53,AlternativeD!A$110:M$159,13),Sheet1!D$75)&gt;0,1,0)))," "))</f>
        <v>#VALUE!</v>
      </c>
      <c r="P53" s="263" t="str">
        <f>IF(AND(A53&lt;&gt;" ",Sheet1!D$192=1,Sheet1!D$196=1),IF(AND(OR(Sheet1!D$8=2,Sheet1!D$22=3),O53&gt;10),0,ROUND(VLOOKUP(A53,StatusQuo!A$19:M$68,13),Sheet1!D$75)),IF(NOT(Sheet1!D$192=1),"not feasible",IF(A53=" "," ", "Savings is  n/a=&gt;")))</f>
        <v xml:space="preserve"> </v>
      </c>
      <c r="Q53" s="263" t="str">
        <f>IF(AND(A53&lt;&gt;" ",Sheet1!D$192=1,Sheet1!D$196=1),IF(AND(OR(Sheet1!D$8=2,Sheet1!D$22=3),O53&gt;10),0,ROUND(VLOOKUP(A53,AlternativeD!A$110:M$159,13),Sheet1!D$75)),IF(NOT(Sheet1!D$196=1),"not feasible",IF(A53=" "," ","&lt;== Savings is n/a")))</f>
        <v>not feasible</v>
      </c>
      <c r="R53" s="263" t="str">
        <f>IF(AND(A53&lt;&gt;" ",Sheet1!D$192=1,Sheet1!D$193),IF(G$81&lt;&gt;" ","??????? ",P53-Q53)," ")</f>
        <v xml:space="preserve"> </v>
      </c>
      <c r="S53" s="263" t="str">
        <f>IF(AND(A53&lt;&gt;" ",Sheet1!D$192=1,Sheet1!D$196=1),ROUND(R53*G53,Sheet1!D$75)," ")</f>
        <v xml:space="preserve"> </v>
      </c>
      <c r="T53" s="263" t="str">
        <f>IF(AND(A53&lt;&gt;" ",Sheet1!D$192=1,Sheet1!D$193),ROUND((R53/I53)*J53,Sheet1!D$75)," ")</f>
        <v xml:space="preserve"> </v>
      </c>
      <c r="U53" s="265">
        <f>SUM(T$11:T53)</f>
        <v>0</v>
      </c>
      <c r="V53" s="254" t="str">
        <f t="shared" si="0"/>
        <v xml:space="preserve"> </v>
      </c>
      <c r="W53" s="268"/>
      <c r="AA53" s="260"/>
      <c r="AB53" s="271" t="str">
        <f>IF(OR(Sheet1!D$192=1,Sheet1!D$193),IF(OR((AB52&gt;=(Sheet1!D$148+$A$11)-1),AND(Sheet1!D$8=3,AB52&gt;=6))," ",AB52+1),NA())</f>
        <v xml:space="preserve"> </v>
      </c>
      <c r="AC53" s="271" t="str">
        <f>IF(OR(Sheet1!D$192=1,Sheet1!D$193),IF(OR((AC52&gt;=(Sheet1!D$148+$B$11)-1),AND(Sheet1!D$8=3,AB52&gt;=6))," ",AC52+1),NA())</f>
        <v xml:space="preserve"> </v>
      </c>
      <c r="AD53" s="272"/>
      <c r="AE53" s="263" t="str">
        <f>IF(AND(Sheet1!D$196=1,AB53&lt;&gt;" "),ROUND(VLOOKUP(AB53,AlternativeD!A$17:M$66,12),Sheet1!D$75),IF(Sheet1!D$196=1," ","Alt  'D'  not feasible"))</f>
        <v>Alt  'D'  not feasible</v>
      </c>
      <c r="AF53" s="264" t="str">
        <f>IF(AB53&lt;=Sheet1!D$148, (1/((1+AF$10)^(AB53-0.5)))," ")</f>
        <v xml:space="preserve"> </v>
      </c>
      <c r="AG53" s="263" t="str">
        <f>IF(AND(Sheet1!D$193,AB53&lt;&gt;" "),ROUND(+AE53*AF53,Sheet1!D$75)," ")</f>
        <v xml:space="preserve"> </v>
      </c>
      <c r="AH53" s="264" t="str">
        <f>IF(AB53&lt;&gt;" ",ROUND(VLOOKUP(Sheet1!E$82,CHOOSE(Sheet1!D$215,Inflate1,Inflate2,Inflate3,Inflate4,Inflate5,Inflate6,Inflate7,Inflate8),2),4)," ")</f>
        <v xml:space="preserve"> </v>
      </c>
      <c r="AI53" s="264" t="str">
        <f>IF(AB53&lt;&gt;" ",ROUND(VLOOKUP(AC53,CHOOSE(Sheet1!D$212,Inflate1,Inflate2,Inflate3,Inflate4,Inflate5,Inflate6,Inflate7,Inflate8),3),4)," ")</f>
        <v xml:space="preserve"> </v>
      </c>
      <c r="AJ53" s="263" t="b">
        <f>IF(AND(Sheet1!D$193,AB53&lt;&gt;" "),IF(AND(O53&lt;=10,OR(Sheet1!D$8=2,Sheet1!D$8=3,Sheet1!D$22=3)),ROUND((AE53/AH53)*AI53,Sheet1!D$75),IF(AND(Sheet1!D$8&lt;&gt;2,Sheet1!D$8&lt;&gt;3,Sheet1!D$22&lt;&gt;3),ROUND((AE53/AH53)*AI53,Sheet1!D$75)," ")))</f>
        <v>0</v>
      </c>
    </row>
    <row r="54" spans="1:36" ht="12" customHeight="1" x14ac:dyDescent="0.2">
      <c r="A54" s="579" t="str">
        <f>IF(OR(Sheet1!D$192=1,Sheet1!D$193),IF(OR((A53&gt;=(Sheet1!D$148+$A$11)-1),AND(Sheet1!D$8=3,A53&gt;=6))," ",A53+1),NA())</f>
        <v xml:space="preserve"> </v>
      </c>
      <c r="B54" s="271" t="str">
        <f>IF(OR(Sheet1!D$192=1,Sheet1!D$196=1),IF(OR((B53&gt;=(Sheet1!D$148+$B$11)-1),AND(Sheet1!D$8=3,A53&gt;=6))," ",B53+1),NA())</f>
        <v xml:space="preserve"> </v>
      </c>
      <c r="C54" s="273"/>
      <c r="D54" s="263" t="str">
        <f>IF(AND(Sheet1!D$192=1,A54&lt;&gt;" "),ROUND(VLOOKUP(A54,StatusQuo!A$19:M$68,12),Sheet1!D$75),IF(Sheet1!D$192=1," ","SQ not feasible "))</f>
        <v xml:space="preserve"> </v>
      </c>
      <c r="E54" s="263" t="str">
        <f>IF(AND(Sheet1!D$196=1,A54&lt;&gt;" "),ROUND(VLOOKUP(A54,AlternativeD!A$110:M$159,12),Sheet1!D$75),IF(Sheet1!D$196=1," ","Alt  'D'  not feasible"))</f>
        <v>Alt  'D'  not feasible</v>
      </c>
      <c r="F54" s="263" t="str">
        <f>IF(AND(A54&lt;&gt;" ",Sheet1!D$192=1,Sheet1!D$193),D54-E54,IF(AND(Sheet1!D$193,A54&lt;&gt;" ")," "," "))</f>
        <v xml:space="preserve"> </v>
      </c>
      <c r="G54" s="264" t="str">
        <f>IF(A54&lt;=Sheet1!D$148, (1/((1+G$10)^(A54-0.5)))," ")</f>
        <v xml:space="preserve"> </v>
      </c>
      <c r="H54" s="263" t="str">
        <f>IF(AND(A54&lt;&gt;" ",Sheet1!D$192=1,Sheet1!D$193),ROUND(F54*G54,Sheet1!D$75),IF(AND(A54&lt;&gt;" ",Sheet1!D$193),ROUND(E54*G54,Sheet1!D$75)," "))</f>
        <v xml:space="preserve"> </v>
      </c>
      <c r="I54" s="264" t="str">
        <f>IF(A54&lt;&gt;" ",ROUND(VLOOKUP(Sheet1!E$82,CHOOSE(Sheet1!D$232,Inflate7,Inflate2,Inflate3,Inflate4,Inflate5,Inflate6,Inflate1,Inflate8),2),4)," ")</f>
        <v xml:space="preserve"> </v>
      </c>
      <c r="J54" s="264" t="str">
        <f>IF(A54&lt;&gt;" ",ROUND(VLOOKUP(B54,CHOOSE(Sheet1!D$235,Inflate7,Inflate2,Inflate3,Inflate4,Inflate5,Inflate6,Inflate1,Inflate8),3),4)," ")</f>
        <v xml:space="preserve"> </v>
      </c>
      <c r="K54" s="265" t="str">
        <f>IF(AND(A54&lt;&gt;" ",Sheet1!D$192=1,Sheet1!D$193),ROUND((F54/I54)*J54,Sheet1!D$75),IF(AND(A54&lt;&gt;" ",Sheet1!D$193),ROUND((E54/I54)*J54,Sheet1!D$75)," "))</f>
        <v xml:space="preserve"> </v>
      </c>
      <c r="L54" s="254" t="str">
        <f>IF(Sheet1!D$192=1,IF(AND(AA54&gt;AJ$61,AA53&lt;=AJ$61),"&lt;-Payback"," ")," ")</f>
        <v xml:space="preserve"> </v>
      </c>
      <c r="M54" s="271" t="str">
        <f>IF(OR(Sheet1!D$192=1,Sheet1!D$193),IF(OR((A53&gt;=(Sheet1!D$148+$A$11)-1),AND(Sheet1!D$8=3,A53&gt;=6))," ",A53+1),NA())</f>
        <v xml:space="preserve"> </v>
      </c>
      <c r="N54" s="271" t="str">
        <f>IF(OR(Sheet1!D$192=1,Sheet1!D$193),IF(OR((B53&gt;=(Sheet1!D$148+$B$11)-1),AND(Sheet1!D$8=3,A53&gt;=6))," ",B53+1),NA())</f>
        <v xml:space="preserve"> </v>
      </c>
      <c r="O54" s="266" t="e">
        <f>IF(AND(Sheet1!D$8=3,M54=" ")," ",IF(OR(Sheet1!D$192=1,Sheet1!D$196=1),IF(O53&gt;0,IF(AND(OR(Sheet1!D$8=2,Sheet1!D$22=3),O53&gt;=10)," ",O53+1),IF(NOT(Sheet1!D$192=1),0,IF(ROUND(VLOOKUP(A54,StatusQuo!A$19:M$68,13),Sheet1!D$75)-ROUND(VLOOKUP(A54,AlternativeD!A$110:M$159,13),Sheet1!D$75)&gt;0,1,0)))," "))</f>
        <v>#VALUE!</v>
      </c>
      <c r="P54" s="263" t="str">
        <f>IF(AND(A54&lt;&gt;" ",Sheet1!D$192=1,Sheet1!D$196=1),IF(AND(OR(Sheet1!D$8=2,Sheet1!D$22=3),O54&gt;10),0,ROUND(VLOOKUP(A54,StatusQuo!A$19:M$68,13),Sheet1!D$75)),IF(NOT(Sheet1!D$192=1),"not feasible",IF(A54=" "," ", "Savings is  n/a=&gt;")))</f>
        <v xml:space="preserve"> </v>
      </c>
      <c r="Q54" s="263" t="str">
        <f>IF(AND(A54&lt;&gt;" ",Sheet1!D$192=1,Sheet1!D$196=1),IF(AND(OR(Sheet1!D$8=2,Sheet1!D$22=3),O54&gt;10),0,ROUND(VLOOKUP(A54,AlternativeD!A$110:M$159,13),Sheet1!D$75)),IF(NOT(Sheet1!D$196=1),"not feasible",IF(A54=" "," ","&lt;== Savings is n/a")))</f>
        <v>not feasible</v>
      </c>
      <c r="R54" s="263" t="str">
        <f>IF(AND(A54&lt;&gt;" ",Sheet1!D$192=1,Sheet1!D$193),IF(G$81&lt;&gt;" ","??????? ",P54-Q54)," ")</f>
        <v xml:space="preserve"> </v>
      </c>
      <c r="S54" s="263" t="str">
        <f>IF(AND(A54&lt;&gt;" ",Sheet1!D$192=1,Sheet1!D$196=1),ROUND(R54*G54,Sheet1!D$75)," ")</f>
        <v xml:space="preserve"> </v>
      </c>
      <c r="T54" s="263" t="str">
        <f>IF(AND(A54&lt;&gt;" ",Sheet1!D$192=1,Sheet1!D$193),ROUND((R54/I54)*J54,Sheet1!D$75)," ")</f>
        <v xml:space="preserve"> </v>
      </c>
      <c r="U54" s="265">
        <f>SUM(T$11:T54)</f>
        <v>0</v>
      </c>
      <c r="V54" s="254" t="str">
        <f t="shared" si="0"/>
        <v xml:space="preserve"> </v>
      </c>
      <c r="W54" s="268"/>
      <c r="AA54" s="260"/>
      <c r="AB54" s="271" t="str">
        <f>IF(OR(Sheet1!D$192=1,Sheet1!D$193),IF(OR((AB53&gt;=(Sheet1!D$148+$A$11)-1),AND(Sheet1!D$8=3,AB53&gt;=6))," ",AB53+1),NA())</f>
        <v xml:space="preserve"> </v>
      </c>
      <c r="AC54" s="271" t="str">
        <f>IF(OR(Sheet1!D$192=1,Sheet1!D$193),IF(OR((AC53&gt;=(Sheet1!D$148+$B$11)-1),AND(Sheet1!D$8=3,AB53&gt;=6))," ",AC53+1),NA())</f>
        <v xml:space="preserve"> </v>
      </c>
      <c r="AD54" s="272"/>
      <c r="AE54" s="263" t="str">
        <f>IF(AND(Sheet1!D$196=1,AB54&lt;&gt;" "),ROUND(VLOOKUP(AB54,AlternativeD!A$17:M$66,12),Sheet1!D$75),IF(Sheet1!D$196=1," ","Alt  'D'  not feasible"))</f>
        <v>Alt  'D'  not feasible</v>
      </c>
      <c r="AF54" s="264" t="str">
        <f>IF(AB54&lt;=Sheet1!D$148, (1/((1+AF$10)^(AB54-0.5)))," ")</f>
        <v xml:space="preserve"> </v>
      </c>
      <c r="AG54" s="263" t="str">
        <f>IF(AND(Sheet1!D$193,AB54&lt;&gt;" "),ROUND(+AE54*AF54,Sheet1!D$75)," ")</f>
        <v xml:space="preserve"> </v>
      </c>
      <c r="AH54" s="264" t="str">
        <f>IF(AB54&lt;&gt;" ",ROUND(VLOOKUP(Sheet1!E$82,CHOOSE(Sheet1!D$215,Inflate1,Inflate2,Inflate3,Inflate4,Inflate5,Inflate6,Inflate7,Inflate8),2),4)," ")</f>
        <v xml:space="preserve"> </v>
      </c>
      <c r="AI54" s="264" t="str">
        <f>IF(AB54&lt;&gt;" ",ROUND(VLOOKUP(AC54,CHOOSE(Sheet1!D$212,Inflate1,Inflate2,Inflate3,Inflate4,Inflate5,Inflate6,Inflate7,Inflate8),3),4)," ")</f>
        <v xml:space="preserve"> </v>
      </c>
      <c r="AJ54" s="263" t="b">
        <f>IF(AND(Sheet1!D$193,AB54&lt;&gt;" "),IF(AND(O54&lt;=10,OR(Sheet1!D$8=2,Sheet1!D$8=3,Sheet1!D$22=3)),ROUND((AE54/AH54)*AI54,Sheet1!D$75),IF(AND(Sheet1!D$8&lt;&gt;2,Sheet1!D$8&lt;&gt;3,Sheet1!D$22&lt;&gt;3),ROUND((AE54/AH54)*AI54,Sheet1!D$75)," ")))</f>
        <v>0</v>
      </c>
    </row>
    <row r="55" spans="1:36" ht="12" customHeight="1" x14ac:dyDescent="0.2">
      <c r="A55" s="579" t="str">
        <f>IF(OR(Sheet1!D$192=1,Sheet1!D$193),IF(OR((A54&gt;=(Sheet1!D$148+$A$11)-1),AND(Sheet1!D$8=3,A54&gt;=6))," ",A54+1),NA())</f>
        <v xml:space="preserve"> </v>
      </c>
      <c r="B55" s="271" t="str">
        <f>IF(OR(Sheet1!D$192=1,Sheet1!D$196=1),IF(OR((B54&gt;=(Sheet1!D$148+$B$11)-1),AND(Sheet1!D$8=3,A54&gt;=6))," ",B54+1),NA())</f>
        <v xml:space="preserve"> </v>
      </c>
      <c r="C55" s="273"/>
      <c r="D55" s="263" t="str">
        <f>IF(AND(Sheet1!D$192=1,A55&lt;&gt;" "),ROUND(VLOOKUP(A55,StatusQuo!A$19:M$68,12),Sheet1!D$75),IF(Sheet1!D$192=1," ","SQ not feasible "))</f>
        <v xml:space="preserve"> </v>
      </c>
      <c r="E55" s="263" t="str">
        <f>IF(AND(Sheet1!D$196=1,A55&lt;&gt;" "),ROUND(VLOOKUP(A55,AlternativeD!A$110:M$159,12),Sheet1!D$75),IF(Sheet1!D$196=1," ","Alt  'D'  not feasible"))</f>
        <v>Alt  'D'  not feasible</v>
      </c>
      <c r="F55" s="263" t="str">
        <f>IF(AND(A55&lt;&gt;" ",Sheet1!D$192=1,Sheet1!D$193),D55-E55,IF(AND(Sheet1!D$193,A55&lt;&gt;" ")," "," "))</f>
        <v xml:space="preserve"> </v>
      </c>
      <c r="G55" s="264" t="str">
        <f>IF(A55&lt;=Sheet1!D$148, (1/((1+G$10)^(A55-0.5)))," ")</f>
        <v xml:space="preserve"> </v>
      </c>
      <c r="H55" s="263" t="str">
        <f>IF(AND(A55&lt;&gt;" ",Sheet1!D$192=1,Sheet1!D$193),ROUND(F55*G55,Sheet1!D$75),IF(AND(A55&lt;&gt;" ",Sheet1!D$193),ROUND(E55*G55,Sheet1!D$75)," "))</f>
        <v xml:space="preserve"> </v>
      </c>
      <c r="I55" s="264" t="str">
        <f>IF(A55&lt;&gt;" ",ROUND(VLOOKUP(Sheet1!E$82,CHOOSE(Sheet1!D$232,Inflate7,Inflate2,Inflate3,Inflate4,Inflate5,Inflate6,Inflate1,Inflate8),2),4)," ")</f>
        <v xml:space="preserve"> </v>
      </c>
      <c r="J55" s="264" t="str">
        <f>IF(A55&lt;&gt;" ",ROUND(VLOOKUP(B55,CHOOSE(Sheet1!D$235,Inflate7,Inflate2,Inflate3,Inflate4,Inflate5,Inflate6,Inflate1,Inflate8),3),4)," ")</f>
        <v xml:space="preserve"> </v>
      </c>
      <c r="K55" s="265" t="str">
        <f>IF(AND(A55&lt;&gt;" ",Sheet1!D$192=1,Sheet1!D$193),ROUND((F55/I55)*J55,Sheet1!D$75),IF(AND(A55&lt;&gt;" ",Sheet1!D$193),ROUND((E55/I55)*J55,Sheet1!D$75)," "))</f>
        <v xml:space="preserve"> </v>
      </c>
      <c r="L55" s="254" t="str">
        <f>IF(Sheet1!D$192=1,IF(AND(AA55&gt;AJ$61,AA54&lt;=AJ$61),"&lt;-Payback"," ")," ")</f>
        <v xml:space="preserve"> </v>
      </c>
      <c r="M55" s="271" t="str">
        <f>IF(OR(Sheet1!D$192=1,Sheet1!D$193),IF(OR((A54&gt;=(Sheet1!D$148+$A$11)-1),AND(Sheet1!D$8=3,A54&gt;=6))," ",A54+1),NA())</f>
        <v xml:space="preserve"> </v>
      </c>
      <c r="N55" s="271" t="str">
        <f>IF(OR(Sheet1!D$192=1,Sheet1!D$193),IF(OR((B54&gt;=(Sheet1!D$148+$B$11)-1),AND(Sheet1!D$8=3,A54&gt;=6))," ",B54+1),NA())</f>
        <v xml:space="preserve"> </v>
      </c>
      <c r="O55" s="266" t="e">
        <f>IF(AND(Sheet1!D$8=3,M55=" ")," ",IF(OR(Sheet1!D$192=1,Sheet1!D$196=1),IF(O54&gt;0,IF(AND(OR(Sheet1!D$8=2,Sheet1!D$22=3),O54&gt;=10)," ",O54+1),IF(NOT(Sheet1!D$192=1),0,IF(ROUND(VLOOKUP(A55,StatusQuo!A$19:M$68,13),Sheet1!D$75)-ROUND(VLOOKUP(A55,AlternativeD!A$110:M$159,13),Sheet1!D$75)&gt;0,1,0)))," "))</f>
        <v>#VALUE!</v>
      </c>
      <c r="P55" s="263" t="str">
        <f>IF(AND(A55&lt;&gt;" ",Sheet1!D$192=1,Sheet1!D$196=1),IF(AND(OR(Sheet1!D$8=2,Sheet1!D$22=3),O55&gt;10),0,ROUND(VLOOKUP(A55,StatusQuo!A$19:M$68,13),Sheet1!D$75)),IF(NOT(Sheet1!D$192=1),"not feasible",IF(A55=" "," ", "Savings is  n/a=&gt;")))</f>
        <v xml:space="preserve"> </v>
      </c>
      <c r="Q55" s="263" t="str">
        <f>IF(AND(A55&lt;&gt;" ",Sheet1!D$192=1,Sheet1!D$196=1),IF(AND(OR(Sheet1!D$8=2,Sheet1!D$22=3),O55&gt;10),0,ROUND(VLOOKUP(A55,AlternativeD!A$110:M$159,13),Sheet1!D$75)),IF(NOT(Sheet1!D$196=1),"not feasible",IF(A55=" "," ","&lt;== Savings is n/a")))</f>
        <v>not feasible</v>
      </c>
      <c r="R55" s="263" t="str">
        <f>IF(AND(A55&lt;&gt;" ",Sheet1!D$192=1,Sheet1!D$193),IF(G$81&lt;&gt;" ","??????? ",P55-Q55)," ")</f>
        <v xml:space="preserve"> </v>
      </c>
      <c r="S55" s="263" t="str">
        <f>IF(AND(A55&lt;&gt;" ",Sheet1!D$192=1,Sheet1!D$196=1),ROUND(R55*G55,Sheet1!D$75)," ")</f>
        <v xml:space="preserve"> </v>
      </c>
      <c r="T55" s="263" t="str">
        <f>IF(AND(A55&lt;&gt;" ",Sheet1!D$192=1,Sheet1!D$193),ROUND((R55/I55)*J55,Sheet1!D$75)," ")</f>
        <v xml:space="preserve"> </v>
      </c>
      <c r="U55" s="265">
        <f>SUM(T$11:T55)</f>
        <v>0</v>
      </c>
      <c r="V55" s="254" t="str">
        <f t="shared" si="0"/>
        <v xml:space="preserve"> </v>
      </c>
      <c r="W55" s="268"/>
      <c r="AA55" s="260"/>
      <c r="AB55" s="271" t="str">
        <f>IF(OR(Sheet1!D$192=1,Sheet1!D$193),IF(OR((AB54&gt;=(Sheet1!D$148+$A$11)-1),AND(Sheet1!D$8=3,AB54&gt;=6))," ",AB54+1),NA())</f>
        <v xml:space="preserve"> </v>
      </c>
      <c r="AC55" s="271" t="str">
        <f>IF(OR(Sheet1!D$192=1,Sheet1!D$193),IF(OR((AC54&gt;=(Sheet1!D$148+$B$11)-1),AND(Sheet1!D$8=3,AB54&gt;=6))," ",AC54+1),NA())</f>
        <v xml:space="preserve"> </v>
      </c>
      <c r="AD55" s="272"/>
      <c r="AE55" s="263" t="str">
        <f>IF(AND(Sheet1!D$196=1,AB55&lt;&gt;" "),ROUND(VLOOKUP(AB55,AlternativeD!A$17:M$66,12),Sheet1!D$75),IF(Sheet1!D$196=1," ","Alt  'D'  not feasible"))</f>
        <v>Alt  'D'  not feasible</v>
      </c>
      <c r="AF55" s="264" t="str">
        <f>IF(AB55&lt;=Sheet1!D$148, (1/((1+AF$10)^(AB55-0.5)))," ")</f>
        <v xml:space="preserve"> </v>
      </c>
      <c r="AG55" s="263" t="str">
        <f>IF(AND(Sheet1!D$193,AB55&lt;&gt;" "),ROUND(+AE55*AF55,Sheet1!D$75)," ")</f>
        <v xml:space="preserve"> </v>
      </c>
      <c r="AH55" s="264" t="str">
        <f>IF(AB55&lt;&gt;" ",ROUND(VLOOKUP(Sheet1!E$82,CHOOSE(Sheet1!D$215,Inflate1,Inflate2,Inflate3,Inflate4,Inflate5,Inflate6,Inflate7,Inflate8),2),4)," ")</f>
        <v xml:space="preserve"> </v>
      </c>
      <c r="AI55" s="264" t="str">
        <f>IF(AB55&lt;&gt;" ",ROUND(VLOOKUP(AC55,CHOOSE(Sheet1!D$212,Inflate1,Inflate2,Inflate3,Inflate4,Inflate5,Inflate6,Inflate7,Inflate8),3),4)," ")</f>
        <v xml:space="preserve"> </v>
      </c>
      <c r="AJ55" s="263" t="b">
        <f>IF(AND(Sheet1!D$193,AB55&lt;&gt;" "),IF(AND(O55&lt;=10,OR(Sheet1!D$8=2,Sheet1!D$8=3,Sheet1!D$22=3)),ROUND((AE55/AH55)*AI55,Sheet1!D$75),IF(AND(Sheet1!D$8&lt;&gt;2,Sheet1!D$8&lt;&gt;3,Sheet1!D$22&lt;&gt;3),ROUND((AE55/AH55)*AI55,Sheet1!D$75)," ")))</f>
        <v>0</v>
      </c>
    </row>
    <row r="56" spans="1:36" ht="12" customHeight="1" x14ac:dyDescent="0.2">
      <c r="A56" s="579" t="str">
        <f>IF(OR(Sheet1!D$192=1,Sheet1!D$193),IF(OR((A55&gt;=(Sheet1!D$148+$A$11)-1),AND(Sheet1!D$8=3,A55&gt;=6))," ",A55+1),NA())</f>
        <v xml:space="preserve"> </v>
      </c>
      <c r="B56" s="271" t="str">
        <f>IF(OR(Sheet1!D$192=1,Sheet1!D$196=1),IF(OR((B55&gt;=(Sheet1!D$148+$B$11)-1),AND(Sheet1!D$8=3,A55&gt;=6))," ",B55+1),NA())</f>
        <v xml:space="preserve"> </v>
      </c>
      <c r="C56" s="273"/>
      <c r="D56" s="263" t="str">
        <f>IF(AND(Sheet1!D$192=1,A56&lt;&gt;" "),ROUND(VLOOKUP(A56,StatusQuo!A$19:M$68,12),Sheet1!D$75),IF(Sheet1!D$192=1," ","SQ not feasible "))</f>
        <v xml:space="preserve"> </v>
      </c>
      <c r="E56" s="263" t="str">
        <f>IF(AND(Sheet1!D$196=1,A56&lt;&gt;" "),ROUND(VLOOKUP(A56,AlternativeD!A$110:M$159,12),Sheet1!D$75),IF(Sheet1!D$196=1," ","Alt  'D'  not feasible"))</f>
        <v>Alt  'D'  not feasible</v>
      </c>
      <c r="F56" s="263" t="str">
        <f>IF(AND(A56&lt;&gt;" ",Sheet1!D$192=1,Sheet1!D$193),D56-E56,IF(AND(Sheet1!D$193,A56&lt;&gt;" ")," "," "))</f>
        <v xml:space="preserve"> </v>
      </c>
      <c r="G56" s="264" t="str">
        <f>IF(A56&lt;=Sheet1!D$148, (1/((1+G$10)^(A56-0.5)))," ")</f>
        <v xml:space="preserve"> </v>
      </c>
      <c r="H56" s="263" t="str">
        <f>IF(AND(A56&lt;&gt;" ",Sheet1!D$192=1,Sheet1!D$193),ROUND(F56*G56,Sheet1!D$75),IF(AND(A56&lt;&gt;" ",Sheet1!D$193),ROUND(E56*G56,Sheet1!D$75)," "))</f>
        <v xml:space="preserve"> </v>
      </c>
      <c r="I56" s="264" t="str">
        <f>IF(A56&lt;&gt;" ",ROUND(VLOOKUP(Sheet1!E$82,CHOOSE(Sheet1!D$232,Inflate7,Inflate2,Inflate3,Inflate4,Inflate5,Inflate6,Inflate1,Inflate8),2),4)," ")</f>
        <v xml:space="preserve"> </v>
      </c>
      <c r="J56" s="264" t="str">
        <f>IF(A56&lt;&gt;" ",ROUND(VLOOKUP(B56,CHOOSE(Sheet1!D$235,Inflate7,Inflate2,Inflate3,Inflate4,Inflate5,Inflate6,Inflate1,Inflate8),3),4)," ")</f>
        <v xml:space="preserve"> </v>
      </c>
      <c r="K56" s="265" t="str">
        <f>IF(AND(A56&lt;&gt;" ",Sheet1!D$192=1,Sheet1!D$193),ROUND((F56/I56)*J56,Sheet1!D$75),IF(AND(A56&lt;&gt;" ",Sheet1!D$193),ROUND((E56/I56)*J56,Sheet1!D$75)," "))</f>
        <v xml:space="preserve"> </v>
      </c>
      <c r="L56" s="254" t="str">
        <f>IF(Sheet1!D$192=1,IF(AND(AA56&gt;AJ$61,AA55&lt;=AJ$61),"&lt;-Payback"," ")," ")</f>
        <v xml:space="preserve"> </v>
      </c>
      <c r="M56" s="271" t="str">
        <f>IF(OR(Sheet1!D$192=1,Sheet1!D$193),IF(OR((A55&gt;=(Sheet1!D$148+$A$11)-1),AND(Sheet1!D$8=3,A55&gt;=6))," ",A55+1),NA())</f>
        <v xml:space="preserve"> </v>
      </c>
      <c r="N56" s="271" t="str">
        <f>IF(OR(Sheet1!D$192=1,Sheet1!D$193),IF(OR((B55&gt;=(Sheet1!D$148+$B$11)-1),AND(Sheet1!D$8=3,A55&gt;=6))," ",B55+1),NA())</f>
        <v xml:space="preserve"> </v>
      </c>
      <c r="O56" s="266" t="e">
        <f>IF(AND(Sheet1!D$8=3,M56=" ")," ",IF(OR(Sheet1!D$192=1,Sheet1!D$196=1),IF(O55&gt;0,IF(AND(OR(Sheet1!D$8=2,Sheet1!D$22=3),O55&gt;=10)," ",O55+1),IF(NOT(Sheet1!D$192=1),0,IF(ROUND(VLOOKUP(A56,StatusQuo!A$19:M$68,13),Sheet1!D$75)-ROUND(VLOOKUP(A56,AlternativeD!A$110:M$159,13),Sheet1!D$75)&gt;0,1,0)))," "))</f>
        <v>#VALUE!</v>
      </c>
      <c r="P56" s="263" t="str">
        <f>IF(AND(A56&lt;&gt;" ",Sheet1!D$192=1,Sheet1!D$196=1),IF(AND(OR(Sheet1!D$8=2,Sheet1!D$22=3),O56&gt;10),0,ROUND(VLOOKUP(A56,StatusQuo!A$19:M$68,13),Sheet1!D$75)),IF(NOT(Sheet1!D$192=1),"not feasible",IF(A56=" "," ", "Savings is  n/a=&gt;")))</f>
        <v xml:space="preserve"> </v>
      </c>
      <c r="Q56" s="263" t="str">
        <f>IF(AND(A56&lt;&gt;" ",Sheet1!D$192=1,Sheet1!D$196=1),IF(AND(OR(Sheet1!D$8=2,Sheet1!D$22=3),O56&gt;10),0,ROUND(VLOOKUP(A56,AlternativeD!A$110:M$159,13),Sheet1!D$75)),IF(NOT(Sheet1!D$196=1),"not feasible",IF(A56=" "," ","&lt;== Savings is n/a")))</f>
        <v>not feasible</v>
      </c>
      <c r="R56" s="263" t="str">
        <f>IF(AND(A56&lt;&gt;" ",Sheet1!D$192=1,Sheet1!D$193),IF(G$81&lt;&gt;" ","??????? ",P56-Q56)," ")</f>
        <v xml:space="preserve"> </v>
      </c>
      <c r="S56" s="263" t="str">
        <f>IF(AND(A56&lt;&gt;" ",Sheet1!D$192=1,Sheet1!D$196=1),ROUND(R56*G56,Sheet1!D$75)," ")</f>
        <v xml:space="preserve"> </v>
      </c>
      <c r="T56" s="263" t="str">
        <f>IF(AND(A56&lt;&gt;" ",Sheet1!D$192=1,Sheet1!D$193),ROUND((R56/I56)*J56,Sheet1!D$75)," ")</f>
        <v xml:space="preserve"> </v>
      </c>
      <c r="U56" s="265">
        <f>SUM(T$11:T56)</f>
        <v>0</v>
      </c>
      <c r="V56" s="254" t="str">
        <f t="shared" si="0"/>
        <v xml:space="preserve"> </v>
      </c>
      <c r="W56" s="268"/>
      <c r="AA56" s="260"/>
      <c r="AB56" s="271" t="str">
        <f>IF(OR(Sheet1!D$192=1,Sheet1!D$193),IF(OR((AB55&gt;=(Sheet1!D$148+$A$11)-1),AND(Sheet1!D$8=3,AB55&gt;=6))," ",AB55+1),NA())</f>
        <v xml:space="preserve"> </v>
      </c>
      <c r="AC56" s="271" t="str">
        <f>IF(OR(Sheet1!D$192=1,Sheet1!D$193),IF(OR((AC55&gt;=(Sheet1!D$148+$B$11)-1),AND(Sheet1!D$8=3,AB55&gt;=6))," ",AC55+1),NA())</f>
        <v xml:space="preserve"> </v>
      </c>
      <c r="AD56" s="272"/>
      <c r="AE56" s="263" t="str">
        <f>IF(AND(Sheet1!D$196=1,AB56&lt;&gt;" "),ROUND(VLOOKUP(AB56,AlternativeD!A$17:M$66,12),Sheet1!D$75),IF(Sheet1!D$196=1," ","Alt  'D'  not feasible"))</f>
        <v>Alt  'D'  not feasible</v>
      </c>
      <c r="AF56" s="264" t="str">
        <f>IF(AB56&lt;=Sheet1!D$148, (1/((1+AF$10)^(AB56-0.5)))," ")</f>
        <v xml:space="preserve"> </v>
      </c>
      <c r="AG56" s="263" t="str">
        <f>IF(AND(Sheet1!D$193,AB56&lt;&gt;" "),ROUND(+AE56*AF56,Sheet1!D$75)," ")</f>
        <v xml:space="preserve"> </v>
      </c>
      <c r="AH56" s="264" t="str">
        <f>IF(AB56&lt;&gt;" ",ROUND(VLOOKUP(Sheet1!E$82,CHOOSE(Sheet1!D$215,Inflate1,Inflate2,Inflate3,Inflate4,Inflate5,Inflate6,Inflate7,Inflate8),2),4)," ")</f>
        <v xml:space="preserve"> </v>
      </c>
      <c r="AI56" s="264" t="str">
        <f>IF(AB56&lt;&gt;" ",ROUND(VLOOKUP(AC56,CHOOSE(Sheet1!D$212,Inflate1,Inflate2,Inflate3,Inflate4,Inflate5,Inflate6,Inflate7,Inflate8),3),4)," ")</f>
        <v xml:space="preserve"> </v>
      </c>
      <c r="AJ56" s="263" t="b">
        <f>IF(AND(Sheet1!D$193,AB56&lt;&gt;" "),IF(AND(O56&lt;=10,OR(Sheet1!D$8=2,Sheet1!D$8=3,Sheet1!D$22=3)),ROUND((AE56/AH56)*AI56,Sheet1!D$75),IF(AND(Sheet1!D$8&lt;&gt;2,Sheet1!D$8&lt;&gt;3,Sheet1!D$22&lt;&gt;3),ROUND((AE56/AH56)*AI56,Sheet1!D$75)," ")))</f>
        <v>0</v>
      </c>
    </row>
    <row r="57" spans="1:36" ht="12" customHeight="1" thickBot="1" x14ac:dyDescent="0.25">
      <c r="A57" s="579" t="str">
        <f>IF(OR(Sheet1!D$192=1,Sheet1!D$193),IF(OR((A56&gt;=(Sheet1!D$148+$A$11)-1),AND(Sheet1!D$8=3,A56&gt;=6))," ",A56+1),NA())</f>
        <v xml:space="preserve"> </v>
      </c>
      <c r="B57" s="271" t="str">
        <f>IF(OR(Sheet1!D$192=1,Sheet1!D$196=1),IF(OR((B56&gt;=(Sheet1!D$148+$B$11)-1),AND(Sheet1!D$8=3,A56&gt;=6))," ",B56+1),NA())</f>
        <v xml:space="preserve"> </v>
      </c>
      <c r="C57" s="273"/>
      <c r="D57" s="263" t="str">
        <f>IF(AND(Sheet1!D$192=1,A57&lt;&gt;" "),ROUND(VLOOKUP(A57,StatusQuo!A$19:M$68,12),Sheet1!D$75),IF(Sheet1!D$192=1," ","SQ not feasible "))</f>
        <v xml:space="preserve"> </v>
      </c>
      <c r="E57" s="263" t="str">
        <f>IF(AND(Sheet1!D$196=1,A57&lt;&gt;" "),ROUND(VLOOKUP(A57,AlternativeD!A$110:M$159,12),Sheet1!D$75),IF(Sheet1!D$196=1," ","Alt  'D'  not feasible"))</f>
        <v>Alt  'D'  not feasible</v>
      </c>
      <c r="F57" s="263" t="str">
        <f>IF(AND(A57&lt;&gt;" ",Sheet1!D$192=1,Sheet1!D$193),D57-E57,IF(AND(Sheet1!D$193,A57&lt;&gt;" ")," "," "))</f>
        <v xml:space="preserve"> </v>
      </c>
      <c r="G57" s="264" t="str">
        <f>IF(A57&lt;=Sheet1!D$148, (1/((1+G$10)^(A57-0.5)))," ")</f>
        <v xml:space="preserve"> </v>
      </c>
      <c r="H57" s="263" t="str">
        <f>IF(AND(A57&lt;&gt;" ",Sheet1!D$192=1,Sheet1!D$193),ROUND(F57*G57,Sheet1!D$75),IF(AND(A57&lt;&gt;" ",Sheet1!D$193),ROUND(E57*G57,Sheet1!D$75)," "))</f>
        <v xml:space="preserve"> </v>
      </c>
      <c r="I57" s="264" t="str">
        <f>IF(A57&lt;&gt;" ",ROUND(VLOOKUP(Sheet1!E$82,CHOOSE(Sheet1!D$232,Inflate7,Inflate2,Inflate3,Inflate4,Inflate5,Inflate6,Inflate1,Inflate8),2),4)," ")</f>
        <v xml:space="preserve"> </v>
      </c>
      <c r="J57" s="264" t="str">
        <f>IF(A57&lt;&gt;" ",ROUND(VLOOKUP(B57,CHOOSE(Sheet1!D$235,Inflate7,Inflate2,Inflate3,Inflate4,Inflate5,Inflate6,Inflate1,Inflate8),3),4)," ")</f>
        <v xml:space="preserve"> </v>
      </c>
      <c r="K57" s="265" t="str">
        <f>IF(AND(A57&lt;&gt;" ",Sheet1!D$192=1,Sheet1!D$193),ROUND((F57/I57)*J57,Sheet1!D$75),IF(AND(A57&lt;&gt;" ",Sheet1!D$193),ROUND((E57/I57)*J57,Sheet1!D$75)," "))</f>
        <v xml:space="preserve"> </v>
      </c>
      <c r="L57" s="254" t="str">
        <f>IF(Sheet1!D$192=1,IF(AND(AA57&gt;AJ$61,AA56&lt;=AJ$61),"&lt;-Payback"," ")," ")</f>
        <v xml:space="preserve"> </v>
      </c>
      <c r="M57" s="271" t="str">
        <f>IF(OR(Sheet1!D$192=1,Sheet1!D$193),IF(OR((A56&gt;=(Sheet1!D$148+$A$11)-1),AND(Sheet1!D$8=3,A56&gt;=6))," ",A56+1),NA())</f>
        <v xml:space="preserve"> </v>
      </c>
      <c r="N57" s="271" t="str">
        <f>IF(OR(Sheet1!D$192=1,Sheet1!D$193),IF(OR((B56&gt;=(Sheet1!D$148+$B$11)-1),AND(Sheet1!D$8=3,A56&gt;=6))," ",B56+1),NA())</f>
        <v xml:space="preserve"> </v>
      </c>
      <c r="O57" s="266" t="e">
        <f>IF(AND(Sheet1!D$8=3,M57=" ")," ",IF(OR(Sheet1!D$192=1,Sheet1!D$196=1),IF(O56&gt;0,IF(AND(OR(Sheet1!D$8=2,Sheet1!D$22=3),O56&gt;=10)," ",O56+1),IF(NOT(Sheet1!D$192=1),0,IF(ROUND(VLOOKUP(A57,StatusQuo!A$19:M$68,13),Sheet1!D$75)-ROUND(VLOOKUP(A57,AlternativeD!A$110:M$159,13),Sheet1!D$75)&gt;0,1,0)))," "))</f>
        <v>#VALUE!</v>
      </c>
      <c r="P57" s="263" t="str">
        <f>IF(AND(A57&lt;&gt;" ",Sheet1!D$192=1,Sheet1!D$196=1),IF(AND(OR(Sheet1!D$8=2,Sheet1!D$22=3),O57&gt;10),0,ROUND(VLOOKUP(A57,StatusQuo!A$19:M$68,13),Sheet1!D$75)),IF(NOT(Sheet1!D$192=1),"not feasible",IF(A57=" "," ", "Savings is  n/a=&gt;")))</f>
        <v xml:space="preserve"> </v>
      </c>
      <c r="Q57" s="263" t="str">
        <f>IF(AND(A57&lt;&gt;" ",Sheet1!D$192=1,Sheet1!D$196=1),IF(AND(OR(Sheet1!D$8=2,Sheet1!D$22=3),O57&gt;10),0,ROUND(VLOOKUP(A57,AlternativeD!A$110:M$159,13),Sheet1!D$75)),IF(NOT(Sheet1!D$196=1),"not feasible",IF(A57=" "," ","&lt;== Savings is n/a")))</f>
        <v>not feasible</v>
      </c>
      <c r="R57" s="263" t="str">
        <f>IF(AND(A57&lt;&gt;" ",Sheet1!D$192=1,Sheet1!D$193),IF(G$81&lt;&gt;" ","??????? ",P57-Q57)," ")</f>
        <v xml:space="preserve"> </v>
      </c>
      <c r="S57" s="263" t="str">
        <f>IF(AND(A57&lt;&gt;" ",Sheet1!D$192=1,Sheet1!D$196=1),ROUND(R57*G57,Sheet1!D$75)," ")</f>
        <v xml:space="preserve"> </v>
      </c>
      <c r="T57" s="263" t="str">
        <f>IF(AND(A57&lt;&gt;" ",Sheet1!D$192=1,Sheet1!D$193),ROUND((R57/I57)*J57,Sheet1!D$75)," ")</f>
        <v xml:space="preserve"> </v>
      </c>
      <c r="U57" s="265">
        <f>SUM(T$11:T57)</f>
        <v>0</v>
      </c>
      <c r="V57" s="254" t="str">
        <f t="shared" si="0"/>
        <v xml:space="preserve"> </v>
      </c>
      <c r="W57" s="268"/>
      <c r="AA57" s="260"/>
      <c r="AB57" s="271" t="str">
        <f>IF(OR(Sheet1!D$192=1,Sheet1!D$193),IF(OR((AB56&gt;=(Sheet1!D$148+$A$11)-1),AND(Sheet1!D$8=3,AB56&gt;=6))," ",AB56+1),NA())</f>
        <v xml:space="preserve"> </v>
      </c>
      <c r="AC57" s="271" t="str">
        <f>IF(OR(Sheet1!D$192=1,Sheet1!D$193),IF(OR((AC56&gt;=(Sheet1!D$148+$B$11)-1),AND(Sheet1!D$8=3,AB56&gt;=6))," ",AC56+1),NA())</f>
        <v xml:space="preserve"> </v>
      </c>
      <c r="AD57" s="272"/>
      <c r="AE57" s="263" t="str">
        <f>IF(AND(Sheet1!D$196=1,AB57&lt;&gt;" "),ROUND(VLOOKUP(AB57,AlternativeD!A$17:M$66,12),Sheet1!D$75),IF(Sheet1!D$196=1," ","Alt  'D'  not feasible"))</f>
        <v>Alt  'D'  not feasible</v>
      </c>
      <c r="AF57" s="264" t="str">
        <f>IF(AB57&lt;=Sheet1!D$148, (1/((1+AF$10)^(AB57-0.5)))," ")</f>
        <v xml:space="preserve"> </v>
      </c>
      <c r="AG57" s="263" t="str">
        <f>IF(AND(Sheet1!D$193,AB57&lt;&gt;" "),ROUND(+AE57*AF57,Sheet1!D$75)," ")</f>
        <v xml:space="preserve"> </v>
      </c>
      <c r="AH57" s="264" t="str">
        <f>IF(AB57&lt;&gt;" ",ROUND(VLOOKUP(Sheet1!E$82,CHOOSE(Sheet1!D$215,Inflate1,Inflate2,Inflate3,Inflate4,Inflate5,Inflate6,Inflate7,Inflate8),2),4)," ")</f>
        <v xml:space="preserve"> </v>
      </c>
      <c r="AI57" s="264" t="str">
        <f>IF(AB57&lt;&gt;" ",ROUND(VLOOKUP(AC57,CHOOSE(Sheet1!D$212,Inflate1,Inflate2,Inflate3,Inflate4,Inflate5,Inflate6,Inflate7,Inflate8),3),4)," ")</f>
        <v xml:space="preserve"> </v>
      </c>
      <c r="AJ57" s="263" t="b">
        <f>IF(AND(Sheet1!D$193,AB57&lt;&gt;" "),IF(AND(O57&lt;=10,OR(Sheet1!D$8=2,Sheet1!D$8=3,Sheet1!D$22=3)),ROUND((AE57/AH57)*AI57,Sheet1!D$75),IF(AND(Sheet1!D$8&lt;&gt;2,Sheet1!D$8&lt;&gt;3,Sheet1!D$22&lt;&gt;3),ROUND((AE57/AH57)*AI57,Sheet1!D$75)," ")))</f>
        <v>0</v>
      </c>
    </row>
    <row r="58" spans="1:36" ht="12" hidden="1" customHeight="1" thickBot="1" x14ac:dyDescent="0.25">
      <c r="A58" s="271" t="str">
        <f>IF(OR(Sheet1!D$192=1,Sheet1!D$193),IF(OR((A57&gt;=(Sheet1!D$148+$A$11)-1),AND(Sheet1!D$8=3,A57&gt;=6))," ",A57+1),NA())</f>
        <v xml:space="preserve"> </v>
      </c>
      <c r="B58" s="271" t="str">
        <f>IF(OR(Sheet1!D$192=1,Sheet1!D$193),IF(OR((B57&gt;=(Sheet1!D$148+$B$11)-1),AND(Sheet1!D$8=3,A57&gt;=6))," ",B57+1),NA())</f>
        <v xml:space="preserve"> </v>
      </c>
      <c r="C58" s="262"/>
      <c r="D58" s="263" t="str">
        <f>IF(AND(Sheet1!D$192=1,A58&lt;&gt;" "),ROUND(VLOOKUP(A58,StatusQuo!A$19:M$68,12),Sheet1!D$75),IF(Sheet1!D$192=1," ","SQ not feasible "))</f>
        <v xml:space="preserve"> </v>
      </c>
      <c r="E58" s="263" t="str">
        <f>IF(AND(Sheet1!D$196=1,A58&lt;&gt;" "),ROUND(VLOOKUP(A58,AlternativeD!A$110:M$159,12),Sheet1!D$75),IF(Sheet1!D$196=1," ","Alt  'A'  not feasible"))</f>
        <v>Alt  'A'  not feasible</v>
      </c>
      <c r="F58" s="263" t="str">
        <f>IF(AND(A58&lt;&gt;" ",Sheet1!D$192=1,Sheet1!D$193),D58-E58,IF(AND(Sheet1!D$193,A58&lt;&gt;" ")," "," "))</f>
        <v xml:space="preserve"> </v>
      </c>
      <c r="G58" s="264" t="str">
        <f>IF(A58&lt;=Sheet1!D$148, (1/((1+G$10)^(A58-0.5)))," ")</f>
        <v xml:space="preserve"> </v>
      </c>
      <c r="H58" s="263" t="str">
        <f>IF(AND(A58&lt;&gt;" ",Sheet1!D$192=1,Sheet1!D$193),ROUND(F58*G58,Sheet1!D$75),IF(AND(A58&lt;&gt;" ",Sheet1!D$193),ROUND(E58*G58,Sheet1!D$75)," "))</f>
        <v xml:space="preserve"> </v>
      </c>
      <c r="I58" s="264" t="str">
        <f>IF(A58&lt;&gt;" ",ROUND(VLOOKUP(Sheet1!E$82,CHOOSE(Sheet1!D$232,Inflate7,Inflate2,Inflate3,Inflate4,Inflate5,Inflate6,Inflate1,Inflate8),2),4)," ")</f>
        <v xml:space="preserve"> </v>
      </c>
      <c r="J58" s="264" t="str">
        <f>IF(A58&lt;&gt;" ",ROUND(VLOOKUP(B58,CHOOSE(Sheet1!D$235,Inflate7,Inflate2,Inflate3,Inflate4,Inflate5,Inflate6,Inflate1,Inflate8),3),4)," ")</f>
        <v xml:space="preserve"> </v>
      </c>
      <c r="K58" s="265" t="str">
        <f>IF(AND(A58&lt;&gt;" ",Sheet1!D$192=1,Sheet1!D$193),ROUND((F58/I58)*J58,Sheet1!D$75),IF(AND(A58&lt;&gt;" ",Sheet1!D$193),ROUND((E58/I58)*J58,Sheet1!D$75)," "))</f>
        <v xml:space="preserve"> </v>
      </c>
      <c r="L58" s="254" t="str">
        <f>IF(Sheet1!D$192=1,IF(AND(AA58&gt;AJ$61,AA57&lt;=AJ$61),"&lt;-Payback"," ")," ")</f>
        <v xml:space="preserve"> </v>
      </c>
      <c r="M58" s="271" t="str">
        <f>IF(OR(Sheet1!D$192=1,Sheet1!D$193),IF(OR((A57&gt;=(Sheet1!D$148+$A$11)-1),AND(Sheet1!D$8=3,A57&gt;=6))," ",A57+1),NA())</f>
        <v xml:space="preserve"> </v>
      </c>
      <c r="N58" s="271" t="str">
        <f>IF(OR(Sheet1!D$192=1,Sheet1!D$193),IF(OR((B57&gt;=(Sheet1!D$148+$B$11)-1),AND(Sheet1!D$8=3,A57&gt;=6))," ",B57+1),NA())</f>
        <v xml:space="preserve"> </v>
      </c>
      <c r="O58" s="266" t="e">
        <f>IF(AND(Sheet1!D$8=3,M58=" ")," ",IF(OR(Sheet1!D$192=1,Sheet1!D$196=1),IF(O57&gt;0,IF(AND(OR(Sheet1!D$8=2,Sheet1!D$22=3),O57&gt;=10)," ",O57+1),IF(NOT(Sheet1!D$192=1),0,IF(ROUND(VLOOKUP(A58,StatusQuo!A$19:M$68,13),Sheet1!D$75)-ROUND(VLOOKUP(A58,AlternativeD!A$110:M$159,13),Sheet1!D$75)&gt;0,1,0)))," "))</f>
        <v>#VALUE!</v>
      </c>
      <c r="P58" s="263" t="str">
        <f>IF(AND(A58&lt;&gt;" ",Sheet1!D$192=1,Sheet1!D$196=1),IF(AND(OR(Sheet1!D$8=2,Sheet1!D$22=3),O58&gt;10),0,ROUND(VLOOKUP(A58,StatusQuo!A$19:M$68,13),Sheet1!D$75)),IF(NOT(Sheet1!D$192=1),"not feasible",IF(A58=" "," ", "Savings is  n/a=&gt;")))</f>
        <v xml:space="preserve"> </v>
      </c>
      <c r="Q58" s="263" t="str">
        <f>IF(AND(A58&lt;&gt;" ",Sheet1!D$192=1,Sheet1!D$196=1),IF(AND(OR(Sheet1!D$8=2,Sheet1!D$22=3),O58&gt;10),0,ROUND(VLOOKUP(A58,AlternativeD!A$110:M$159,13),Sheet1!D$75)),IF(NOT(Sheet1!D$196=1),"not feasible",IF(A58=" "," ","&lt;== Savings is n/a")))</f>
        <v>not feasible</v>
      </c>
      <c r="R58" s="263" t="str">
        <f>IF(AND(A58&lt;&gt;" ",Sheet1!D$192=1,Sheet1!D$193),IF(G$81&lt;&gt;" ","??????? ",P58-Q58)," ")</f>
        <v xml:space="preserve"> </v>
      </c>
      <c r="S58" s="263" t="str">
        <f>IF(AND(A58&lt;&gt;" ",Sheet1!D$192=1,Sheet1!D$196=1),ROUND(R58*G58,Sheet1!D$75)," ")</f>
        <v xml:space="preserve"> </v>
      </c>
      <c r="T58" s="263" t="str">
        <f>IF(AND(A58&lt;&gt;" ",Sheet1!D$192=1,Sheet1!D$193),ROUND((R58/I58)*J58,Sheet1!D$75)," ")</f>
        <v xml:space="preserve"> </v>
      </c>
      <c r="U58" s="265">
        <f>SUM(T$11:T58)</f>
        <v>0</v>
      </c>
      <c r="V58" s="254" t="str">
        <f t="shared" si="0"/>
        <v xml:space="preserve"> </v>
      </c>
      <c r="W58" s="268"/>
      <c r="AA58" s="260"/>
      <c r="AB58" s="271" t="str">
        <f>IF(OR(Sheet1!D$192=1,Sheet1!D$193),IF(OR((AB57&gt;=(Sheet1!D$148+$A$11)-1),AND(Sheet1!D$8=3,AB57&gt;=6))," ",AB57+1),NA())</f>
        <v xml:space="preserve"> </v>
      </c>
      <c r="AC58" s="271" t="str">
        <f>IF(OR(Sheet1!D$192=1,Sheet1!D$193),IF(OR((AC57&gt;=(Sheet1!D$148+$B$11)-1),AND(Sheet1!D$8=3,AB57&gt;=6))," ",AC57+1),NA())</f>
        <v xml:space="preserve"> </v>
      </c>
      <c r="AD58" s="272"/>
      <c r="AE58" s="263" t="str">
        <f>IF(AND(Sheet1!D$196=1,AB58&lt;&gt;" "),ROUND(VLOOKUP(AB58,AlternativeD!A$17:M$66,12),Sheet1!D$75),IF(Sheet1!D$196=1," ","Alt  'D'  not feasible"))</f>
        <v>Alt  'D'  not feasible</v>
      </c>
      <c r="AF58" s="264" t="str">
        <f>IF(AB58&lt;=Sheet1!D$148, (1/((1+AF$10)^(AB58-0.5)))," ")</f>
        <v xml:space="preserve"> </v>
      </c>
      <c r="AG58" s="263" t="str">
        <f>IF(AND(Sheet1!D$193,AB58&lt;&gt;" "),ROUND(+AE58*AF58,Sheet1!D$75)," ")</f>
        <v xml:space="preserve"> </v>
      </c>
      <c r="AH58" s="264" t="str">
        <f>IF(AB58&lt;&gt;" ",ROUND(VLOOKUP(Sheet1!E$82,CHOOSE(Sheet1!D$215,Inflate1,Inflate2,Inflate3,Inflate4,Inflate5,Inflate6,Inflate7,Inflate8),2),4)," ")</f>
        <v xml:space="preserve"> </v>
      </c>
      <c r="AI58" s="264" t="str">
        <f>IF(AB58&lt;&gt;" ",ROUND(VLOOKUP(AC58,CHOOSE(Sheet1!D$212,Inflate1,Inflate2,Inflate3,Inflate4,Inflate5,Inflate6,Inflate7,Inflate8),3),4)," ")</f>
        <v xml:space="preserve"> </v>
      </c>
      <c r="AJ58" s="263" t="b">
        <f>IF(AND(Sheet1!D$193,AB58&lt;&gt;" "),IF(AND(O58&lt;=10,OR(Sheet1!D$8=2,Sheet1!D$8=3,Sheet1!D$22=3)),ROUND((AE58/AH58)*AI58,Sheet1!D$75),IF(AND(Sheet1!D$8&lt;&gt;2,Sheet1!D$8&lt;&gt;3,Sheet1!D$22&lt;&gt;3),ROUND((AE58/AH58)*AI58,Sheet1!D$75)," ")))</f>
        <v>0</v>
      </c>
    </row>
    <row r="59" spans="1:36" ht="12" hidden="1" customHeight="1" x14ac:dyDescent="0.2">
      <c r="A59" s="271" t="str">
        <f>IF(OR(Sheet1!D$192=1,Sheet1!D$193),IF(OR((A58&gt;=(Sheet1!D$148+$A$11)-1),AND(Sheet1!D$8=3,A58&gt;=6))," ",A58+1),NA())</f>
        <v xml:space="preserve"> </v>
      </c>
      <c r="B59" s="271" t="str">
        <f>IF(OR(Sheet1!D$192=1,Sheet1!D$193),IF(OR((B58&gt;=(Sheet1!D$148+$B$11)-1),AND(Sheet1!D$8=3,A58&gt;=6))," ",B58+1),NA())</f>
        <v xml:space="preserve"> </v>
      </c>
      <c r="C59" s="262"/>
      <c r="D59" s="263" t="str">
        <f>IF(AND(Sheet1!D$192=1,A59&lt;&gt;" "),ROUND(VLOOKUP(A59,StatusQuo!A$19:M$68,12),Sheet1!D$75),IF(Sheet1!D$192=1," ","SQ not feasible "))</f>
        <v xml:space="preserve"> </v>
      </c>
      <c r="E59" s="263" t="str">
        <f>IF(AND(Sheet1!D$196=1,A59&lt;&gt;" "),ROUND(VLOOKUP(A59,AlternativeD!A$110:M$159,12),Sheet1!D$75),IF(Sheet1!D$196=1," ","Alt  'A'  not feasible"))</f>
        <v>Alt  'A'  not feasible</v>
      </c>
      <c r="F59" s="263" t="str">
        <f>IF(AND(A59&lt;&gt;" ",Sheet1!D$192=1,Sheet1!D$193),D59-E59,IF(AND(Sheet1!D$193,A59&lt;&gt;" ")," "," "))</f>
        <v xml:space="preserve"> </v>
      </c>
      <c r="G59" s="264" t="str">
        <f>IF(A59&lt;=Sheet1!D$148, (1/((1+G$10)^(A59-0.5)))," ")</f>
        <v xml:space="preserve"> </v>
      </c>
      <c r="H59" s="263" t="str">
        <f>IF(AND(A59&lt;&gt;" ",Sheet1!D$192=1,Sheet1!D$193),ROUND(F59*G59,Sheet1!D$75),IF(AND(A59&lt;&gt;" ",Sheet1!D$193),ROUND(E59*G59,Sheet1!D$75)," "))</f>
        <v xml:space="preserve"> </v>
      </c>
      <c r="I59" s="264" t="str">
        <f>IF(A59&lt;&gt;" ",ROUND(VLOOKUP(Sheet1!E$82,CHOOSE(Sheet1!D$232,Inflate7,Inflate2,Inflate3,Inflate4,Inflate5,Inflate6,Inflate1,Inflate8),2),4)," ")</f>
        <v xml:space="preserve"> </v>
      </c>
      <c r="J59" s="264" t="str">
        <f>IF(A59&lt;&gt;" ",ROUND(VLOOKUP(B59,CHOOSE(Sheet1!D$235,Inflate7,Inflate2,Inflate3,Inflate4,Inflate5,Inflate6,Inflate1,Inflate8),3),4)," ")</f>
        <v xml:space="preserve"> </v>
      </c>
      <c r="K59" s="265" t="str">
        <f>IF(AND(A59&lt;&gt;" ",Sheet1!D$192=1,Sheet1!D$193),ROUND((F59/I59)*J59,Sheet1!D$75),IF(AND(A59&lt;&gt;" ",Sheet1!D$193),ROUND((E59/I59)*J59,Sheet1!D$75)," "))</f>
        <v xml:space="preserve"> </v>
      </c>
      <c r="L59" s="254" t="str">
        <f>IF(Sheet1!D$192=1,IF(AND(AA59&gt;AJ$61,AA58&lt;=AJ$61),"&lt;-Payback"," ")," ")</f>
        <v xml:space="preserve"> </v>
      </c>
      <c r="M59" s="271" t="str">
        <f>IF(OR(Sheet1!D$192=1,Sheet1!D$193),IF(OR((A58&gt;=(Sheet1!D$148+$A$11)-1),AND(Sheet1!D$8=3,A58&gt;=6))," ",A58+1),NA())</f>
        <v xml:space="preserve"> </v>
      </c>
      <c r="N59" s="271" t="str">
        <f>IF(OR(Sheet1!D$192=1,Sheet1!D$193),IF(OR((B58&gt;=(Sheet1!D$148+$B$11)-1),AND(Sheet1!D$8=3,A58&gt;=6))," ",B58+1),NA())</f>
        <v xml:space="preserve"> </v>
      </c>
      <c r="O59" s="266" t="e">
        <f>IF(AND(Sheet1!D$8=3,M59=" ")," ",IF(OR(Sheet1!D$192=1,Sheet1!D$196=1),IF(O58&gt;0,IF(AND(OR(Sheet1!D$8=2,Sheet1!D$22=3),O58&gt;=10)," ",O58+1),IF(NOT(Sheet1!D$192=1),0,IF(ROUND(VLOOKUP(A59,StatusQuo!A$19:M$68,13),Sheet1!D$75)-ROUND(VLOOKUP(A59,AlternativeD!A$110:M$159,13),Sheet1!D$75)&gt;0,1,0)))," "))</f>
        <v>#VALUE!</v>
      </c>
      <c r="P59" s="263" t="str">
        <f>IF(AND(A59&lt;&gt;" ",Sheet1!D$192=1,Sheet1!D$196=1),IF(AND(OR(Sheet1!D$8=2,Sheet1!D$22=3),O59&gt;10),0,ROUND(VLOOKUP(A59,StatusQuo!A$19:M$68,13),Sheet1!D$75)),IF(NOT(Sheet1!D$192=1),"not feasible",IF(A59=" "," ", "Savings is  n/a=&gt;")))</f>
        <v xml:space="preserve"> </v>
      </c>
      <c r="Q59" s="263" t="str">
        <f>IF(AND(A59&lt;&gt;" ",Sheet1!D$192=1,Sheet1!D$196=1),IF(AND(OR(Sheet1!D$8=2,Sheet1!D$22=3),O59&gt;10),0,ROUND(VLOOKUP(A59,AlternativeD!A$110:M$159,13),Sheet1!D$75)),IF(NOT(Sheet1!D$196=1),"not feasible",IF(A59=" "," ","&lt;== Savings is n/a")))</f>
        <v>not feasible</v>
      </c>
      <c r="R59" s="263" t="str">
        <f>IF(AND(A59&lt;&gt;" ",Sheet1!D$192=1,Sheet1!D$193),IF(G$81&lt;&gt;" ","??????? ",P59-Q59)," ")</f>
        <v xml:space="preserve"> </v>
      </c>
      <c r="S59" s="263" t="str">
        <f>IF(AND(A59&lt;&gt;" ",Sheet1!D$192=1,Sheet1!D$196=1),ROUND(R59*G59,Sheet1!D$75)," ")</f>
        <v xml:space="preserve"> </v>
      </c>
      <c r="T59" s="263" t="str">
        <f>IF(AND(A59&lt;&gt;" ",Sheet1!D$192=1,Sheet1!D$193),ROUND((R59/I59)*J59,Sheet1!D$75)," ")</f>
        <v xml:space="preserve"> </v>
      </c>
      <c r="U59" s="265">
        <f>SUM(T$11:T59)</f>
        <v>0</v>
      </c>
      <c r="V59" s="254" t="str">
        <f t="shared" si="0"/>
        <v xml:space="preserve"> </v>
      </c>
      <c r="W59" s="268"/>
      <c r="AA59" s="260"/>
      <c r="AB59" s="271" t="str">
        <f>IF(OR(Sheet1!D$192=1,Sheet1!D$193),IF(OR((AB58&gt;=(Sheet1!D$148+$A$11)-1),AND(Sheet1!D$8=3,AB58&gt;=6))," ",AB58+1),NA())</f>
        <v xml:space="preserve"> </v>
      </c>
      <c r="AC59" s="271" t="str">
        <f>IF(OR(Sheet1!D$192=1,Sheet1!D$193),IF(OR((AC58&gt;=(Sheet1!D$148+$B$11)-1),AND(Sheet1!D$8=3,AB58&gt;=6))," ",AC58+1),NA())</f>
        <v xml:space="preserve"> </v>
      </c>
      <c r="AD59" s="272"/>
      <c r="AE59" s="263" t="str">
        <f>IF(AND(Sheet1!D$196=1,AB59&lt;&gt;" "),ROUND(VLOOKUP(AB59,AlternativeD!A$17:M$66,12),Sheet1!D$75),IF(Sheet1!D$196=1," ","Alt  'D'  not feasible"))</f>
        <v>Alt  'D'  not feasible</v>
      </c>
      <c r="AF59" s="264" t="str">
        <f>IF(AB59&lt;=Sheet1!D$148, (1/((1+AF$10)^(AB59-0.5)))," ")</f>
        <v xml:space="preserve"> </v>
      </c>
      <c r="AG59" s="263" t="str">
        <f>IF(AND(Sheet1!D$193,AB59&lt;&gt;" "),ROUND(+AE59*AF59,Sheet1!D$75)," ")</f>
        <v xml:space="preserve"> </v>
      </c>
      <c r="AH59" s="264" t="str">
        <f>IF(AB59&lt;&gt;" ",ROUND(VLOOKUP(Sheet1!E$82,CHOOSE(Sheet1!D$215,Inflate1,Inflate2,Inflate3,Inflate4,Inflate5,Inflate6,Inflate7,Inflate8),2),4)," ")</f>
        <v xml:space="preserve"> </v>
      </c>
      <c r="AI59" s="264" t="str">
        <f>IF(AB59&lt;&gt;" ",ROUND(VLOOKUP(AC59,CHOOSE(Sheet1!D$212,Inflate1,Inflate2,Inflate3,Inflate4,Inflate5,Inflate6,Inflate7,Inflate8),3),4)," ")</f>
        <v xml:space="preserve"> </v>
      </c>
      <c r="AJ59" s="263" t="b">
        <f>IF(AND(Sheet1!D$193,AB59&lt;&gt;" "),IF(AND(O59&lt;=10,OR(Sheet1!D$8=2,Sheet1!D$8=3,Sheet1!D$22=3)),ROUND((AE59/AH59)*AI59,Sheet1!D$75),IF(AND(Sheet1!D$8&lt;&gt;2,Sheet1!D$8&lt;&gt;3,Sheet1!D$22&lt;&gt;3),ROUND((AE59/AH59)*AI59,Sheet1!D$75)," ")))</f>
        <v>0</v>
      </c>
    </row>
    <row r="60" spans="1:36" ht="12" hidden="1" customHeight="1" thickBot="1" x14ac:dyDescent="0.25">
      <c r="A60" s="271" t="str">
        <f>IF(OR(Sheet1!D$192=1,Sheet1!D$193),IF(OR((A59&gt;=(Sheet1!D$148+$A$11)-1),AND(Sheet1!D$8=3,A59&gt;=6))," ",A59+1),NA())</f>
        <v xml:space="preserve"> </v>
      </c>
      <c r="B60" s="271" t="str">
        <f>IF(OR(Sheet1!D$192=1,Sheet1!D$193),IF(OR((B59&gt;=(Sheet1!D$148+$B$11)-1),AND(Sheet1!D$8=3,A59&gt;=6))," ",B59+1),NA())</f>
        <v xml:space="preserve"> </v>
      </c>
      <c r="C60" s="262"/>
      <c r="D60" s="263" t="str">
        <f>IF(AND(Sheet1!D$192=1,A60&lt;&gt;" "),ROUND(VLOOKUP(A60,StatusQuo!A$19:M$68,12),Sheet1!D$75),IF(Sheet1!D$192=1," ","SQ not feasible "))</f>
        <v xml:space="preserve"> </v>
      </c>
      <c r="E60" s="263" t="str">
        <f>IF(AND(Sheet1!D$196=1,A60&lt;&gt;" "),ROUND(VLOOKUP(A60,AlternativeD!A$110:M$159,12),Sheet1!D$75),IF(Sheet1!D$196=1," ","Alt  'A'  not feasible"))</f>
        <v>Alt  'A'  not feasible</v>
      </c>
      <c r="F60" s="263" t="str">
        <f>IF(AND(A60&lt;&gt;" ",Sheet1!D$192=1,Sheet1!D$193),D60-E60,IF(AND(Sheet1!D$193,A60&lt;&gt;" ")," "," "))</f>
        <v xml:space="preserve"> </v>
      </c>
      <c r="G60" s="264" t="str">
        <f>IF(A60&lt;=Sheet1!D$148, (1/((1+G$10)^(A60-0.5)))," ")</f>
        <v xml:space="preserve"> </v>
      </c>
      <c r="H60" s="263" t="str">
        <f>IF(AND(A60&lt;&gt;" ",Sheet1!D$192=1,Sheet1!D$193),ROUND(F60*G60,Sheet1!D$75),IF(AND(A60&lt;&gt;" ",Sheet1!D$193),ROUND(E60*G60,Sheet1!D$75)," "))</f>
        <v xml:space="preserve"> </v>
      </c>
      <c r="I60" s="264" t="str">
        <f>IF(A60&lt;&gt;" ",ROUND(VLOOKUP(Sheet1!E$82,CHOOSE(Sheet1!D$232,Inflate7,Inflate2,Inflate3,Inflate4,Inflate5,Inflate6,Inflate1,Inflate8),2),4)," ")</f>
        <v xml:space="preserve"> </v>
      </c>
      <c r="J60" s="264" t="str">
        <f>IF(A60&lt;&gt;" ",ROUND(VLOOKUP(B60,CHOOSE(Sheet1!D$235,Inflate7,Inflate2,Inflate3,Inflate4,Inflate5,Inflate6,Inflate1,Inflate8),3),4)," ")</f>
        <v xml:space="preserve"> </v>
      </c>
      <c r="K60" s="265" t="str">
        <f>IF(AND(A60&lt;&gt;" ",Sheet1!D$192=1,Sheet1!D$193),ROUND((F60/I60)*J60,Sheet1!D$75),IF(AND(A60&lt;&gt;" ",Sheet1!D$193),ROUND((E60/I60)*J60,Sheet1!D$75)," "))</f>
        <v xml:space="preserve"> </v>
      </c>
      <c r="L60" s="254" t="str">
        <f>IF(Sheet1!D$192=1,IF(AND(AA60&gt;AJ$61,AA59&lt;=AJ$61),"&lt;-Payback"," ")," ")</f>
        <v xml:space="preserve"> </v>
      </c>
      <c r="M60" s="271" t="str">
        <f>IF(OR(Sheet1!D$192=1,Sheet1!D$193),IF(OR((A59&gt;=(Sheet1!D$148+$A$11)-1),AND(Sheet1!D$8=3,A59&gt;=6))," ",A59+1),NA())</f>
        <v xml:space="preserve"> </v>
      </c>
      <c r="N60" s="271" t="str">
        <f>IF(OR(Sheet1!D$192=1,Sheet1!D$193),IF(OR((B59&gt;=(Sheet1!D$148+$B$11)-1),AND(Sheet1!D$8=3,A59&gt;=6))," ",B59+1),NA())</f>
        <v xml:space="preserve"> </v>
      </c>
      <c r="O60" s="266" t="e">
        <f>IF(AND(Sheet1!D$8=3,M60=" ")," ",IF(OR(Sheet1!D$192=1,Sheet1!D$196=1),IF(O59&gt;0,IF(AND(OR(Sheet1!D$8=2,Sheet1!D$22=3),O59&gt;=10)," ",O59+1),IF(NOT(Sheet1!D$192=1),0,IF(ROUND(VLOOKUP(A60,StatusQuo!A$19:M$68,13),Sheet1!D$75)-ROUND(VLOOKUP(A60,AlternativeD!A$110:M$159,13),Sheet1!D$75)&gt;0,1,0)))," "))</f>
        <v>#VALUE!</v>
      </c>
      <c r="P60" s="263" t="str">
        <f>IF(AND(A60&lt;&gt;" ",Sheet1!D$192=1,Sheet1!D$196=1),IF(AND(OR(Sheet1!D$8=2,Sheet1!D$22=3),O60&gt;10),0,ROUND(VLOOKUP(A60,StatusQuo!A$19:M$68,13),Sheet1!D$75)),IF(NOT(Sheet1!D$192=1),"not feasible",IF(A60=" "," ", "Savings is  n/a=&gt;")))</f>
        <v xml:space="preserve"> </v>
      </c>
      <c r="Q60" s="263" t="str">
        <f>IF(AND(A60&lt;&gt;" ",Sheet1!D$192=1,Sheet1!D$196=1),IF(AND(OR(Sheet1!D$8=2,Sheet1!D$22=3),O60&gt;10),0,ROUND(VLOOKUP(A60,AlternativeD!A$110:M$159,13),Sheet1!D$75)),IF(NOT(Sheet1!D$196=1),"not feasible",IF(A60=" "," ","&lt;== Savings is n/a")))</f>
        <v>not feasible</v>
      </c>
      <c r="R60" s="263" t="str">
        <f>IF(AND(A60&lt;&gt;" ",Sheet1!D$192=1,Sheet1!D$193),IF(G$81&lt;&gt;" ","??????? ",P60-Q60)," ")</f>
        <v xml:space="preserve"> </v>
      </c>
      <c r="S60" s="263" t="str">
        <f>IF(AND(A60&lt;&gt;" ",Sheet1!D$192=1,Sheet1!D$196=1),ROUND(R60*G60,Sheet1!D$75)," ")</f>
        <v xml:space="preserve"> </v>
      </c>
      <c r="T60" s="263" t="str">
        <f>IF(AND(A60&lt;&gt;" ",Sheet1!D$192=1,Sheet1!D$193),ROUND((R60/I60)*J60,Sheet1!D$75)," ")</f>
        <v xml:space="preserve"> </v>
      </c>
      <c r="U60" s="265">
        <f>SUM(T$11:T60)</f>
        <v>0</v>
      </c>
      <c r="V60" s="254" t="str">
        <f t="shared" si="0"/>
        <v xml:space="preserve"> </v>
      </c>
      <c r="W60" s="268"/>
      <c r="AA60" s="260"/>
      <c r="AB60" s="271" t="str">
        <f>IF(OR(Sheet1!D$192=1,Sheet1!D$193),IF(OR((AB59&gt;=(Sheet1!D$148+$A$11)-1),AND(Sheet1!D$8=3,AB59&gt;=6))," ",AB59+1),NA())</f>
        <v xml:space="preserve"> </v>
      </c>
      <c r="AC60" s="271" t="str">
        <f>IF(OR(Sheet1!D$192=1,Sheet1!D$193),IF(OR((AC59&gt;=(Sheet1!D$148+$B$11)-1),AND(Sheet1!D$8=3,AB59&gt;=6))," ",AC59+1),NA())</f>
        <v xml:space="preserve"> </v>
      </c>
      <c r="AD60" s="272"/>
      <c r="AE60" s="263" t="str">
        <f>IF(AND(Sheet1!D$196=1,AB60&lt;&gt;" "),ROUND(VLOOKUP(AB60,AlternativeD!A$17:M$66,12),Sheet1!D$75),IF(Sheet1!D$196=1," ","Alt  'D'  not feasible"))</f>
        <v>Alt  'D'  not feasible</v>
      </c>
      <c r="AF60" s="264" t="str">
        <f>IF(AB60&lt;=Sheet1!D$148, (1/((1+AF$10)^(AB60-0.5)))," ")</f>
        <v xml:space="preserve"> </v>
      </c>
      <c r="AG60" s="263" t="str">
        <f>IF(AND(Sheet1!D$193,AB60&lt;&gt;" "),ROUND(+AE60*AF60,Sheet1!D$75)," ")</f>
        <v xml:space="preserve"> </v>
      </c>
      <c r="AH60" s="264" t="str">
        <f>IF(AB60&lt;&gt;" ",ROUND(VLOOKUP(Sheet1!E$82,CHOOSE(Sheet1!D$215,Inflate1,Inflate2,Inflate3,Inflate4,Inflate5,Inflate6,Inflate7,Inflate8),2),4)," ")</f>
        <v xml:space="preserve"> </v>
      </c>
      <c r="AI60" s="264" t="str">
        <f>IF(AB60&lt;&gt;" ",ROUND(VLOOKUP(AC60,CHOOSE(Sheet1!D$212,Inflate1,Inflate2,Inflate3,Inflate4,Inflate5,Inflate6,Inflate7,Inflate8),3),4)," ")</f>
        <v xml:space="preserve"> </v>
      </c>
      <c r="AJ60" s="263" t="b">
        <f>IF(AND(Sheet1!D$193,AB60&lt;&gt;" "),IF(AND(O60&lt;=10,OR(Sheet1!D$8=2,Sheet1!D$8=3,Sheet1!D$22=3)),ROUND((AE60/AH60)*AI60,Sheet1!D$75),IF(AND(Sheet1!D$8&lt;&gt;2,Sheet1!D$8&lt;&gt;3,Sheet1!D$22&lt;&gt;3),ROUND((AE60/AH60)*AI60,Sheet1!D$75)," ")))</f>
        <v>0</v>
      </c>
    </row>
    <row r="61" spans="1:36" ht="21.6" thickTop="1" thickBot="1" x14ac:dyDescent="0.25">
      <c r="A61" s="274" t="s">
        <v>311</v>
      </c>
      <c r="B61" s="275"/>
      <c r="C61" s="276"/>
      <c r="D61" s="277">
        <f>IF(Sheet1!D$192=1,SUM(D11:D60),"SQ not feasible")</f>
        <v>0</v>
      </c>
      <c r="E61" s="277" t="str">
        <f>IF(Sheet1!D$196=1,SUM(E11:E60),"Alt  'D'  not feasible")</f>
        <v>Alt  'D'  not feasible</v>
      </c>
      <c r="F61" s="277">
        <f>SUM(F11:F60)</f>
        <v>0</v>
      </c>
      <c r="G61" s="278"/>
      <c r="H61" s="277">
        <f>SUM(H11:H60)</f>
        <v>0</v>
      </c>
      <c r="I61" s="279"/>
      <c r="J61" s="280" t="str">
        <f>CHOOSE(Sheet1!D$215,"RDTE weighted","APA weighted","MIPA weighted","WTCV weighted","AMMO weighted","OPA weighted","OMA weighted","MCA weighted")</f>
        <v>RDTE weighted</v>
      </c>
      <c r="K61" s="277">
        <f>SUM(K11:K60)</f>
        <v>0</v>
      </c>
      <c r="L61" s="281"/>
      <c r="M61" s="282"/>
      <c r="N61" s="275" t="s">
        <v>252</v>
      </c>
      <c r="O61" s="275"/>
      <c r="P61" s="283">
        <f>SUM(P11:P60)</f>
        <v>0</v>
      </c>
      <c r="Q61" s="283">
        <f>SUM(Q11:Q60)</f>
        <v>0</v>
      </c>
      <c r="R61" s="283">
        <f>IF(G$81&lt;&gt;" ","???????",SUM(R11:R60))</f>
        <v>0</v>
      </c>
      <c r="S61" s="283">
        <f>SUM(S11:S60)</f>
        <v>0</v>
      </c>
      <c r="T61" s="283">
        <f>SUM(T11:T60)</f>
        <v>0</v>
      </c>
      <c r="U61" s="284"/>
      <c r="V61" s="260"/>
      <c r="AB61" s="285" t="s">
        <v>312</v>
      </c>
      <c r="AC61" s="286"/>
      <c r="AD61" s="287"/>
      <c r="AE61" s="288" t="str">
        <f>IF(Sheet1!D$196=1,SUM(AE11:AE60),"Alt  'D'  not feasible")</f>
        <v>Alt  'D'  not feasible</v>
      </c>
      <c r="AF61" s="289"/>
      <c r="AG61" s="288">
        <f>SUM(AG11:AG60)</f>
        <v>0</v>
      </c>
      <c r="AH61" s="289"/>
      <c r="AI61" s="289"/>
      <c r="AJ61" s="288">
        <f>IF(Sheet1!D196=1,SUM(AJ11:AJ60),0)</f>
        <v>0</v>
      </c>
    </row>
    <row r="62" spans="1:36" ht="21" thickBot="1" x14ac:dyDescent="0.25">
      <c r="A62" s="290" t="s">
        <v>313</v>
      </c>
      <c r="B62" s="291">
        <f>IF(Sheet1!D$192=1,IF(AND(Sheet1!D$8=3,StatusQuo!A$77&gt;7)," ",StatusQuo!B$77),IF(Sheet1!D$193,IF(AND(Sheet1!D$8=3,AlternativeD!A$168&gt;7)," ",AlternativeD!B$168)," "))</f>
        <v>2025</v>
      </c>
      <c r="C62" s="292" t="str">
        <f>IF(Sheet1!D$192=1,"(+)","(+) ")</f>
        <v>(+)</v>
      </c>
      <c r="D62" s="293">
        <f>IF(Sheet1!D$192=1,IF(AND(Sheet1!D$8=3,StatusQuo!A$77&gt;7),0,ROUND((StatusQuo!L$77),Sheet1!D$75)*-1),"SQ not feasible ")</f>
        <v>0</v>
      </c>
      <c r="E62" s="293" t="str">
        <f>IF(Sheet1!D$196=1,IF(AND(Sheet1!D$8=3,AlternativeD!A$168&gt;7),0,ROUND((AlternativeD!L$168),Sheet1!D$75)*-1),"Alt  'D'  not feasible ")</f>
        <v xml:space="preserve">Alt  'D'  not feasible </v>
      </c>
      <c r="F62" s="293" t="e">
        <f>IF(Sheet1!D$192=1,D62-E62," ")</f>
        <v>#VALUE!</v>
      </c>
      <c r="G62" s="294" t="str">
        <f>IF(AND(Sheet1!D$192=1,Sheet1!D$196=1),IF(OR(Sheet1!D$8=2,Sheet1!D$8=3),1,ROUND(VLOOKUP(StatusQuo!A$77,DiscFactorsLinInterp,HLOOKUP(Sheet1!D$148,DiscLinearInterp,1)),4)),IF(Sheet1!D$196=1,IF(OR(Sheet1!D$8=2,Sheet1!D$8=3),1,ROUND(VLOOKUP(AlternativeD!A$168,DiscFactorsLinInterp,HLOOKUP(Sheet1!D$148,DiscLinearInterp,1)),4))," "))</f>
        <v xml:space="preserve"> </v>
      </c>
      <c r="H62" s="293" t="str">
        <f>IF(AND(Sheet1!D$192=1,Sheet1!D$196=1),ROUND(+F62*G62,Sheet1!D$75),IF(Sheet1!D$196=1,ROUND(E62*G62,Sheet1!D$75)," "))</f>
        <v xml:space="preserve"> </v>
      </c>
      <c r="I62" s="294">
        <f>ROUND(VLOOKUP(Sheet1!E$82,CHOOSE(Sheet1!D$215,Inflate1,Inflate2,Inflate3,Inflate4,Inflate5,Inflate6,Inflate7,Inflate8),2),4)</f>
        <v>1</v>
      </c>
      <c r="J62" s="294">
        <f>IF(B62&lt;&gt;" ",ROUND(VLOOKUP(B62,CHOOSE(Sheet1!D$215,Inflate1,Inflate2,Inflate3,Inflate4,Inflate5,Inflate6,Inflate7,Inflate8),3),4),0)</f>
        <v>1.0443</v>
      </c>
      <c r="K62" s="295" t="str">
        <f>IF(AND(Sheet1!D$192=1,Sheet1!D$196=1),ROUND((F62/I62)*J62,Sheet1!D$75),IF(Sheet1!D$196=1,ROUND((E62/I62)*J62,Sheet1!D$75)," "))</f>
        <v xml:space="preserve"> </v>
      </c>
      <c r="L62" s="177"/>
      <c r="P62" s="296"/>
      <c r="Q62" s="296"/>
      <c r="R62" s="296"/>
      <c r="S62" s="296"/>
      <c r="T62" s="296"/>
      <c r="AB62" s="297" t="s">
        <v>314</v>
      </c>
      <c r="AC62" s="298"/>
      <c r="AD62" s="299"/>
      <c r="AE62" s="263"/>
      <c r="AF62" s="300"/>
      <c r="AG62" s="263"/>
      <c r="AH62" s="300"/>
      <c r="AI62" s="300"/>
      <c r="AJ62" s="263"/>
    </row>
    <row r="63" spans="1:36" ht="12" thickTop="1" x14ac:dyDescent="0.2">
      <c r="A63" s="301" t="s">
        <v>315</v>
      </c>
      <c r="B63" s="298"/>
      <c r="C63" s="299"/>
      <c r="D63" s="302">
        <f>IF(Sheet1!D$192=1,SUM(D61:D62),"SQ not feasible")</f>
        <v>0</v>
      </c>
      <c r="E63" s="277">
        <f>IF(Sheet1!$D$196,SUM(E61:E62),"Alt  'D' not feasible")</f>
        <v>0</v>
      </c>
      <c r="F63" s="302" t="e">
        <f>SUM(F61:F62)</f>
        <v>#VALUE!</v>
      </c>
      <c r="G63" s="278"/>
      <c r="H63" s="277">
        <f>SUM(H61:H62)</f>
        <v>0</v>
      </c>
      <c r="I63" s="303" t="str">
        <f>IF(Sheet1!D$192=1,"         Total Benefits===&gt;","  Total Operating Cost=&gt;")</f>
        <v xml:space="preserve">         Total Benefits===&gt;</v>
      </c>
      <c r="J63" s="304"/>
      <c r="K63" s="277">
        <f>SUM(K61:K62)</f>
        <v>0</v>
      </c>
      <c r="L63" s="177"/>
      <c r="P63" s="296"/>
      <c r="Q63" s="296"/>
      <c r="R63" s="296"/>
      <c r="S63" s="296"/>
      <c r="T63" s="260"/>
      <c r="AB63" s="305" t="s">
        <v>316</v>
      </c>
      <c r="AD63" s="306"/>
      <c r="AE63" s="265"/>
      <c r="AF63" s="300"/>
      <c r="AG63" s="265"/>
      <c r="AH63" s="300"/>
      <c r="AI63" s="300"/>
      <c r="AJ63" s="265"/>
    </row>
    <row r="64" spans="1:36" ht="12.6" thickBot="1" x14ac:dyDescent="0.25">
      <c r="A64" s="274" t="str">
        <f>IF(Sheet1!D$192=1,"Adjusted  Invest Cost ","Adjusted Invest Cost (+)")</f>
        <v xml:space="preserve">Adjusted  Invest Cost </v>
      </c>
      <c r="B64" s="307"/>
      <c r="C64" s="308"/>
      <c r="D64" s="309" t="str">
        <f>IF(Sheet1!D$192=1,"(+)"," ")</f>
        <v>(+)</v>
      </c>
      <c r="E64" s="293" t="str">
        <f>IF(Sheet1!D$196=1,AE81,"Alt  'D'  not feasible")</f>
        <v>Alt  'D'  not feasible</v>
      </c>
      <c r="F64" s="270"/>
      <c r="G64" s="309" t="str">
        <f>IF(Sheet1!D$192=1,"(-)","(+) ")</f>
        <v>(-)</v>
      </c>
      <c r="H64" s="293" t="str">
        <f>IF(Sheet1!D$196=1,AG81,"Alt  'D'  not feasible")</f>
        <v>Alt  'D'  not feasible</v>
      </c>
      <c r="I64" s="310"/>
      <c r="J64" s="309" t="str">
        <f>IF(Sheet1!D$192=1,"(-)","(+) ")</f>
        <v>(-)</v>
      </c>
      <c r="K64" s="293" t="str">
        <f>IF(Sheet1!D$196=1,AJ81,"Alt  'D' not feasible")</f>
        <v>Alt  'D' not feasible</v>
      </c>
      <c r="L64" s="177"/>
      <c r="P64" s="296"/>
      <c r="Q64" s="296"/>
      <c r="R64" s="296"/>
      <c r="S64" s="296"/>
      <c r="T64" s="296"/>
      <c r="AB64" s="311" t="s">
        <v>317</v>
      </c>
      <c r="AC64" s="312"/>
      <c r="AD64" s="313"/>
      <c r="AE64" s="265"/>
      <c r="AF64" s="314"/>
      <c r="AG64" s="265"/>
      <c r="AH64" s="314"/>
      <c r="AI64" s="314"/>
      <c r="AJ64" s="265"/>
    </row>
    <row r="65" spans="1:36" ht="14.4" thickTop="1" thickBot="1" x14ac:dyDescent="0.3">
      <c r="A65" s="274" t="str">
        <f>IF(Sheet1!D$192=1,"Project Total Cost   =&gt;","Project Total Cost  =&gt;")</f>
        <v>Project Total Cost   =&gt;</v>
      </c>
      <c r="B65" s="307"/>
      <c r="C65" s="308"/>
      <c r="D65" s="296"/>
      <c r="E65" s="315" t="str">
        <f>IF(Sheet1!D$196=1,+E63+E64,"Alt  'D'  not feasible")</f>
        <v>Alt  'D'  not feasible</v>
      </c>
      <c r="F65" s="316"/>
      <c r="G65" s="303" t="str">
        <f>IF(Sheet1!D$192=1,IF(OR(Sheet1!D$8=2,Sheet1!D$8=3)," ","      NPV =&gt;"),"  ")</f>
        <v xml:space="preserve">      NPV =&gt;</v>
      </c>
      <c r="H65" s="315" t="str">
        <f>IF(Sheet1!D196=2, H64, IF(Sheet1!D$192=1,H63-H64,H63+H64))</f>
        <v>Alt  'D'  not feasible</v>
      </c>
      <c r="I65" s="303" t="str">
        <f>IF(Sheet1!D$192=1,"              Net Benefits =&gt;","     Project Total Cost=&gt;")</f>
        <v xml:space="preserve">              Net Benefits =&gt;</v>
      </c>
      <c r="J65" s="304"/>
      <c r="K65" s="315" t="e">
        <f>IF(Sheet1!D$192=1,K63-K64,K63+K64)</f>
        <v>#VALUE!</v>
      </c>
      <c r="L65" s="177"/>
      <c r="P65" s="296"/>
      <c r="Q65" s="296"/>
      <c r="R65" s="296"/>
      <c r="S65" s="296"/>
      <c r="T65" s="296"/>
      <c r="AB65" s="261">
        <f>IF(OR(Sheet1!D$192=1,Sheet1!D$196=1),VLOOKUP(1,Sheet1!A148:B179,2),NA())</f>
        <v>1</v>
      </c>
      <c r="AC65" s="261">
        <f>IF(OR(Sheet1!D$192=1,Sheet1!D$196=1),VLOOKUP(Sheet1!D$86,Sheet1!A82:B135,2),NA())</f>
        <v>2024</v>
      </c>
      <c r="AD65" s="317"/>
      <c r="AE65" s="263" t="str">
        <f>IF(AND(Sheet1!D$196=1,AB65&lt;&gt;" "),ROUND(VLOOKUP(AB65,AlternativeD!A$76:M$82,12),Sheet1!D$75),IF(Sheet1!D$196=1," ","Alt  'D'  not feasible"))</f>
        <v>Alt  'D'  not feasible</v>
      </c>
      <c r="AF65" s="264">
        <f>IF(AB65&lt;=Sheet1!D$148,IF(OR(Sheet1!D$8=2,Sheet1!D$8=3),1,ROUND(VLOOKUP(AB65,DiscFactorsLinInterp,HLOOKUP(Sheet1!D$148,DiscLinearInterp,1)),4))," ")</f>
        <v>1</v>
      </c>
      <c r="AG65" s="263" t="str">
        <f>IF(AND(Sheet1!D$196=1,AB65&lt;&gt;" "),ROUND(+AE65*AF65,Sheet1!D$75)," ")</f>
        <v xml:space="preserve"> </v>
      </c>
      <c r="AH65" s="264">
        <f>IF(AB65&lt;&gt;" ",ROUND(VLOOKUP(Sheet1!E$82,CHOOSE(Sheet1!D$215,Inflate1,Inflate2,Inflate3,Inflate4,Inflate5,Inflate6,Inflate7,Inflate8),2),4)," ")</f>
        <v>1</v>
      </c>
      <c r="AI65" s="264">
        <f>IF(AB65&lt;&gt;" ",ROUND(VLOOKUP(AC65,CHOOSE(Sheet1!D$215,Inflate1,Inflate2,Inflate3,Inflate4,Inflate5,Inflate6,Inflate7,Inflate8),3),4)," ")</f>
        <v>1.0225</v>
      </c>
      <c r="AJ65" s="263" t="str">
        <f>IF(AND(Sheet1!D$196=1,AB65&lt;&gt;" "),ROUND((AE65/AH65)*AI65,Sheet1!D$75)," ")</f>
        <v xml:space="preserve"> </v>
      </c>
    </row>
    <row r="66" spans="1:36" ht="12" thickTop="1" x14ac:dyDescent="0.2">
      <c r="A66" s="270"/>
      <c r="B66" s="270"/>
      <c r="D66" s="296"/>
      <c r="E66" s="296"/>
      <c r="F66" s="270"/>
      <c r="G66" s="304"/>
      <c r="H66" s="303" t="str">
        <f>IF(Sheet1!D$192=1,IF(OR(Sheet1!D$8=2,Sheet1!D$8=3),"  ^  Net Benefits  ^","^ Net Present Value^"),"^Project Total Cost^")</f>
        <v>^ Net Present Value^</v>
      </c>
      <c r="I66" s="310"/>
      <c r="J66" s="304"/>
      <c r="K66" s="260"/>
      <c r="L66" s="177"/>
      <c r="P66" s="296"/>
      <c r="Q66" s="296"/>
      <c r="R66" s="296"/>
      <c r="S66" s="296"/>
      <c r="T66" s="296"/>
      <c r="AB66" s="271" t="str">
        <f>IF(OR(Sheet1!D$192=1,Sheet1!D$196=1),IF(OR((AB65&gt;=(Sheet1!D$148+$A$11)-1),AND(Sheet1!D$8=3,AB65&gt;=6))," ",AB65+1),NA())</f>
        <v xml:space="preserve"> </v>
      </c>
      <c r="AC66" s="271" t="str">
        <f>IF(OR(Sheet1!D$192=1,Sheet1!D$196=1),IF(OR((AC65&gt;=(Sheet1!D$148+$B$11)-1),AND(Sheet1!D$8=3,AB65&gt;=6))," ",AC65+1),NA())</f>
        <v xml:space="preserve"> </v>
      </c>
      <c r="AD66" s="262"/>
      <c r="AE66" s="263" t="str">
        <f>IF(AND(Sheet1!D$196=1,AB66&lt;&gt;" "),ROUND(VLOOKUP(AB66,AlternativeD!A$76:M$82,12),Sheet1!D$75),IF(Sheet1!D$196=1," ","Alt  'D'  not feasible"))</f>
        <v>Alt  'D'  not feasible</v>
      </c>
      <c r="AF66" s="264" t="str">
        <f>IF(AB66&lt;=Sheet1!D$148,IF(OR(Sheet1!D$8=2,Sheet1!D$8=3),1,ROUND(VLOOKUP(AB66,DiscFactorsLinInterp,HLOOKUP(Sheet1!D$148,DiscLinearInterp,1)),4))," ")</f>
        <v xml:space="preserve"> </v>
      </c>
      <c r="AG66" s="263" t="str">
        <f>IF(AND(Sheet1!D$196=1,AB66&lt;&gt;" "),ROUND(+AE66*AF66,Sheet1!D$75)," ")</f>
        <v xml:space="preserve"> </v>
      </c>
      <c r="AH66" s="264" t="str">
        <f>IF(AB66&lt;&gt;" ",ROUND(VLOOKUP(Sheet1!E$82,CHOOSE(Sheet1!D$215,Inflate1,Inflate2,Inflate3,Inflate4,Inflate5,Inflate6,Inflate7,Inflate8),2),4)," ")</f>
        <v xml:space="preserve"> </v>
      </c>
      <c r="AI66" s="264" t="str">
        <f>IF(AB66&lt;&gt;" ",ROUND(VLOOKUP(AC66,CHOOSE(Sheet1!D$215,Inflate1,Inflate2,Inflate3,Inflate4,Inflate5,Inflate6,Inflate7,Inflate8),3),4)," ")</f>
        <v xml:space="preserve"> </v>
      </c>
      <c r="AJ66" s="263" t="str">
        <f>IF(AND(Sheet1!D$196=1,AB66&lt;&gt;" "),ROUND((AE66/AH66)*AI66,Sheet1!D$75)," ")</f>
        <v xml:space="preserve"> </v>
      </c>
    </row>
    <row r="67" spans="1:36" ht="11.4" x14ac:dyDescent="0.2">
      <c r="A67" s="270"/>
      <c r="B67" s="270"/>
      <c r="D67" s="296"/>
      <c r="E67" s="296"/>
      <c r="F67" s="270"/>
      <c r="G67" s="304"/>
      <c r="H67" s="296"/>
      <c r="I67" s="310"/>
      <c r="J67" s="304"/>
      <c r="K67" s="260"/>
      <c r="L67" s="177"/>
      <c r="P67" s="296"/>
      <c r="Q67" s="296"/>
      <c r="R67" s="296"/>
      <c r="S67" s="296"/>
      <c r="T67" s="296"/>
      <c r="AB67" s="271" t="str">
        <f>IF(OR(Sheet1!D$192=1,Sheet1!D$196=1),IF(OR((AB66&gt;=(Sheet1!D$148+$A$11)-1),AND(Sheet1!D$8=3,AB66&gt;=6))," ",AB66+1),NA())</f>
        <v xml:space="preserve"> </v>
      </c>
      <c r="AC67" s="271" t="str">
        <f>IF(OR(Sheet1!D$192=1,Sheet1!D$196=1),IF(OR((AC66&gt;=(Sheet1!D$148+$B$11)-1),AND(Sheet1!D$8=3,AB66&gt;=6))," ",AC66+1),NA())</f>
        <v xml:space="preserve"> </v>
      </c>
      <c r="AD67" s="262"/>
      <c r="AE67" s="263" t="str">
        <f>IF(AND(Sheet1!D$196=1,AB67&lt;&gt;" "),ROUND(VLOOKUP(AB67,AlternativeD!A$76:M$82,12),Sheet1!D$75),IF(Sheet1!D$196=1," ","Alt  'D'  not feasible"))</f>
        <v>Alt  'D'  not feasible</v>
      </c>
      <c r="AF67" s="264" t="str">
        <f>IF(AB67&lt;=Sheet1!D$148,IF(OR(Sheet1!D$8=2,Sheet1!D$8=3),1,ROUND(VLOOKUP(AB67,DiscFactorsLinInterp,HLOOKUP(Sheet1!D$148,DiscLinearInterp,1)),4))," ")</f>
        <v xml:space="preserve"> </v>
      </c>
      <c r="AG67" s="263" t="str">
        <f>IF(AND(Sheet1!D$196=1,AB67&lt;&gt;" "),ROUND(+AE67*AF67,Sheet1!D$75)," ")</f>
        <v xml:space="preserve"> </v>
      </c>
      <c r="AH67" s="264" t="str">
        <f>IF(AB67&lt;&gt;" ",ROUND(VLOOKUP(Sheet1!E$82,CHOOSE(Sheet1!D$215,Inflate1,Inflate2,Inflate3,Inflate4,Inflate5,Inflate6,Inflate7,Inflate8),2),4)," ")</f>
        <v xml:space="preserve"> </v>
      </c>
      <c r="AI67" s="264" t="str">
        <f>IF(AB67&lt;&gt;" ",ROUND(VLOOKUP(AC67,CHOOSE(Sheet1!D$215,Inflate1,Inflate2,Inflate3,Inflate4,Inflate5,Inflate6,Inflate7,Inflate8),3),4)," ")</f>
        <v xml:space="preserve"> </v>
      </c>
      <c r="AJ67" s="263" t="str">
        <f>IF(AND(Sheet1!D$196=1,AB67&lt;&gt;" "),ROUND((AE67/AH67)*AI67,Sheet1!D$75)," ")</f>
        <v xml:space="preserve"> </v>
      </c>
    </row>
    <row r="68" spans="1:36" ht="13.2" x14ac:dyDescent="0.25">
      <c r="A68" s="316"/>
      <c r="B68" s="316"/>
      <c r="C68" s="316"/>
      <c r="D68" s="316"/>
      <c r="E68" s="316"/>
      <c r="F68" s="316"/>
      <c r="G68" s="316"/>
      <c r="H68" s="316"/>
      <c r="I68" s="316"/>
      <c r="J68" s="316"/>
      <c r="K68" s="316"/>
      <c r="L68" s="177"/>
      <c r="P68" s="296"/>
      <c r="Q68" s="296"/>
      <c r="R68" s="296"/>
      <c r="S68" s="296"/>
      <c r="T68" s="296"/>
      <c r="AB68" s="271" t="str">
        <f>IF(OR(Sheet1!D$192=1,Sheet1!D$196=1),IF(OR((AB67&gt;=(Sheet1!D$148+$A$11)-1),AND(Sheet1!D$8=3,AB67&gt;=6))," ",AB67+1),NA())</f>
        <v xml:space="preserve"> </v>
      </c>
      <c r="AC68" s="271" t="str">
        <f>IF(OR(Sheet1!D$192=1,Sheet1!D$196=1),IF(OR((AC67&gt;=(Sheet1!D$148+$B$11)-1),AND(Sheet1!D$8=3,AB67&gt;=6))," ",AC67+1),NA())</f>
        <v xml:space="preserve"> </v>
      </c>
      <c r="AD68" s="262"/>
      <c r="AE68" s="263" t="str">
        <f>IF(AND(Sheet1!D$196=1,AB68&lt;&gt;" "),ROUND(VLOOKUP(AB68,AlternativeD!A$76:M$82,12),Sheet1!D$75),IF(Sheet1!D$196=1," ","Alt  'D'  not feasible"))</f>
        <v>Alt  'D'  not feasible</v>
      </c>
      <c r="AF68" s="264" t="str">
        <f>IF(AB68&lt;=Sheet1!D$148,IF(OR(Sheet1!D$8=2,Sheet1!D$8=3),1,ROUND(VLOOKUP(AB68,DiscFactorsLinInterp,HLOOKUP(Sheet1!D$148,DiscLinearInterp,1)),4))," ")</f>
        <v xml:space="preserve"> </v>
      </c>
      <c r="AG68" s="263" t="str">
        <f>IF(AND(Sheet1!D$196=1,AB68&lt;&gt;" "),ROUND(+AE68*AF68,Sheet1!D$75)," ")</f>
        <v xml:space="preserve"> </v>
      </c>
      <c r="AH68" s="264" t="str">
        <f>IF(AB68&lt;&gt;" ",ROUND(VLOOKUP(Sheet1!E$82,CHOOSE(Sheet1!D$215,Inflate1,Inflate2,Inflate3,Inflate4,Inflate5,Inflate6,Inflate7,Inflate8),2),4)," ")</f>
        <v xml:space="preserve"> </v>
      </c>
      <c r="AI68" s="264" t="str">
        <f>IF(AB68&lt;&gt;" ",ROUND(VLOOKUP(AC68,CHOOSE(Sheet1!D$215,Inflate1,Inflate2,Inflate3,Inflate4,Inflate5,Inflate6,Inflate7,Inflate8),3),4)," ")</f>
        <v xml:space="preserve"> </v>
      </c>
      <c r="AJ68" s="263" t="str">
        <f>IF(AND(Sheet1!D$196=1,AB68&lt;&gt;" "),ROUND((AE68/AH68)*AI68,Sheet1!D$75)," ")</f>
        <v xml:space="preserve"> </v>
      </c>
    </row>
    <row r="69" spans="1:36" ht="13.8" thickBot="1" x14ac:dyDescent="0.3">
      <c r="A69" s="316"/>
      <c r="B69" s="316"/>
      <c r="C69" s="316"/>
      <c r="D69" s="316"/>
      <c r="E69" s="316"/>
      <c r="F69" s="316"/>
      <c r="G69" s="316"/>
      <c r="H69" s="316"/>
      <c r="I69" s="316"/>
      <c r="J69" s="316"/>
      <c r="K69" s="316"/>
      <c r="L69" s="177"/>
      <c r="P69" s="296"/>
      <c r="Q69" s="296"/>
      <c r="R69" s="296"/>
      <c r="S69" s="296"/>
      <c r="T69" s="296"/>
      <c r="AB69" s="271" t="str">
        <f>IF(OR(Sheet1!D$192=1,Sheet1!D$196=1),IF(OR((AB68&gt;=(Sheet1!D$148+$A$11)-1),AND(Sheet1!D$8=3,AB68&gt;=6))," ",AB68+1),NA())</f>
        <v xml:space="preserve"> </v>
      </c>
      <c r="AC69" s="271" t="str">
        <f>IF(OR(Sheet1!D$192=1,Sheet1!D$196=1),IF(OR((AC68&gt;=(Sheet1!D$148+$B$11)-1),AND(Sheet1!D$8=3,AB68&gt;=6))," ",AC68+1),NA())</f>
        <v xml:space="preserve"> </v>
      </c>
      <c r="AD69" s="262"/>
      <c r="AE69" s="263" t="str">
        <f>IF(AND(Sheet1!D$196=1,AB69&lt;&gt;" "),ROUND(VLOOKUP(AB69,AlternativeD!A$76:M$82,12),Sheet1!D$75),IF(Sheet1!D$196=1," ","Alt  'D'  not feasible"))</f>
        <v>Alt  'D'  not feasible</v>
      </c>
      <c r="AF69" s="264" t="str">
        <f>IF(AB69&lt;=Sheet1!D$148,IF(OR(Sheet1!D$8=2,Sheet1!D$8=3),1,ROUND(VLOOKUP(AB69,DiscFactorsLinInterp,HLOOKUP(Sheet1!D$148,DiscLinearInterp,1)),4))," ")</f>
        <v xml:space="preserve"> </v>
      </c>
      <c r="AG69" s="263" t="str">
        <f>IF(AND(Sheet1!D$196=1,AB69&lt;&gt;" "),ROUND(+AE69*AF69,Sheet1!D$75)," ")</f>
        <v xml:space="preserve"> </v>
      </c>
      <c r="AH69" s="264" t="str">
        <f>IF(AB69&lt;&gt;" ",ROUND(VLOOKUP(Sheet1!E$82,CHOOSE(Sheet1!D$215,Inflate1,Inflate2,Inflate3,Inflate4,Inflate5,Inflate6,Inflate7,Inflate8),2),4)," ")</f>
        <v xml:space="preserve"> </v>
      </c>
      <c r="AI69" s="264" t="str">
        <f>IF(AB69&lt;&gt;" ",ROUND(VLOOKUP(AC69,CHOOSE(Sheet1!D$215,Inflate1,Inflate2,Inflate3,Inflate4,Inflate5,Inflate6,Inflate7,Inflate8),3),4)," ")</f>
        <v xml:space="preserve"> </v>
      </c>
      <c r="AJ69" s="263" t="str">
        <f>IF(AND(Sheet1!D$196=1,AB69&lt;&gt;" "),ROUND((AE69/AH69)*AI69,Sheet1!D$75)," ")</f>
        <v xml:space="preserve"> </v>
      </c>
    </row>
    <row r="70" spans="1:36" ht="13.8" thickTop="1" x14ac:dyDescent="0.25">
      <c r="A70" s="318" t="str">
        <f>IF(Sheet1!D$192=1,"7.  Summary Information (Status Quo versus Alternative D)","7.  Summary Information (Alternative D)")</f>
        <v>7.  Summary Information (Status Quo versus Alternative D)</v>
      </c>
      <c r="B70" s="319"/>
      <c r="C70" s="320"/>
      <c r="D70" s="321"/>
      <c r="E70" s="321"/>
      <c r="F70" s="319"/>
      <c r="G70" s="322"/>
      <c r="H70" s="321"/>
      <c r="I70" s="323"/>
      <c r="J70" s="322"/>
      <c r="K70" s="324"/>
      <c r="L70" s="325"/>
      <c r="P70" s="296"/>
      <c r="Q70" s="296"/>
      <c r="R70" s="296"/>
      <c r="S70" s="296"/>
      <c r="T70" s="296"/>
      <c r="AB70" s="271" t="str">
        <f>IF(OR(Sheet1!D$192=1,Sheet1!D$196=1),IF(OR((AB69&gt;=(Sheet1!D$148+$A$11)-1),AND(Sheet1!D$8=3,AB69&gt;=6))," ",AB69+1),NA())</f>
        <v xml:space="preserve"> </v>
      </c>
      <c r="AC70" s="271" t="str">
        <f>IF(OR(Sheet1!D$192=1,Sheet1!D$196=1),IF(OR((AC69&gt;=(Sheet1!D$148+$B$11)-1),AND(Sheet1!D$8=3,AB69&gt;=6))," ",AC69+1),NA())</f>
        <v xml:space="preserve"> </v>
      </c>
      <c r="AD70" s="262"/>
      <c r="AE70" s="263" t="str">
        <f>IF(AND(Sheet1!D$196=1,AB70&lt;&gt;" "),ROUND(VLOOKUP(AB70,AlternativeD!A$76:M$82,12),Sheet1!D$75),IF(Sheet1!D$196=1," ","Alt  'D'  not feasible"))</f>
        <v>Alt  'D'  not feasible</v>
      </c>
      <c r="AF70" s="264" t="str">
        <f>IF(AB70&lt;=Sheet1!D$148,IF(OR(Sheet1!D$8=2,Sheet1!D$8=3),1,ROUND(VLOOKUP(AB70,DiscFactorsLinInterp,HLOOKUP(Sheet1!D$148,DiscLinearInterp,1)),4))," ")</f>
        <v xml:space="preserve"> </v>
      </c>
      <c r="AG70" s="263" t="str">
        <f>IF(AND(Sheet1!D$196=1,AB70&lt;&gt;" "),ROUND(+AE70*AF70,Sheet1!D$75)," ")</f>
        <v xml:space="preserve"> </v>
      </c>
      <c r="AH70" s="264" t="str">
        <f>IF(AB70&lt;&gt;" ",ROUND(VLOOKUP(Sheet1!E$82,CHOOSE(Sheet1!D$215,Inflate1,Inflate2,Inflate3,Inflate4,Inflate5,Inflate6,Inflate7,Inflate8),2),4)," ")</f>
        <v xml:space="preserve"> </v>
      </c>
      <c r="AI70" s="264" t="str">
        <f>IF(AB70&lt;&gt;" ",ROUND(VLOOKUP(AC70,CHOOSE(Sheet1!D$215,Inflate1,Inflate2,Inflate3,Inflate4,Inflate5,Inflate6,Inflate7,Inflate8),3),4)," ")</f>
        <v xml:space="preserve"> </v>
      </c>
      <c r="AJ70" s="263" t="str">
        <f>IF(AND(Sheet1!D$196=1,AB70&lt;&gt;" "),ROUND((AE70/AH70)*AI70,Sheet1!D$75)," ")</f>
        <v xml:space="preserve"> </v>
      </c>
    </row>
    <row r="71" spans="1:36" ht="13.2" x14ac:dyDescent="0.25">
      <c r="A71" s="326"/>
      <c r="B71" s="270"/>
      <c r="D71" s="296"/>
      <c r="E71" s="296"/>
      <c r="F71" s="270"/>
      <c r="G71" s="304"/>
      <c r="H71" s="296"/>
      <c r="I71" s="310"/>
      <c r="J71" s="304"/>
      <c r="K71" s="327"/>
      <c r="L71" s="325"/>
      <c r="P71" s="296"/>
      <c r="Q71" s="296"/>
      <c r="R71" s="296"/>
      <c r="S71" s="296"/>
      <c r="T71" s="296"/>
      <c r="AB71" s="271" t="str">
        <f>IF(OR(Sheet1!D$192=1,Sheet1!D$196=1),IF(OR((AB70&gt;=(Sheet1!D$148+$A$11)-1),AND(Sheet1!D$8=3,AB70&gt;=6))," ",AB70+1),NA())</f>
        <v xml:space="preserve"> </v>
      </c>
      <c r="AC71" s="271" t="str">
        <f>IF(OR(Sheet1!D$192=1,Sheet1!D$196=1),IF(OR((AC70&gt;=(Sheet1!D$148+$B$11)-1),AND(Sheet1!D$8=3,AB70&gt;=6))," ",AC70+1),NA())</f>
        <v xml:space="preserve"> </v>
      </c>
      <c r="AD71" s="328"/>
      <c r="AE71" s="263" t="str">
        <f>IF(AND(Sheet1!D$196=1,AB71&lt;&gt;" "),ROUND(VLOOKUP(AB71,AlternativeD!A$76:M$82,12),Sheet1!D$75),IF(Sheet1!D$196=1," ","Alt  'D'  not feasible"))</f>
        <v>Alt  'D'  not feasible</v>
      </c>
      <c r="AF71" s="264" t="str">
        <f>IF(AB71&lt;=Sheet1!D$148,IF(OR(Sheet1!D$8=2,Sheet1!D$8=3),1,ROUND(VLOOKUP(AB71,DiscFactorsLinInterp,HLOOKUP(Sheet1!D$148,DiscLinearInterp,1)),4))," ")</f>
        <v xml:space="preserve"> </v>
      </c>
      <c r="AG71" s="263" t="str">
        <f>IF(AND(Sheet1!D$196=1,AB71&lt;&gt;" "),ROUND(+AE71*AF71,Sheet1!D$75)," ")</f>
        <v xml:space="preserve"> </v>
      </c>
      <c r="AH71" s="264" t="str">
        <f>IF(AB71&lt;&gt;" ",ROUND(VLOOKUP(Sheet1!E$82,CHOOSE(Sheet1!D$215,Inflate1,Inflate2,Inflate3,Inflate4,Inflate5,Inflate6,Inflate7,Inflate8),2),4)," ")</f>
        <v xml:space="preserve"> </v>
      </c>
      <c r="AI71" s="264" t="str">
        <f>IF(AB71&lt;&gt;" ",ROUND(VLOOKUP(AC71,CHOOSE(Sheet1!D$215,Inflate1,Inflate2,Inflate3,Inflate4,Inflate5,Inflate6,Inflate7,Inflate8),3),4)," ")</f>
        <v xml:space="preserve"> </v>
      </c>
      <c r="AJ71" s="263" t="str">
        <f>IF(AND(Sheet1!D$196=1,AB71&lt;&gt;" "),ROUND((AE71/AH71)*AI71,Sheet1!D$75)," ")</f>
        <v xml:space="preserve"> </v>
      </c>
    </row>
    <row r="72" spans="1:36" ht="13.2" x14ac:dyDescent="0.25">
      <c r="A72" s="329"/>
      <c r="B72" s="316"/>
      <c r="C72" s="330" t="str">
        <f>IF(Sheet1!D$192=1,"o    TOTAL BENEFITS  "," ")</f>
        <v xml:space="preserve">o    TOTAL BENEFITS  </v>
      </c>
      <c r="D72" s="316"/>
      <c r="E72" s="296"/>
      <c r="F72" s="270"/>
      <c r="G72" s="304"/>
      <c r="H72" s="260">
        <f>IF(Sheet1!D$192=1,K63," ")</f>
        <v>0</v>
      </c>
      <c r="I72" s="310" t="str">
        <f>IF(Sheet1!D$192=1,"(Current Dollars)"," ")</f>
        <v>(Current Dollars)</v>
      </c>
      <c r="J72" s="316"/>
      <c r="K72" s="331" t="str">
        <f>IF(Sheet1!D$192=1,"(block 6j.)"," ")</f>
        <v>(block 6j.)</v>
      </c>
      <c r="L72" s="325"/>
      <c r="P72" s="296"/>
      <c r="Q72" s="296"/>
      <c r="R72" s="296"/>
      <c r="S72" s="296"/>
      <c r="T72" s="296"/>
      <c r="AB72" s="297" t="s">
        <v>314</v>
      </c>
      <c r="AC72" s="298"/>
      <c r="AD72" s="299"/>
      <c r="AE72" s="265"/>
      <c r="AF72" s="289"/>
      <c r="AG72" s="265"/>
      <c r="AH72" s="289"/>
      <c r="AI72" s="289"/>
      <c r="AJ72" s="265"/>
    </row>
    <row r="73" spans="1:36" ht="13.2" x14ac:dyDescent="0.25">
      <c r="A73" s="329"/>
      <c r="B73" s="316"/>
      <c r="C73" s="330" t="str">
        <f>IF(Sheet1!D$192=1,"o    NEW INVESTMENT COST","o   NEW INVESTMENT COST")</f>
        <v>o    NEW INVESTMENT COST</v>
      </c>
      <c r="D73" s="316"/>
      <c r="E73" s="296"/>
      <c r="F73" s="270"/>
      <c r="G73" s="304"/>
      <c r="H73" s="260">
        <f>IF(OR(Sheet1!D$192=1,Sheet1!D$196=1),AJ61," ")</f>
        <v>0</v>
      </c>
      <c r="I73" s="310" t="str">
        <f>IF(Sheet1!D$192=1,"(Current Dollars)","(Current Dollars) ")</f>
        <v>(Current Dollars)</v>
      </c>
      <c r="J73" s="316"/>
      <c r="K73" s="331" t="str">
        <f>IF(Sheet1!D$192=1,"(block A8.)",IF(Sheet1!D$196=1,"(block A8.)"," "))</f>
        <v>(block A8.)</v>
      </c>
      <c r="L73" s="325"/>
      <c r="P73" s="296"/>
      <c r="Q73" s="296"/>
      <c r="R73" s="296"/>
      <c r="S73" s="296"/>
      <c r="T73" s="296"/>
      <c r="AB73" s="311" t="s">
        <v>318</v>
      </c>
      <c r="AC73" s="312"/>
      <c r="AD73" s="313"/>
      <c r="AE73" s="265"/>
      <c r="AF73" s="314"/>
      <c r="AG73" s="265"/>
      <c r="AH73" s="314"/>
      <c r="AI73" s="314"/>
      <c r="AJ73" s="265"/>
    </row>
    <row r="74" spans="1:36" ht="13.2" x14ac:dyDescent="0.25">
      <c r="A74" s="329"/>
      <c r="B74" s="316"/>
      <c r="C74" s="330" t="str">
        <f>IF(Sheet1!D$192=1,IF(OR(Sheet1!D$8=2,Sheet1!D$8=3),"o    NET BENEFITS","o    NET PRESENT VALUE "),IF(OR(Sheet1!D$8=2,Sheet1!D$8=3),"o   NET VALUE OF PROJ TOTAL COST","o   PRESENT VALUE OF PROJ TOTAL COST"))</f>
        <v xml:space="preserve">o    NET PRESENT VALUE </v>
      </c>
      <c r="D74" s="316"/>
      <c r="E74" s="296"/>
      <c r="F74" s="270"/>
      <c r="G74" s="304"/>
      <c r="H74" s="260" t="str">
        <f>IF(OR(Sheet1!D$192=1,Sheet1!D$196=1),H65," ")</f>
        <v>Alt  'D'  not feasible</v>
      </c>
      <c r="I74" s="310" t="str">
        <f>IF(Sheet1!D$192=1,IF(OR(Sheet1!D$8=2,Sheet1!D$8=3),"(Constant Dollars)","(Discounted Dollars)"),IF(OR(Sheet1!D$8=2,Sheet1!D$8=3),"(Constant Dollars)","(Discounted Dollars)"))</f>
        <v>(Discounted Dollars)</v>
      </c>
      <c r="J74" s="316"/>
      <c r="K74" s="331" t="str">
        <f>IF(Sheet1!D$192=1,"(block 6g.)",IF(Sheet1!D$196=1,"(block 6e.)"," "))</f>
        <v>(block 6g.)</v>
      </c>
      <c r="L74" s="177"/>
      <c r="P74" s="296"/>
      <c r="Q74" s="296"/>
      <c r="R74" s="296"/>
      <c r="S74" s="296"/>
      <c r="T74" s="296"/>
      <c r="AB74" s="261">
        <f>IF(OR(Sheet1!D$192=1,Sheet1!D$196=1),VLOOKUP(1,Sheet1!A148:B179,2),NA())</f>
        <v>1</v>
      </c>
      <c r="AC74" s="261">
        <f>IF(OR(Sheet1!D$192=1,Sheet1!D$196=1),VLOOKUP(Sheet1!D$86,Sheet1!A82:B135,2),NA())</f>
        <v>2024</v>
      </c>
      <c r="AD74" s="317"/>
      <c r="AE74" s="263" t="str">
        <f>IF(AND(Sheet1!D$196=1,AB74&lt;&gt;" "),ROUND(VLOOKUP(AB74,AlternativeD!A$92:M$98,12),Sheet1!D$75),IF(Sheet1!D$196=1," ","Alt  'D'  not feasible"))</f>
        <v>Alt  'D'  not feasible</v>
      </c>
      <c r="AF74" s="264">
        <f>IF(AB74&lt;=Sheet1!D$148,IF(OR(Sheet1!D$8=2,Sheet1!D$8=3),1,ROUND(VLOOKUP(AB74,DiscFactorsLinInterp,HLOOKUP(Sheet1!D$148,DiscLinearInterp,1)),4))," ")</f>
        <v>1</v>
      </c>
      <c r="AG74" s="263" t="str">
        <f>IF(AND(Sheet1!D$196=1,AB74&lt;&gt;" "),ROUND(+AE74*AF74,Sheet1!D$75)," ")</f>
        <v xml:space="preserve"> </v>
      </c>
      <c r="AH74" s="264">
        <f>IF(AB74&lt;&gt;" ",ROUND(VLOOKUP(Sheet1!E$82,CHOOSE(Sheet1!D$215,Inflate1,Inflate2,Inflate3,Inflate4,Inflate5,Inflate6,Inflate7,Inflate8),2),4)," ")</f>
        <v>1</v>
      </c>
      <c r="AI74" s="264">
        <f>IF(AB74&lt;&gt;" ",ROUND(VLOOKUP(AC74,CHOOSE(Sheet1!D$215,Inflate1,Inflate2,Inflate3,Inflate4,Inflate5,Inflate6,Inflate7,Inflate8),3),4)," ")</f>
        <v>1.0225</v>
      </c>
      <c r="AJ74" s="263" t="str">
        <f>IF(AND(Sheet1!D$196=1,AB74&lt;&gt;" "),ROUND((AE74/AH74)*AI74,Sheet1!D$75)," ")</f>
        <v xml:space="preserve"> </v>
      </c>
    </row>
    <row r="75" spans="1:36" ht="13.2" x14ac:dyDescent="0.25">
      <c r="A75" s="329"/>
      <c r="B75" s="316"/>
      <c r="C75" s="330" t="str">
        <f>IF(Sheet1!D$192=1,IF(OR(Sheet1!D$8=2,Sheet1!D$8=3),"o    BENEFIT TO INVESTMENT RATIO (BIR) (Constant Dollars)","o    BENEFIT TO INVESTMENT RATIO (BIR) (Discounted Dollars)"),IF(OR(Sheet1!D$8=2,Sheet1!D$8=3),"     This Cost Comparison is limited to maximum 6 year evaluation period (unless project life &lt; 6 years)"," "))</f>
        <v>o    BENEFIT TO INVESTMENT RATIO (BIR) (Discounted Dollars)</v>
      </c>
      <c r="D75" s="316"/>
      <c r="E75" s="296"/>
      <c r="F75" s="270"/>
      <c r="G75" s="304"/>
      <c r="H75" s="332"/>
      <c r="I75" s="310"/>
      <c r="J75" s="316"/>
      <c r="K75" s="333"/>
      <c r="L75" s="177"/>
      <c r="P75" s="296"/>
      <c r="Q75" s="296"/>
      <c r="R75" s="296"/>
      <c r="S75" s="296"/>
      <c r="T75" s="296"/>
      <c r="AB75" s="271" t="str">
        <f>IF(OR(Sheet1!D$192=1,Sheet1!D$196=1),IF(OR((AB74&gt;=(Sheet1!D$148+$A$11)-1),AND(Sheet1!D$8=3,AB74&gt;=6))," ",AB74+1),NA())</f>
        <v xml:space="preserve"> </v>
      </c>
      <c r="AC75" s="271" t="str">
        <f>IF(OR(Sheet1!D$192=1,Sheet1!D$196=1),IF(OR((AC74&gt;=(Sheet1!D$148+$B$11)-1),AND(Sheet1!D$8=3,AB74&gt;=6))," ",AC74+1),NA())</f>
        <v xml:space="preserve"> </v>
      </c>
      <c r="AD75" s="262"/>
      <c r="AE75" s="263" t="str">
        <f>IF(AND(Sheet1!D$196=1,AB75&lt;&gt;" "),ROUND(VLOOKUP(AB75,AlternativeD!A$92:M$98,12),Sheet1!D$75),IF(Sheet1!D$196=1," ","Alt  'D'  not feasible"))</f>
        <v>Alt  'D'  not feasible</v>
      </c>
      <c r="AF75" s="264" t="str">
        <f>IF(AB75&lt;=Sheet1!D$148,IF(OR(Sheet1!D$8=2,Sheet1!D$8=3),1,ROUND(VLOOKUP(AB75,DiscFactorsLinInterp,HLOOKUP(Sheet1!D$148,DiscLinearInterp,1)),4))," ")</f>
        <v xml:space="preserve"> </v>
      </c>
      <c r="AG75" s="263" t="str">
        <f>IF(AND(Sheet1!D$196=1,AB75&lt;&gt;" "),ROUND(+AE75*AF75,Sheet1!D$75)," ")</f>
        <v xml:space="preserve"> </v>
      </c>
      <c r="AH75" s="264" t="str">
        <f>IF(AB75&lt;&gt;" ",ROUND(VLOOKUP(Sheet1!E$82,CHOOSE(Sheet1!D$215,Inflate1,Inflate2,Inflate3,Inflate4,Inflate5,Inflate6,Inflate7,Inflate8),2),4)," ")</f>
        <v xml:space="preserve"> </v>
      </c>
      <c r="AI75" s="264" t="str">
        <f>IF(AB75&lt;&gt;" ",ROUND(VLOOKUP(AC75,CHOOSE(Sheet1!D$215,Inflate1,Inflate2,Inflate3,Inflate4,Inflate5,Inflate6,Inflate7,Inflate8),3),4)," ")</f>
        <v xml:space="preserve"> </v>
      </c>
      <c r="AJ75" s="263" t="str">
        <f>IF(AND(Sheet1!D$196=1,AB75&lt;&gt;" "),ROUND((AE75/AH75)*AI75,Sheet1!D$75)," ")</f>
        <v xml:space="preserve"> </v>
      </c>
    </row>
    <row r="76" spans="1:36" ht="13.2" x14ac:dyDescent="0.25">
      <c r="A76" s="329"/>
      <c r="B76" s="316"/>
      <c r="C76" s="334" t="str">
        <f>IF(Sheet1!D$192=1,IF(Sheet1!D$8=3,"      BIR limited to 6 year evaluation period (or  project life if &lt; 6 years)","      BIR based on entire project life ")," ")</f>
        <v xml:space="preserve">      BIR based on entire project life </v>
      </c>
      <c r="D76" s="316"/>
      <c r="E76" s="296"/>
      <c r="F76" s="270"/>
      <c r="G76" s="304"/>
      <c r="H76" s="296"/>
      <c r="I76" s="310"/>
      <c r="J76" s="304"/>
      <c r="K76" s="327"/>
      <c r="L76" s="177"/>
      <c r="P76" s="296"/>
      <c r="Q76" s="296"/>
      <c r="R76" s="296"/>
      <c r="S76" s="296"/>
      <c r="T76" s="296"/>
      <c r="AB76" s="271" t="str">
        <f>IF(OR(Sheet1!D$192=1,Sheet1!D$196=1),IF(OR((AB75&gt;=(Sheet1!D$148+$A$11)-1),AND(Sheet1!D$8=3,AB75&gt;=6))," ",AB75+1),NA())</f>
        <v xml:space="preserve"> </v>
      </c>
      <c r="AC76" s="271" t="str">
        <f>IF(OR(Sheet1!D$192=1,Sheet1!D$196=1),IF(OR((AC75&gt;=(Sheet1!D$148+$B$11)-1),AND(Sheet1!D$8=3,AB75&gt;=6))," ",AC75+1),NA())</f>
        <v xml:space="preserve"> </v>
      </c>
      <c r="AD76" s="262"/>
      <c r="AE76" s="263" t="str">
        <f>IF(AND(Sheet1!D$196=1,AB76&lt;&gt;" "),ROUND(VLOOKUP(AB76,AlternativeD!A$92:M$98,12),Sheet1!D$75),IF(Sheet1!D$196=1," ","Alt  'D'  not feasible"))</f>
        <v>Alt  'D'  not feasible</v>
      </c>
      <c r="AF76" s="264" t="str">
        <f>IF(AB76&lt;=Sheet1!D$148,IF(OR(Sheet1!D$8=2,Sheet1!D$8=3),1,ROUND(VLOOKUP(AB76,DiscFactorsLinInterp,HLOOKUP(Sheet1!D$148,DiscLinearInterp,1)),4))," ")</f>
        <v xml:space="preserve"> </v>
      </c>
      <c r="AG76" s="263" t="str">
        <f>IF(AND(Sheet1!D$196=1,AB76&lt;&gt;" "),ROUND(+AE76*AF76,Sheet1!D$75)," ")</f>
        <v xml:space="preserve"> </v>
      </c>
      <c r="AH76" s="264" t="str">
        <f>IF(AB76&lt;&gt;" ",ROUND(VLOOKUP(Sheet1!E$82,CHOOSE(Sheet1!D$215,Inflate1,Inflate2,Inflate3,Inflate4,Inflate5,Inflate6,Inflate7,Inflate8),2),4)," ")</f>
        <v xml:space="preserve"> </v>
      </c>
      <c r="AI76" s="264" t="str">
        <f>IF(AB76&lt;&gt;" ",ROUND(VLOOKUP(AC76,CHOOSE(Sheet1!D$215,Inflate1,Inflate2,Inflate3,Inflate4,Inflate5,Inflate6,Inflate7,Inflate8),3),4)," ")</f>
        <v xml:space="preserve"> </v>
      </c>
      <c r="AJ76" s="263" t="str">
        <f>IF(AND(Sheet1!D$196=1,AB76&lt;&gt;" "),ROUND((AE76/AH76)*AI76,Sheet1!D$75)," ")</f>
        <v xml:space="preserve"> </v>
      </c>
    </row>
    <row r="77" spans="1:36" ht="13.2" x14ac:dyDescent="0.25">
      <c r="A77" s="329"/>
      <c r="B77" s="316"/>
      <c r="C77" s="316"/>
      <c r="D77" s="316"/>
      <c r="E77" s="270" t="str">
        <f>IF(Sheet1!D$192=1,"      Benefits ","BIR not applicable since")</f>
        <v xml:space="preserve">      Benefits </v>
      </c>
      <c r="F77" s="316"/>
      <c r="G77" s="316"/>
      <c r="H77" s="260">
        <f>IF(Sheet1!D$192=1,H63," ")</f>
        <v>0</v>
      </c>
      <c r="I77" s="310" t="str">
        <f>IF(Sheet1!D$192=1,IF(OR(Sheet1!D$8=2,Sheet1!D$8=3),"Constant Dollars","(Discounted Dollars)")," ")</f>
        <v>(Discounted Dollars)</v>
      </c>
      <c r="J77" s="304"/>
      <c r="K77" s="335" t="str">
        <f>IF(Sheet1!D$192=1,IF(OR(Sheet1!D$8=2,Sheet1!D$8=3),"(block 6g.)","(block 6g.)")," ")</f>
        <v>(block 6g.)</v>
      </c>
      <c r="L77" s="177"/>
      <c r="P77" s="296"/>
      <c r="Q77" s="296"/>
      <c r="R77" s="296"/>
      <c r="S77" s="296"/>
      <c r="T77" s="296"/>
      <c r="AB77" s="271" t="str">
        <f>IF(OR(Sheet1!D$192=1,Sheet1!D$196=1),IF(OR((AB76&gt;=(Sheet1!D$148+$A$11)-1),AND(Sheet1!D$8=3,AB76&gt;=6))," ",AB76+1),NA())</f>
        <v xml:space="preserve"> </v>
      </c>
      <c r="AC77" s="271" t="str">
        <f>IF(OR(Sheet1!D$192=1,Sheet1!D$196=1),IF(OR((AC76&gt;=(Sheet1!D$148+$B$11)-1),AND(Sheet1!D$8=3,AB76&gt;=6))," ",AC76+1),NA())</f>
        <v xml:space="preserve"> </v>
      </c>
      <c r="AD77" s="262"/>
      <c r="AE77" s="263" t="str">
        <f>IF(AND(Sheet1!D$196=1,AB77&lt;&gt;" "),ROUND(VLOOKUP(AB77,AlternativeD!A$92:M$98,12),Sheet1!D$75),IF(Sheet1!D$196=1," ","Alt  'D'  not feasible"))</f>
        <v>Alt  'D'  not feasible</v>
      </c>
      <c r="AF77" s="264" t="str">
        <f>IF(AB77&lt;=Sheet1!D$148,IF(OR(Sheet1!D$8=2,Sheet1!D$8=3),1,ROUND(VLOOKUP(AB77,DiscFactorsLinInterp,HLOOKUP(Sheet1!D$148,DiscLinearInterp,1)),4))," ")</f>
        <v xml:space="preserve"> </v>
      </c>
      <c r="AG77" s="263" t="str">
        <f>IF(AND(Sheet1!D$196=1,AB77&lt;&gt;" "),ROUND(+AE77*AF77,Sheet1!D$75)," ")</f>
        <v xml:space="preserve"> </v>
      </c>
      <c r="AH77" s="264" t="str">
        <f>IF(AB77&lt;&gt;" ",ROUND(VLOOKUP(Sheet1!E$82,CHOOSE(Sheet1!D$215,Inflate1,Inflate2,Inflate3,Inflate4,Inflate5,Inflate6,Inflate7,Inflate8),2),4)," ")</f>
        <v xml:space="preserve"> </v>
      </c>
      <c r="AI77" s="264" t="str">
        <f>IF(AB77&lt;&gt;" ",ROUND(VLOOKUP(AC77,CHOOSE(Sheet1!D$215,Inflate1,Inflate2,Inflate3,Inflate4,Inflate5,Inflate6,Inflate7,Inflate8),3),4)," ")</f>
        <v xml:space="preserve"> </v>
      </c>
      <c r="AJ77" s="263" t="str">
        <f>IF(AND(Sheet1!D$196=1,AB77&lt;&gt;" "),ROUND((AE77/AH77)*AI77,Sheet1!D$75)," ")</f>
        <v xml:space="preserve"> </v>
      </c>
    </row>
    <row r="78" spans="1:36" ht="13.2" x14ac:dyDescent="0.25">
      <c r="A78" s="329"/>
      <c r="B78" s="316"/>
      <c r="C78" s="316"/>
      <c r="D78" s="316"/>
      <c r="E78" s="171" t="str">
        <f>IF(Sheet1!D$192=1," /     Adjusted Investment Cost","    Status Quo Not Feasible ")</f>
        <v xml:space="preserve"> /     Adjusted Investment Cost</v>
      </c>
      <c r="F78" s="316"/>
      <c r="G78" s="316"/>
      <c r="H78" s="260">
        <f>IF(Sheet1!D$192=1,AG81," ")</f>
        <v>0</v>
      </c>
      <c r="I78" s="310" t="str">
        <f>IF(Sheet1!D$192=1,IF(OR(Sheet1!D$8=2,Sheet1!D$8=3),"Constant Dollars","(Discounted Dollars)")," ")</f>
        <v>(Discounted Dollars)</v>
      </c>
      <c r="J78" s="304"/>
      <c r="K78" s="335" t="str">
        <f>IF(Sheet1!D$192=1,IF(OR(Sheet1!D$8=2,Sheet1!D$8=3),"(block A5.)","(block A5.)")," ")</f>
        <v>(block A5.)</v>
      </c>
      <c r="L78" s="177"/>
      <c r="P78" s="296"/>
      <c r="Q78" s="296"/>
      <c r="R78" s="296"/>
      <c r="S78" s="296"/>
      <c r="T78" s="296"/>
      <c r="AB78" s="271" t="str">
        <f>IF(OR(Sheet1!D$192=1,Sheet1!D$196=1),IF(OR((AB77&gt;=(Sheet1!D$148+$A$11)-1),AND(Sheet1!D$8=3,AB77&gt;=6))," ",AB77+1),NA())</f>
        <v xml:space="preserve"> </v>
      </c>
      <c r="AC78" s="271" t="str">
        <f>IF(OR(Sheet1!D$192=1,Sheet1!D$196=1),IF(OR((AC77&gt;=(Sheet1!D$148+$B$11)-1),AND(Sheet1!D$8=3,AB77&gt;=6))," ",AC77+1),NA())</f>
        <v xml:space="preserve"> </v>
      </c>
      <c r="AD78" s="262"/>
      <c r="AE78" s="263" t="str">
        <f>IF(AND(Sheet1!D$196=1,AB78&lt;&gt;" "),ROUND(VLOOKUP(AB78,AlternativeD!A$92:M$98,12),Sheet1!D$75),IF(Sheet1!D$196=1," ","Alt  'D'  not feasible"))</f>
        <v>Alt  'D'  not feasible</v>
      </c>
      <c r="AF78" s="264" t="str">
        <f>IF(AB78&lt;=Sheet1!D$148,IF(OR(Sheet1!D$8=2,Sheet1!D$8=3),1,ROUND(VLOOKUP(AB78,DiscFactorsLinInterp,HLOOKUP(Sheet1!D$148,DiscLinearInterp,1)),4))," ")</f>
        <v xml:space="preserve"> </v>
      </c>
      <c r="AG78" s="263" t="str">
        <f>IF(AND(Sheet1!D$196=1,AB78&lt;&gt;" "),ROUND(+AE78*AF78,Sheet1!D$75)," ")</f>
        <v xml:space="preserve"> </v>
      </c>
      <c r="AH78" s="264" t="str">
        <f>IF(AB78&lt;&gt;" ",ROUND(VLOOKUP(Sheet1!E$82,CHOOSE(Sheet1!D$215,Inflate1,Inflate2,Inflate3,Inflate4,Inflate5,Inflate6,Inflate7,Inflate8),2),4)," ")</f>
        <v xml:space="preserve"> </v>
      </c>
      <c r="AI78" s="264" t="str">
        <f>IF(AB78&lt;&gt;" ",ROUND(VLOOKUP(AC78,CHOOSE(Sheet1!D$215,Inflate1,Inflate2,Inflate3,Inflate4,Inflate5,Inflate6,Inflate7,Inflate8),3),4)," ")</f>
        <v xml:space="preserve"> </v>
      </c>
      <c r="AJ78" s="263" t="str">
        <f>IF(AND(Sheet1!D$196=1,AB78&lt;&gt;" "),ROUND((AE78/AH78)*AI78,Sheet1!D$75)," ")</f>
        <v xml:space="preserve"> </v>
      </c>
    </row>
    <row r="79" spans="1:36" ht="13.2" x14ac:dyDescent="0.25">
      <c r="A79" s="329"/>
      <c r="B79" s="316"/>
      <c r="D79" s="316"/>
      <c r="E79" s="296"/>
      <c r="F79" s="316"/>
      <c r="G79" s="316"/>
      <c r="H79" s="336" t="str">
        <f>IF(Sheet1!D$192=1,IF(H78=0,"n/a",+H77/H78)," ")</f>
        <v>n/a</v>
      </c>
      <c r="I79" s="337" t="str">
        <f>IF(Sheet1!D$192=1,"(BIR)"," ")</f>
        <v>(BIR)</v>
      </c>
      <c r="J79" s="304"/>
      <c r="K79" s="327"/>
      <c r="L79" s="177"/>
      <c r="P79" s="296"/>
      <c r="Q79" s="296"/>
      <c r="R79" s="296"/>
      <c r="S79" s="296"/>
      <c r="T79" s="296"/>
      <c r="AB79" s="271" t="str">
        <f>IF(OR(Sheet1!D$192=1,Sheet1!D$196=1),IF(OR((AB78&gt;=(Sheet1!D$148+$A$11)-1),AND(Sheet1!D$8=3,AB78&gt;=6))," ",AB78+1),NA())</f>
        <v xml:space="preserve"> </v>
      </c>
      <c r="AC79" s="271" t="str">
        <f>IF(OR(Sheet1!D$192=1,Sheet1!D$196=1),IF(OR((AC78&gt;=(Sheet1!D$148+$B$11)-1),AND(Sheet1!D$8=3,AB78&gt;=6))," ",AC78+1),NA())</f>
        <v xml:space="preserve"> </v>
      </c>
      <c r="AD79" s="262"/>
      <c r="AE79" s="263" t="str">
        <f>IF(AND(Sheet1!D$196=1,AB79&lt;&gt;" "),ROUND(VLOOKUP(AB79,AlternativeD!A$92:M$98,12),Sheet1!D$75),IF(Sheet1!D$196=1," ","Alt  'D'  not feasible"))</f>
        <v>Alt  'D'  not feasible</v>
      </c>
      <c r="AF79" s="264" t="str">
        <f>IF(AB79&lt;=Sheet1!D$148,IF(OR(Sheet1!D$8=2,Sheet1!D$8=3),1,ROUND(VLOOKUP(AB79,DiscFactorsLinInterp,HLOOKUP(Sheet1!D$148,DiscLinearInterp,1)),4))," ")</f>
        <v xml:space="preserve"> </v>
      </c>
      <c r="AG79" s="263" t="str">
        <f>IF(AND(Sheet1!D$196=1,AB79&lt;&gt;" "),ROUND(+AE79*AF79,Sheet1!D$75)," ")</f>
        <v xml:space="preserve"> </v>
      </c>
      <c r="AH79" s="264" t="str">
        <f>IF(AB79&lt;&gt;" ",ROUND(VLOOKUP(Sheet1!E$82,CHOOSE(Sheet1!D$215,Inflate1,Inflate2,Inflate3,Inflate4,Inflate5,Inflate6,Inflate7,Inflate8),2),4)," ")</f>
        <v xml:space="preserve"> </v>
      </c>
      <c r="AI79" s="264" t="str">
        <f>IF(AB79&lt;&gt;" ",ROUND(VLOOKUP(AC79,CHOOSE(Sheet1!D$215,Inflate1,Inflate2,Inflate3,Inflate4,Inflate5,Inflate6,Inflate7,Inflate8),3),4)," ")</f>
        <v xml:space="preserve"> </v>
      </c>
      <c r="AJ79" s="263" t="str">
        <f>IF(AND(Sheet1!D$196=1,AB79&lt;&gt;" "),ROUND((AE79/AH79)*AI79,Sheet1!D$75)," ")</f>
        <v xml:space="preserve"> </v>
      </c>
    </row>
    <row r="80" spans="1:36" ht="13.8" thickBot="1" x14ac:dyDescent="0.3">
      <c r="A80" s="329"/>
      <c r="B80" s="316"/>
      <c r="D80" s="316"/>
      <c r="E80" s="296"/>
      <c r="F80" s="270"/>
      <c r="G80" s="304"/>
      <c r="H80" s="296"/>
      <c r="I80" s="310"/>
      <c r="J80" s="304"/>
      <c r="K80" s="327"/>
      <c r="L80" s="177"/>
      <c r="P80" s="296"/>
      <c r="Q80" s="296"/>
      <c r="R80" s="296"/>
      <c r="S80" s="296"/>
      <c r="T80" s="296"/>
      <c r="AB80" s="271" t="str">
        <f>IF(OR(Sheet1!D$192=1,Sheet1!D$196=1),IF(OR((AB79&gt;=(Sheet1!D$148+$A$11)-1),AND(Sheet1!D$8=3,AB79&gt;=6))," ",AB79+1),NA())</f>
        <v xml:space="preserve"> </v>
      </c>
      <c r="AC80" s="271" t="str">
        <f>IF(OR(Sheet1!D$192=1,Sheet1!D$196=1),IF(OR((AC79&gt;=(Sheet1!D$148+$B$11)-1),AND(Sheet1!D$8=3,AB79&gt;=6))," ",AC79+1),NA())</f>
        <v xml:space="preserve"> </v>
      </c>
      <c r="AD80" s="328"/>
      <c r="AE80" s="263" t="str">
        <f>IF(AND(Sheet1!D$196=1,AB80&lt;&gt;" "),ROUND(VLOOKUP(AB80,AlternativeD!A$92:M$98,12),Sheet1!D$75),IF(Sheet1!D$196=1," ","Alt  'D'  not feasible"))</f>
        <v>Alt  'D'  not feasible</v>
      </c>
      <c r="AF80" s="264" t="str">
        <f>IF(AB80&lt;=Sheet1!D$148,IF(OR(Sheet1!D$8=2,Sheet1!D$8=3),1,ROUND(VLOOKUP(AB80,DiscFactorsLinInterp,HLOOKUP(Sheet1!D$148,DiscLinearInterp,1)),4))," ")</f>
        <v xml:space="preserve"> </v>
      </c>
      <c r="AG80" s="263" t="str">
        <f>IF(AND(Sheet1!D$196=1,AB80&lt;&gt;" "),ROUND(+AE80*AF80,Sheet1!D$75)," ")</f>
        <v xml:space="preserve"> </v>
      </c>
      <c r="AH80" s="264" t="str">
        <f>IF(AB80&lt;&gt;" ",ROUND(VLOOKUP(Sheet1!E$82,CHOOSE(Sheet1!D$215,Inflate1,Inflate2,Inflate3,Inflate4,Inflate5,Inflate6,Inflate7,Inflate8),2),4)," ")</f>
        <v xml:space="preserve"> </v>
      </c>
      <c r="AI80" s="264" t="str">
        <f>IF(AB80&lt;&gt;" ",ROUND(VLOOKUP(AC80,CHOOSE(Sheet1!D$215,Inflate1,Inflate2,Inflate3,Inflate4,Inflate5,Inflate6,Inflate7,Inflate8),3),4)," ")</f>
        <v xml:space="preserve"> </v>
      </c>
      <c r="AJ80" s="263" t="str">
        <f>IF(AND(Sheet1!D$196=1,AB80&lt;&gt;" "),ROUND((AE80/AH80)*AI80,Sheet1!D$75)," ")</f>
        <v xml:space="preserve"> </v>
      </c>
    </row>
    <row r="81" spans="1:255" ht="13.8" thickTop="1" x14ac:dyDescent="0.25">
      <c r="A81" s="329"/>
      <c r="B81" s="316"/>
      <c r="C81" s="330" t="str">
        <f>IF(Sheet1!D$192=1,IF(OR(Sheet1!D$8=2,Sheet1!D$8=3),"o  SAVINGS TO INVESTMENT RATIO (SIR) (Constant Dollars)","o    SAVINGS TO INVESTMENT RATIO  (SIR)  (Discounted Dollars)")," ")</f>
        <v>o    SAVINGS TO INVESTMENT RATIO  (SIR)  (Discounted Dollars)</v>
      </c>
      <c r="D81" s="270"/>
      <c r="E81" s="296"/>
      <c r="F81" s="270"/>
      <c r="G81" s="338" t="str">
        <f>IF(OR(AND(Sheet1!N264=1,Sheet1!N268=2),AND(Sheet1!N264=2,Sheet1!N268=1)),"(*) !!ERROR - You have not Identified an Operating &amp; Support Cost Element"," ")</f>
        <v xml:space="preserve"> </v>
      </c>
      <c r="H81" s="296"/>
      <c r="I81" s="310"/>
      <c r="J81" s="304"/>
      <c r="K81" s="339"/>
      <c r="L81" s="177"/>
      <c r="P81" s="296"/>
      <c r="Q81" s="296"/>
      <c r="R81" s="296"/>
      <c r="S81" s="296"/>
      <c r="T81" s="296"/>
      <c r="AB81" s="340" t="s">
        <v>319</v>
      </c>
      <c r="AC81" s="341"/>
      <c r="AD81" s="341"/>
      <c r="AE81" s="342" t="e">
        <f>+AE61+SUM(AE65:AE71)-SUM(AE74:AE80)</f>
        <v>#VALUE!</v>
      </c>
      <c r="AF81" s="272"/>
      <c r="AG81" s="342">
        <f>+AG61+SUM(AG65:AG71)-SUM(AG74:AG80)</f>
        <v>0</v>
      </c>
      <c r="AH81" s="272"/>
      <c r="AI81" s="272"/>
      <c r="AJ81" s="343">
        <f>+AJ61+SUM(AJ65:AJ71)-SUM(AJ74:AJ80)</f>
        <v>0</v>
      </c>
    </row>
    <row r="82" spans="1:255" ht="13.2" x14ac:dyDescent="0.25">
      <c r="A82" s="329"/>
      <c r="B82" s="316"/>
      <c r="C82" s="334" t="str">
        <f>IF(Sheet1!D$192=1,IF(OR(Sheet1!D$8=2,Sheet1!D$22=3),"      FOR OSCR Initiatives: SIR may include savings over 10 years from when savings first begins or through economic life if &lt; 10 years",IF(Sheet1!D$8=3,"    SIR limited to 6 year evaluation period (or project life if &lt; 6 years) ","      SIR based on entire project life "))," ")</f>
        <v xml:space="preserve">      SIR based on entire project life </v>
      </c>
      <c r="D82" s="316"/>
      <c r="E82" s="296"/>
      <c r="F82" s="270"/>
      <c r="G82" s="338" t="str">
        <f>IF(OR(AND(Sheet1!N264=1,Sheet1!N268=2),AND(Sheet1!N264=2,Sheet1!N268=1)),"                        under both the 'Status Quo' and 'Alternative D' "," ")</f>
        <v xml:space="preserve"> </v>
      </c>
      <c r="H82" s="296"/>
      <c r="I82" s="310"/>
      <c r="J82" s="304"/>
      <c r="K82" s="327"/>
      <c r="L82" s="177"/>
      <c r="P82" s="296"/>
      <c r="Q82" s="296"/>
      <c r="R82" s="296"/>
      <c r="S82" s="296"/>
      <c r="T82" s="296"/>
      <c r="AB82" s="344"/>
      <c r="AC82" s="345"/>
      <c r="AD82" s="345"/>
      <c r="AE82" s="345"/>
      <c r="AF82" s="345"/>
      <c r="AG82" s="345"/>
      <c r="AH82" s="345"/>
      <c r="AI82" s="345"/>
      <c r="AJ82" s="346"/>
    </row>
    <row r="83" spans="1:255" ht="13.2" x14ac:dyDescent="0.25">
      <c r="A83" s="329"/>
      <c r="B83" s="316"/>
      <c r="C83" s="334" t="str">
        <f>IF(Sheet1!D$192=1,IF(OR(Sheet1!D$8=2,Sheet1!D$22=3),"      FOR OSCR Initiatives: SIR may not include 'New Investment Costs' occurring beyond the maximum 10 year savings period",IF(Sheet1!D$8=3,"    SIR can't include 'New Investment Costs' occurring after evaluation period","  "))," ")</f>
        <v xml:space="preserve">  </v>
      </c>
      <c r="D83" s="316"/>
      <c r="E83" s="316"/>
      <c r="F83" s="316"/>
      <c r="G83" s="338" t="str">
        <f>IF(OR(AND(Sheet1!N264=1,Sheet1!N268=2),AND(Sheet1!N264=2,Sheet1!N268=1)),"                        that should be used  to calculate Savings"," ")</f>
        <v xml:space="preserve"> </v>
      </c>
      <c r="H83" s="316"/>
      <c r="I83" s="316"/>
      <c r="J83" s="304"/>
      <c r="K83" s="327"/>
      <c r="L83" s="177"/>
      <c r="P83" s="296"/>
      <c r="Q83" s="296"/>
      <c r="R83" s="296"/>
      <c r="S83" s="296"/>
      <c r="T83" s="296"/>
    </row>
    <row r="84" spans="1:255" ht="13.2" x14ac:dyDescent="0.25">
      <c r="A84" s="329"/>
      <c r="B84" s="316"/>
      <c r="C84" s="316"/>
      <c r="D84" s="316"/>
      <c r="E84" s="270" t="str">
        <f>IF(Sheet1!D$192=1,IF(OR(Sheet1!D$8=2,Sheet1!D$8=3,Sheet1!D$22=3),"      Restricted Savings","      Savings "),"SIR not applicable since")</f>
        <v xml:space="preserve">      Savings </v>
      </c>
      <c r="F84" s="316"/>
      <c r="G84" s="316"/>
      <c r="H84" s="260">
        <f>IF(Sheet1!D$192=1,IF(G81&lt;&gt;" ","???",S61)," ")</f>
        <v>0</v>
      </c>
      <c r="I84" s="310" t="str">
        <f>IF(Sheet1!D$192=1,IF(OR(Sheet1!D$8=2,Sheet1!D$8=3),"Constant Dollars","(Discounted Dollars)")," ")</f>
        <v>(Discounted Dollars)</v>
      </c>
      <c r="J84" s="304"/>
      <c r="K84" s="335" t="str">
        <f>IF(Sheet1!D$192=1,IF(OR(Sheet1!D$8=2,Sheet1!D$8=3),"(block 6q.)","(block 6q.)")," ")</f>
        <v>(block 6q.)</v>
      </c>
      <c r="L84" s="177"/>
      <c r="P84" s="296"/>
      <c r="Q84" s="296"/>
      <c r="R84" s="296"/>
      <c r="S84" s="296"/>
      <c r="T84" s="296"/>
      <c r="AB84" s="58"/>
      <c r="AC84" s="58"/>
      <c r="AD84" s="58"/>
      <c r="AE84" s="58"/>
      <c r="AF84" s="58"/>
      <c r="AG84" s="58"/>
      <c r="AH84" s="58"/>
      <c r="AI84" s="58"/>
      <c r="AJ84" s="58"/>
      <c r="AK84" s="306"/>
    </row>
    <row r="85" spans="1:255" ht="13.2" x14ac:dyDescent="0.25">
      <c r="A85" s="329"/>
      <c r="B85" s="316"/>
      <c r="C85" s="334"/>
      <c r="D85" s="316"/>
      <c r="E85" s="171" t="str">
        <f>IF(Sheet1!D$192=1,IF(OR(Sheet1!D8=2,Sheet1!D$8=3,Sheet1!D$22=3),"/     Restricted New Investment Cost"," /    New Investment Cost"),"     Status Quo Not Feasible ")</f>
        <v xml:space="preserve"> /    New Investment Cost</v>
      </c>
      <c r="F85" s="316"/>
      <c r="G85" s="316"/>
      <c r="H85" s="260">
        <f>IF(Sheet1!D$192=1,IF(OR(Sheet1!D$8=2,Sheet1!D$8=3,Sheet1!D$22=3),AJ61,AG61)," ")</f>
        <v>0</v>
      </c>
      <c r="I85" s="310" t="str">
        <f>IF(Sheet1!D$192=1,IF(OR(Sheet1!D$8=2,Sheet1!D$8=3),"Constant Dollars","(Discounted Dollars)")," ")</f>
        <v>(Discounted Dollars)</v>
      </c>
      <c r="J85" s="304"/>
      <c r="K85" s="335" t="str">
        <f>IF(Sheet1!D$192=1,IF(OR(Sheet1!D$8=2,Sheet1!D$8=3),"(block A9.)","(block A5.)")," ")</f>
        <v>(block A5.)</v>
      </c>
      <c r="L85" s="325"/>
      <c r="P85" s="296"/>
      <c r="Q85" s="296"/>
      <c r="R85" s="296"/>
      <c r="S85" s="296"/>
      <c r="T85" s="296"/>
      <c r="AB85" s="58"/>
      <c r="AC85" s="58"/>
      <c r="AD85" s="58"/>
      <c r="AE85" s="58"/>
      <c r="AF85" s="58"/>
      <c r="AG85" s="58"/>
      <c r="AH85" s="58"/>
      <c r="AI85" s="58"/>
      <c r="AJ85" s="58"/>
      <c r="AK85" s="306"/>
    </row>
    <row r="86" spans="1:255" ht="13.2" x14ac:dyDescent="0.25">
      <c r="A86" s="329"/>
      <c r="B86" s="316"/>
      <c r="C86" s="316"/>
      <c r="D86" s="270"/>
      <c r="E86" s="296"/>
      <c r="F86" s="270"/>
      <c r="G86" s="304"/>
      <c r="H86" s="336" t="str">
        <f>IF(Sheet1!D$192=1,IF(G81&lt;&gt;" ","???",IF(H85=0,"n/a",+H84/H85)),"  ")</f>
        <v>n/a</v>
      </c>
      <c r="I86" s="337" t="str">
        <f>IF(Sheet1!D$192=1,"(SIR)"," ")</f>
        <v>(SIR)</v>
      </c>
      <c r="J86" s="304"/>
      <c r="K86" s="327"/>
      <c r="L86" s="177"/>
      <c r="P86" s="296"/>
      <c r="Q86" s="296"/>
      <c r="R86" s="296"/>
      <c r="S86" s="296"/>
      <c r="T86" s="296"/>
      <c r="AB86" s="58"/>
      <c r="AC86" s="58"/>
      <c r="AD86" s="58"/>
      <c r="AE86" s="58"/>
      <c r="AF86" s="58"/>
      <c r="AG86" s="58"/>
      <c r="AH86" s="58"/>
      <c r="AI86" s="58"/>
      <c r="AJ86" s="58"/>
      <c r="AK86" s="306"/>
    </row>
    <row r="87" spans="1:255" ht="13.2" x14ac:dyDescent="0.25">
      <c r="A87" s="329"/>
      <c r="B87" s="316"/>
      <c r="C87" s="316"/>
      <c r="D87" s="270"/>
      <c r="E87" s="296"/>
      <c r="F87" s="270"/>
      <c r="G87" s="304"/>
      <c r="H87" s="316"/>
      <c r="I87" s="316"/>
      <c r="J87" s="304"/>
      <c r="K87" s="333"/>
      <c r="L87" s="177"/>
      <c r="P87" s="296"/>
      <c r="Q87" s="296"/>
      <c r="R87" s="296"/>
      <c r="S87" s="296"/>
      <c r="T87" s="296"/>
      <c r="AB87" s="58"/>
      <c r="AC87" s="58"/>
      <c r="AD87" s="58"/>
      <c r="AE87" s="58"/>
      <c r="AF87" s="58"/>
      <c r="AG87" s="58"/>
      <c r="AH87" s="58"/>
      <c r="AI87" s="58"/>
      <c r="AJ87" s="58"/>
      <c r="AK87" s="306"/>
    </row>
    <row r="88" spans="1:255" ht="13.2" x14ac:dyDescent="0.25">
      <c r="A88" s="347"/>
      <c r="B88" s="270"/>
      <c r="C88" s="330" t="str">
        <f>IF(Sheet1!D$192=1,"o    PAYBACK (of   '' New Investment Cost '' of  $"&amp;AJ$61&amp;"  )"," ")</f>
        <v>o    PAYBACK (of   '' New Investment Cost '' of  $0  )</v>
      </c>
      <c r="D88" s="296"/>
      <c r="E88" s="296"/>
      <c r="F88" s="270"/>
      <c r="G88" s="304"/>
      <c r="H88" s="348" t="str">
        <f>IF(Sheet1!D$192=1,IF(K61&lt;=0,"n/a (since monetary benefits &lt; =0)",IF(K61&lt;AJ61,"no payback occurs",(Y11-1)+Y14)),"  ")</f>
        <v>n/a (since monetary benefits &lt; =0)</v>
      </c>
      <c r="I88" s="171" t="str">
        <f>IF(Sheet1!D$192=1,IF(K61&lt;=0," ",IF(AJ61&gt;K61," ","years"))," ")</f>
        <v xml:space="preserve"> </v>
      </c>
      <c r="J88" s="304"/>
      <c r="K88" s="327"/>
      <c r="L88" s="177"/>
      <c r="P88" s="296"/>
      <c r="Q88" s="296"/>
      <c r="R88" s="296"/>
      <c r="S88" s="296"/>
      <c r="T88" s="296"/>
      <c r="AB88" s="58"/>
      <c r="AC88" s="58"/>
      <c r="AD88" s="58"/>
      <c r="AE88" s="58"/>
      <c r="AF88" s="58"/>
      <c r="AG88" s="58"/>
      <c r="AH88" s="58"/>
      <c r="AI88" s="58"/>
      <c r="AJ88" s="58"/>
      <c r="AK88" s="306"/>
    </row>
    <row r="89" spans="1:255" ht="13.2" x14ac:dyDescent="0.25">
      <c r="A89" s="347"/>
      <c r="B89" s="270"/>
      <c r="C89" s="334" t="str">
        <f>IF(Sheet1!D$192=1,IF(OR(Sheet1!D$8=2,Sheet1!D$22=3),"      Payback based on 'MONETARY BENEFITS', using current dollars.  FOR OSCR Initiatives: 'New Investment Cost' used here doesn't include investments after monetary benefits period",IF(Sheet1!D$8=3,"    Payback based on 'MONETARY BENEFITS', using current dollars.  'New Investment Cost' used here is limited to maximum 6 year evaluation period","      Payback based on 'MONETARY BENEFITS', using current dollars  "))," ")</f>
        <v xml:space="preserve">      Payback based on 'MONETARY BENEFITS', using current dollars  </v>
      </c>
      <c r="D89" s="296"/>
      <c r="E89" s="316"/>
      <c r="F89" s="270"/>
      <c r="G89" s="304"/>
      <c r="H89" s="296"/>
      <c r="I89" s="310"/>
      <c r="J89" s="304"/>
      <c r="K89" s="327"/>
      <c r="L89" s="177"/>
      <c r="P89" s="296"/>
      <c r="Q89" s="296"/>
      <c r="R89" s="296"/>
      <c r="S89" s="296"/>
      <c r="T89" s="296"/>
      <c r="AB89" s="58"/>
      <c r="AC89" s="58"/>
      <c r="AD89" s="58"/>
      <c r="AE89" s="58"/>
      <c r="AF89" s="58"/>
      <c r="AG89" s="58"/>
      <c r="AH89" s="58"/>
      <c r="AI89" s="58"/>
      <c r="AJ89" s="58"/>
      <c r="AK89" s="306"/>
    </row>
    <row r="90" spans="1:255" ht="13.2" x14ac:dyDescent="0.25">
      <c r="A90" s="347"/>
      <c r="B90" s="270"/>
      <c r="C90" s="270"/>
      <c r="D90" s="296"/>
      <c r="E90" s="270" t="str">
        <f>IF(Sheet1!D$192=1," ","Payback Not Applicable since Status Quo not Feasible")</f>
        <v xml:space="preserve"> </v>
      </c>
      <c r="F90" s="270"/>
      <c r="G90" s="304"/>
      <c r="H90" s="296"/>
      <c r="I90" s="310"/>
      <c r="J90" s="304"/>
      <c r="K90" s="327"/>
      <c r="L90" s="177"/>
      <c r="P90" s="296"/>
      <c r="Q90" s="296"/>
      <c r="R90" s="296"/>
      <c r="S90" s="296"/>
      <c r="T90" s="296"/>
      <c r="AB90" s="58"/>
      <c r="AC90" s="58"/>
      <c r="AD90" s="58"/>
      <c r="AE90" s="58"/>
      <c r="AF90" s="58"/>
      <c r="AG90" s="58"/>
      <c r="AH90" s="58"/>
      <c r="AI90" s="58"/>
      <c r="AJ90" s="58"/>
      <c r="AK90" s="306"/>
    </row>
    <row r="91" spans="1:255" ht="13.2" x14ac:dyDescent="0.25">
      <c r="A91" s="347"/>
      <c r="B91" s="270"/>
      <c r="C91" s="330" t="str">
        <f>IF(AND(Sheet1!D$192=1,Sheet1!D$196=1),"o    RETURN ON INVESTMENT", "")</f>
        <v/>
      </c>
      <c r="D91" s="296"/>
      <c r="E91" s="270"/>
      <c r="F91" s="270"/>
      <c r="G91" s="304"/>
      <c r="H91" s="585" t="str">
        <f>IF(AND(Sheet1!D$192=1,Sheet1!D$196=1),ROI!L60, "")</f>
        <v/>
      </c>
      <c r="I91" s="337" t="str">
        <f>IF(AND(Sheet1!D$192=1, Sheet1!D$196=1),"(ROI)"," ")</f>
        <v xml:space="preserve"> </v>
      </c>
      <c r="J91" s="304"/>
      <c r="K91" s="327"/>
      <c r="L91" s="177"/>
      <c r="P91" s="296"/>
      <c r="Q91" s="296"/>
      <c r="R91" s="296"/>
      <c r="S91" s="296"/>
      <c r="T91" s="296"/>
      <c r="AB91" s="58"/>
      <c r="AC91" s="58"/>
      <c r="AD91" s="58"/>
      <c r="AE91" s="58"/>
      <c r="AF91" s="58"/>
      <c r="AG91" s="58"/>
      <c r="AH91" s="58"/>
      <c r="AI91" s="58"/>
      <c r="AJ91" s="58"/>
      <c r="AK91" s="306"/>
    </row>
    <row r="92" spans="1:255" ht="13.2" x14ac:dyDescent="0.25">
      <c r="A92" s="329"/>
      <c r="B92" s="316"/>
      <c r="C92" s="316"/>
      <c r="D92" s="349"/>
      <c r="E92" s="349"/>
      <c r="F92" s="349"/>
      <c r="H92" s="296"/>
      <c r="I92" s="310"/>
      <c r="J92" s="304"/>
      <c r="K92" s="327"/>
      <c r="L92" s="177"/>
      <c r="P92" s="296"/>
      <c r="Q92" s="296"/>
      <c r="R92" s="296"/>
      <c r="S92" s="296"/>
      <c r="T92" s="296"/>
      <c r="AB92" s="58"/>
      <c r="AC92" s="58"/>
      <c r="AD92" s="58"/>
      <c r="AE92" s="58"/>
      <c r="AF92" s="58"/>
      <c r="AG92" s="58"/>
      <c r="AH92" s="58"/>
      <c r="AI92" s="58"/>
      <c r="AJ92" s="58"/>
      <c r="AK92" s="306"/>
    </row>
    <row r="93" spans="1:255" ht="13.2" x14ac:dyDescent="0.25">
      <c r="A93" s="347"/>
      <c r="B93" s="349"/>
      <c r="C93" s="349" t="s">
        <v>333</v>
      </c>
      <c r="D93" s="270"/>
      <c r="E93" s="316"/>
      <c r="F93" s="270"/>
      <c r="G93" s="304"/>
      <c r="H93" s="296"/>
      <c r="I93" s="310"/>
      <c r="J93" s="304"/>
      <c r="K93" s="327"/>
      <c r="L93" s="177"/>
      <c r="P93" s="296"/>
      <c r="Q93" s="296"/>
      <c r="R93" s="296"/>
      <c r="S93" s="296"/>
      <c r="T93" s="296"/>
      <c r="AB93" s="58"/>
      <c r="AC93" s="58"/>
      <c r="AD93" s="58"/>
      <c r="AE93" s="58"/>
      <c r="AF93" s="58"/>
      <c r="AG93" s="58"/>
      <c r="AH93" s="58"/>
      <c r="AI93" s="58"/>
      <c r="AJ93" s="58"/>
      <c r="AK93" s="306"/>
    </row>
    <row r="94" spans="1:255" ht="13.8" thickBot="1" x14ac:dyDescent="0.3">
      <c r="A94" s="350"/>
      <c r="B94" s="351"/>
      <c r="C94" s="352"/>
      <c r="D94" s="353"/>
      <c r="E94" s="351" t="str">
        <f>IF(Sheet1!D$193,VLOOKUP(Sheet1!D$250,Sheet1!A$255:B$259,2)," ")</f>
        <v>Replacement:    Unsafe, beyond economical repair, or inoperative/unusable assets</v>
      </c>
      <c r="F94" s="351"/>
      <c r="G94" s="354"/>
      <c r="H94" s="353"/>
      <c r="I94" s="355"/>
      <c r="J94" s="354"/>
      <c r="K94" s="356"/>
      <c r="L94" s="177"/>
      <c r="P94" s="296"/>
      <c r="Q94" s="296"/>
      <c r="R94" s="296"/>
      <c r="S94" s="296"/>
      <c r="T94" s="296"/>
      <c r="AB94" s="58"/>
      <c r="AC94" s="58"/>
      <c r="AD94" s="58"/>
      <c r="AE94" s="58"/>
      <c r="AF94" s="58"/>
      <c r="AG94" s="58"/>
      <c r="AH94" s="58"/>
      <c r="AI94" s="58"/>
      <c r="AJ94" s="58"/>
      <c r="AK94" s="306"/>
    </row>
    <row r="95" spans="1:255" ht="13.5" customHeight="1" thickTop="1" thickBot="1" x14ac:dyDescent="0.3">
      <c r="A95" s="357"/>
      <c r="B95" s="358"/>
      <c r="C95" s="359"/>
      <c r="D95" s="360"/>
      <c r="E95" s="360"/>
      <c r="F95" s="361"/>
      <c r="G95" s="362"/>
      <c r="H95" s="360"/>
      <c r="I95" s="363"/>
      <c r="J95" s="362"/>
      <c r="K95" s="364"/>
      <c r="L95" s="177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AB95" s="58"/>
      <c r="AC95" s="58"/>
      <c r="AD95" s="58"/>
      <c r="AE95" s="58"/>
      <c r="AF95" s="58"/>
      <c r="AG95" s="58"/>
      <c r="AH95" s="58"/>
      <c r="AI95" s="58"/>
      <c r="AJ95" s="58"/>
      <c r="AK95" s="376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58"/>
      <c r="BS95" s="58"/>
      <c r="BT95" s="58"/>
      <c r="BU95" s="58"/>
      <c r="BV95" s="58"/>
      <c r="BW95" s="58"/>
      <c r="BX95" s="58"/>
      <c r="BY95" s="58"/>
      <c r="BZ95" s="58"/>
      <c r="CA95" s="58"/>
      <c r="CB95" s="58"/>
      <c r="CC95" s="58"/>
      <c r="CD95" s="58"/>
      <c r="CE95" s="58"/>
      <c r="CF95" s="58"/>
      <c r="CG95" s="58"/>
      <c r="CH95" s="58"/>
      <c r="CI95" s="58"/>
      <c r="CJ95" s="58"/>
      <c r="CK95" s="58"/>
      <c r="CL95" s="58"/>
      <c r="CM95" s="58"/>
      <c r="CN95" s="58"/>
      <c r="CO95" s="58"/>
      <c r="CP95" s="58"/>
      <c r="CQ95" s="58"/>
      <c r="CR95" s="58"/>
      <c r="CS95" s="58"/>
      <c r="CT95" s="58"/>
      <c r="CU95" s="58"/>
      <c r="CV95" s="58"/>
      <c r="CW95" s="58"/>
      <c r="CX95" s="58"/>
      <c r="CY95" s="58"/>
      <c r="CZ95" s="58"/>
      <c r="DA95" s="58"/>
      <c r="DB95" s="58"/>
      <c r="DC95" s="58"/>
      <c r="DD95" s="58"/>
      <c r="DE95" s="58"/>
      <c r="DF95" s="58"/>
      <c r="DG95" s="58"/>
      <c r="DH95" s="58"/>
      <c r="DI95" s="58"/>
      <c r="DJ95" s="58"/>
      <c r="DK95" s="58"/>
      <c r="DL95" s="58"/>
      <c r="DM95" s="58"/>
      <c r="DN95" s="58"/>
      <c r="DO95" s="58"/>
      <c r="DP95" s="58"/>
      <c r="DQ95" s="58"/>
      <c r="DR95" s="58"/>
      <c r="DS95" s="58"/>
      <c r="DT95" s="58"/>
      <c r="DU95" s="58"/>
      <c r="DV95" s="58"/>
      <c r="DW95" s="58"/>
      <c r="DX95" s="58"/>
      <c r="DY95" s="58"/>
      <c r="DZ95" s="58"/>
      <c r="EA95" s="58"/>
      <c r="EB95" s="58"/>
      <c r="EC95" s="58"/>
      <c r="ED95" s="58"/>
      <c r="EE95" s="58"/>
      <c r="EF95" s="58"/>
      <c r="EG95" s="58"/>
      <c r="EH95" s="58"/>
      <c r="EI95" s="58"/>
      <c r="EJ95" s="58"/>
      <c r="EK95" s="58"/>
      <c r="EL95" s="58"/>
      <c r="EM95" s="58"/>
      <c r="EN95" s="58"/>
      <c r="EO95" s="58"/>
      <c r="EP95" s="58"/>
      <c r="EQ95" s="58"/>
      <c r="ER95" s="58"/>
      <c r="ES95" s="58"/>
      <c r="ET95" s="58"/>
      <c r="EU95" s="58"/>
      <c r="EV95" s="58"/>
      <c r="EW95" s="58"/>
      <c r="EX95" s="58"/>
      <c r="EY95" s="58"/>
      <c r="EZ95" s="58"/>
      <c r="FA95" s="58"/>
      <c r="FB95" s="58"/>
      <c r="FC95" s="58"/>
      <c r="FD95" s="58"/>
      <c r="FE95" s="58"/>
      <c r="FF95" s="58"/>
      <c r="FG95" s="58"/>
      <c r="FH95" s="58"/>
      <c r="FI95" s="58"/>
      <c r="FJ95" s="58"/>
      <c r="FK95" s="58"/>
      <c r="FL95" s="58"/>
      <c r="FM95" s="58"/>
      <c r="FN95" s="58"/>
      <c r="FO95" s="58"/>
      <c r="FP95" s="58"/>
      <c r="FQ95" s="58"/>
      <c r="FR95" s="58"/>
      <c r="FS95" s="58"/>
      <c r="FT95" s="58"/>
      <c r="FU95" s="58"/>
      <c r="FV95" s="58"/>
      <c r="FW95" s="58"/>
      <c r="FX95" s="58"/>
      <c r="FY95" s="58"/>
      <c r="FZ95" s="58"/>
      <c r="GA95" s="58"/>
      <c r="GB95" s="58"/>
      <c r="GC95" s="58"/>
      <c r="GD95" s="58"/>
      <c r="GE95" s="58"/>
      <c r="GF95" s="58"/>
      <c r="GG95" s="58"/>
      <c r="GH95" s="58"/>
      <c r="GI95" s="58"/>
      <c r="GJ95" s="58"/>
      <c r="GK95" s="58"/>
      <c r="GL95" s="58"/>
      <c r="GM95" s="58"/>
      <c r="GN95" s="58"/>
      <c r="GO95" s="58"/>
      <c r="GP95" s="58"/>
      <c r="GQ95" s="58"/>
      <c r="GR95" s="58"/>
      <c r="GS95" s="58"/>
      <c r="GT95" s="58"/>
      <c r="GU95" s="58"/>
      <c r="GV95" s="58"/>
      <c r="GW95" s="58"/>
      <c r="GX95" s="58"/>
      <c r="GY95" s="58"/>
      <c r="GZ95" s="58"/>
      <c r="HA95" s="58"/>
      <c r="HB95" s="58"/>
      <c r="HC95" s="58"/>
      <c r="HD95" s="58"/>
      <c r="HE95" s="58"/>
      <c r="HF95" s="58"/>
      <c r="HG95" s="58"/>
      <c r="HH95" s="58"/>
      <c r="HI95" s="58"/>
      <c r="HJ95" s="58"/>
      <c r="HK95" s="58"/>
      <c r="HL95" s="58"/>
      <c r="HM95" s="58"/>
      <c r="HN95" s="58"/>
      <c r="HO95" s="58"/>
      <c r="HP95" s="58"/>
      <c r="HQ95" s="58"/>
      <c r="HR95" s="58"/>
      <c r="HS95" s="58"/>
      <c r="HT95" s="58"/>
      <c r="HU95" s="58"/>
      <c r="HV95" s="58"/>
      <c r="HW95" s="58"/>
      <c r="HX95" s="58"/>
      <c r="HY95" s="58"/>
      <c r="HZ95" s="58"/>
      <c r="IA95" s="58"/>
      <c r="IB95" s="58"/>
      <c r="IC95" s="58"/>
      <c r="ID95" s="58"/>
      <c r="IE95" s="58"/>
      <c r="IF95" s="58"/>
      <c r="IG95" s="58"/>
      <c r="IH95" s="58"/>
      <c r="II95" s="58"/>
      <c r="IJ95" s="58"/>
      <c r="IK95" s="58"/>
      <c r="IL95" s="58"/>
      <c r="IM95" s="58"/>
      <c r="IN95" s="58"/>
      <c r="IO95" s="58"/>
      <c r="IP95" s="58"/>
      <c r="IQ95" s="58"/>
      <c r="IR95" s="58"/>
      <c r="IS95" s="58"/>
      <c r="IT95" s="58"/>
      <c r="IU95" s="58"/>
    </row>
    <row r="96" spans="1:255" ht="13.8" thickTop="1" x14ac:dyDescent="0.25">
      <c r="A96" s="316"/>
      <c r="B96" s="316"/>
      <c r="C96" s="316"/>
      <c r="D96" s="316"/>
      <c r="E96" s="316"/>
      <c r="F96" s="316"/>
      <c r="G96" s="316"/>
      <c r="H96" s="316"/>
      <c r="I96" s="316"/>
      <c r="J96" s="316"/>
      <c r="K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AB96" s="58"/>
      <c r="AC96" s="58"/>
      <c r="AD96" s="58"/>
      <c r="AE96" s="58"/>
      <c r="AF96" s="58"/>
      <c r="AG96" s="58"/>
      <c r="AH96" s="58"/>
      <c r="AI96" s="58"/>
      <c r="AJ96" s="58"/>
      <c r="AK96" s="306"/>
    </row>
    <row r="97" spans="28:37" ht="13.2" hidden="1" x14ac:dyDescent="0.25">
      <c r="AB97" s="58"/>
      <c r="AC97" s="58"/>
      <c r="AD97" s="58"/>
      <c r="AE97" s="58"/>
      <c r="AF97" s="58"/>
      <c r="AG97" s="58"/>
      <c r="AH97" s="58"/>
      <c r="AI97" s="58"/>
      <c r="AJ97" s="58"/>
      <c r="AK97" s="306"/>
    </row>
    <row r="98" spans="28:37" ht="13.2" hidden="1" x14ac:dyDescent="0.25">
      <c r="AB98" s="58"/>
      <c r="AC98" s="58"/>
      <c r="AD98" s="58"/>
      <c r="AE98" s="58"/>
      <c r="AF98" s="58"/>
      <c r="AG98" s="58"/>
      <c r="AH98" s="58"/>
      <c r="AI98" s="58"/>
      <c r="AJ98" s="58"/>
      <c r="AK98" s="306"/>
    </row>
    <row r="99" spans="28:37" ht="13.2" hidden="1" x14ac:dyDescent="0.25">
      <c r="AB99" s="58"/>
      <c r="AC99" s="58"/>
      <c r="AD99" s="58"/>
      <c r="AE99" s="58"/>
      <c r="AF99" s="58"/>
      <c r="AG99" s="58"/>
      <c r="AH99" s="58"/>
      <c r="AI99" s="58"/>
      <c r="AJ99" s="58"/>
      <c r="AK99" s="306"/>
    </row>
    <row r="100" spans="28:37" ht="13.2" hidden="1" x14ac:dyDescent="0.25">
      <c r="AB100" s="58"/>
      <c r="AC100" s="58"/>
      <c r="AD100" s="58"/>
      <c r="AE100" s="58"/>
      <c r="AF100" s="58"/>
      <c r="AG100" s="58"/>
      <c r="AH100" s="58"/>
      <c r="AI100" s="58"/>
      <c r="AJ100" s="58"/>
      <c r="AK100" s="306"/>
    </row>
    <row r="101" spans="28:37" ht="13.2" hidden="1" x14ac:dyDescent="0.25">
      <c r="AB101" s="58"/>
      <c r="AC101" s="58"/>
      <c r="AD101" s="58"/>
      <c r="AE101" s="58"/>
      <c r="AF101" s="58"/>
      <c r="AG101" s="58"/>
      <c r="AH101" s="58"/>
      <c r="AI101" s="58"/>
      <c r="AJ101" s="58"/>
      <c r="AK101" s="306"/>
    </row>
    <row r="102" spans="28:37" ht="13.2" hidden="1" x14ac:dyDescent="0.25">
      <c r="AB102" s="58"/>
      <c r="AC102" s="58"/>
      <c r="AD102" s="58"/>
      <c r="AE102" s="58"/>
      <c r="AF102" s="58"/>
      <c r="AG102" s="58"/>
      <c r="AH102" s="58"/>
      <c r="AI102" s="58"/>
      <c r="AJ102" s="58"/>
      <c r="AK102" s="306"/>
    </row>
    <row r="103" spans="28:37" ht="13.2" hidden="1" x14ac:dyDescent="0.25">
      <c r="AB103" s="58"/>
      <c r="AC103" s="58"/>
      <c r="AD103" s="58"/>
      <c r="AE103" s="58"/>
      <c r="AF103" s="58"/>
      <c r="AG103" s="58"/>
      <c r="AH103" s="58"/>
      <c r="AI103" s="58"/>
      <c r="AJ103" s="58"/>
      <c r="AK103" s="306"/>
    </row>
    <row r="104" spans="28:37" ht="13.2" hidden="1" x14ac:dyDescent="0.25">
      <c r="AB104" s="58"/>
      <c r="AC104" s="58"/>
      <c r="AD104" s="58"/>
      <c r="AE104" s="58"/>
      <c r="AF104" s="58"/>
      <c r="AG104" s="58"/>
      <c r="AH104" s="58"/>
      <c r="AI104" s="58"/>
      <c r="AJ104" s="58"/>
      <c r="AK104" s="306"/>
    </row>
    <row r="105" spans="28:37" ht="11.4" hidden="1" x14ac:dyDescent="0.2">
      <c r="AK105" s="306"/>
    </row>
    <row r="106" spans="28:37" ht="11.4" hidden="1" x14ac:dyDescent="0.2"/>
    <row r="107" spans="28:37" ht="11.4" hidden="1" x14ac:dyDescent="0.2"/>
    <row r="108" spans="28:37" ht="11.4" hidden="1" x14ac:dyDescent="0.2"/>
    <row r="109" spans="28:37" ht="11.4" hidden="1" x14ac:dyDescent="0.2"/>
    <row r="110" spans="28:37" ht="11.4" hidden="1" x14ac:dyDescent="0.2"/>
    <row r="111" spans="28:37" ht="11.4" hidden="1" x14ac:dyDescent="0.2"/>
    <row r="112" spans="28:37" ht="11.4" hidden="1" x14ac:dyDescent="0.2"/>
    <row r="113" ht="11.4" hidden="1" x14ac:dyDescent="0.2"/>
    <row r="114" ht="11.4" hidden="1" x14ac:dyDescent="0.2"/>
    <row r="115" ht="11.4" hidden="1" x14ac:dyDescent="0.2"/>
  </sheetData>
  <sheetProtection algorithmName="SHA-512" hashValue="GbgMDpBxOsPdkmazzX4S0z6NKxVY70P+WpG4NBu6zD7JTs1WHtPU8prlE9I/YFSp0H4Ds2uAdUCU75rlr5wC8A==" saltValue="aFBacCvBEVMalxtdLZVSvQ==" spinCount="100000" sheet="1" objects="1" scenarios="1"/>
  <printOptions horizontalCentered="1"/>
  <pageMargins left="0.25" right="0.25" top="0.25" bottom="0.5" header="0.25" footer="0.25"/>
  <pageSetup scale="62" orientation="portrait" horizontalDpi="300" r:id="rId1"/>
  <headerFooter alignWithMargins="0">
    <oddFooter>&amp;R&amp;A, Page 4 of 4,  (Printed:  &amp;D,   &amp;T ) Using ver 1.04r6</oddFooter>
  </headerFooter>
  <colBreaks count="2" manualBreakCount="2">
    <brk id="11" max="1048575" man="1"/>
    <brk id="3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>
    <pageSetUpPr fitToPage="1"/>
  </sheetPr>
  <dimension ref="A1:AX750"/>
  <sheetViews>
    <sheetView showGridLines="0" showRowColHeaders="0" workbookViewId="0">
      <selection activeCell="A2" sqref="A2"/>
    </sheetView>
  </sheetViews>
  <sheetFormatPr defaultColWidth="0" defaultRowHeight="9.9" customHeight="1" zeroHeight="1" x14ac:dyDescent="0.2"/>
  <cols>
    <col min="1" max="1" width="9.109375" style="4" customWidth="1"/>
    <col min="2" max="2" width="10.33203125" style="4" customWidth="1"/>
    <col min="3" max="3" width="1.5546875" style="4" customWidth="1"/>
    <col min="4" max="4" width="3" style="4" customWidth="1"/>
    <col min="5" max="5" width="11.88671875" style="4" customWidth="1"/>
    <col min="6" max="6" width="19.44140625" style="4" customWidth="1"/>
    <col min="7" max="7" width="8.88671875" style="4" customWidth="1"/>
    <col min="8" max="8" width="9.109375" style="4" customWidth="1"/>
    <col min="9" max="10" width="16.88671875" style="140" customWidth="1"/>
    <col min="11" max="12" width="16.6640625" style="140" customWidth="1"/>
    <col min="13" max="13" width="4.88671875" style="140" customWidth="1"/>
    <col min="14" max="14" width="15.6640625" style="140" customWidth="1"/>
    <col min="15" max="15" width="0.109375" style="456" customWidth="1"/>
    <col min="16" max="256" width="0" style="4" hidden="1"/>
    <col min="257" max="257" width="9.109375" style="4" customWidth="1"/>
    <col min="258" max="258" width="10.33203125" style="4" customWidth="1"/>
    <col min="259" max="259" width="1.5546875" style="4" customWidth="1"/>
    <col min="260" max="260" width="3" style="4" customWidth="1"/>
    <col min="261" max="261" width="11.88671875" style="4" customWidth="1"/>
    <col min="262" max="262" width="19.44140625" style="4" customWidth="1"/>
    <col min="263" max="263" width="8.88671875" style="4" customWidth="1"/>
    <col min="264" max="264" width="9.109375" style="4" customWidth="1"/>
    <col min="265" max="266" width="16.88671875" style="4" customWidth="1"/>
    <col min="267" max="268" width="16.6640625" style="4" customWidth="1"/>
    <col min="269" max="269" width="4.88671875" style="4" customWidth="1"/>
    <col min="270" max="270" width="15.6640625" style="4" customWidth="1"/>
    <col min="271" max="271" width="0.109375" style="4" customWidth="1"/>
    <col min="272" max="512" width="0" style="4" hidden="1"/>
    <col min="513" max="513" width="9.109375" style="4" customWidth="1"/>
    <col min="514" max="514" width="10.33203125" style="4" customWidth="1"/>
    <col min="515" max="515" width="1.5546875" style="4" customWidth="1"/>
    <col min="516" max="516" width="3" style="4" customWidth="1"/>
    <col min="517" max="517" width="11.88671875" style="4" customWidth="1"/>
    <col min="518" max="518" width="19.44140625" style="4" customWidth="1"/>
    <col min="519" max="519" width="8.88671875" style="4" customWidth="1"/>
    <col min="520" max="520" width="9.109375" style="4" customWidth="1"/>
    <col min="521" max="522" width="16.88671875" style="4" customWidth="1"/>
    <col min="523" max="524" width="16.6640625" style="4" customWidth="1"/>
    <col min="525" max="525" width="4.88671875" style="4" customWidth="1"/>
    <col min="526" max="526" width="15.6640625" style="4" customWidth="1"/>
    <col min="527" max="527" width="0.109375" style="4" customWidth="1"/>
    <col min="528" max="768" width="0" style="4" hidden="1"/>
    <col min="769" max="769" width="9.109375" style="4" customWidth="1"/>
    <col min="770" max="770" width="10.33203125" style="4" customWidth="1"/>
    <col min="771" max="771" width="1.5546875" style="4" customWidth="1"/>
    <col min="772" max="772" width="3" style="4" customWidth="1"/>
    <col min="773" max="773" width="11.88671875" style="4" customWidth="1"/>
    <col min="774" max="774" width="19.44140625" style="4" customWidth="1"/>
    <col min="775" max="775" width="8.88671875" style="4" customWidth="1"/>
    <col min="776" max="776" width="9.109375" style="4" customWidth="1"/>
    <col min="777" max="778" width="16.88671875" style="4" customWidth="1"/>
    <col min="779" max="780" width="16.6640625" style="4" customWidth="1"/>
    <col min="781" max="781" width="4.88671875" style="4" customWidth="1"/>
    <col min="782" max="782" width="15.6640625" style="4" customWidth="1"/>
    <col min="783" max="783" width="0.109375" style="4" customWidth="1"/>
    <col min="784" max="1024" width="0" style="4" hidden="1"/>
    <col min="1025" max="1025" width="9.109375" style="4" customWidth="1"/>
    <col min="1026" max="1026" width="10.33203125" style="4" customWidth="1"/>
    <col min="1027" max="1027" width="1.5546875" style="4" customWidth="1"/>
    <col min="1028" max="1028" width="3" style="4" customWidth="1"/>
    <col min="1029" max="1029" width="11.88671875" style="4" customWidth="1"/>
    <col min="1030" max="1030" width="19.44140625" style="4" customWidth="1"/>
    <col min="1031" max="1031" width="8.88671875" style="4" customWidth="1"/>
    <col min="1032" max="1032" width="9.109375" style="4" customWidth="1"/>
    <col min="1033" max="1034" width="16.88671875" style="4" customWidth="1"/>
    <col min="1035" max="1036" width="16.6640625" style="4" customWidth="1"/>
    <col min="1037" max="1037" width="4.88671875" style="4" customWidth="1"/>
    <col min="1038" max="1038" width="15.6640625" style="4" customWidth="1"/>
    <col min="1039" max="1039" width="0.109375" style="4" customWidth="1"/>
    <col min="1040" max="1280" width="0" style="4" hidden="1"/>
    <col min="1281" max="1281" width="9.109375" style="4" customWidth="1"/>
    <col min="1282" max="1282" width="10.33203125" style="4" customWidth="1"/>
    <col min="1283" max="1283" width="1.5546875" style="4" customWidth="1"/>
    <col min="1284" max="1284" width="3" style="4" customWidth="1"/>
    <col min="1285" max="1285" width="11.88671875" style="4" customWidth="1"/>
    <col min="1286" max="1286" width="19.44140625" style="4" customWidth="1"/>
    <col min="1287" max="1287" width="8.88671875" style="4" customWidth="1"/>
    <col min="1288" max="1288" width="9.109375" style="4" customWidth="1"/>
    <col min="1289" max="1290" width="16.88671875" style="4" customWidth="1"/>
    <col min="1291" max="1292" width="16.6640625" style="4" customWidth="1"/>
    <col min="1293" max="1293" width="4.88671875" style="4" customWidth="1"/>
    <col min="1294" max="1294" width="15.6640625" style="4" customWidth="1"/>
    <col min="1295" max="1295" width="0.109375" style="4" customWidth="1"/>
    <col min="1296" max="1536" width="0" style="4" hidden="1"/>
    <col min="1537" max="1537" width="9.109375" style="4" customWidth="1"/>
    <col min="1538" max="1538" width="10.33203125" style="4" customWidth="1"/>
    <col min="1539" max="1539" width="1.5546875" style="4" customWidth="1"/>
    <col min="1540" max="1540" width="3" style="4" customWidth="1"/>
    <col min="1541" max="1541" width="11.88671875" style="4" customWidth="1"/>
    <col min="1542" max="1542" width="19.44140625" style="4" customWidth="1"/>
    <col min="1543" max="1543" width="8.88671875" style="4" customWidth="1"/>
    <col min="1544" max="1544" width="9.109375" style="4" customWidth="1"/>
    <col min="1545" max="1546" width="16.88671875" style="4" customWidth="1"/>
    <col min="1547" max="1548" width="16.6640625" style="4" customWidth="1"/>
    <col min="1549" max="1549" width="4.88671875" style="4" customWidth="1"/>
    <col min="1550" max="1550" width="15.6640625" style="4" customWidth="1"/>
    <col min="1551" max="1551" width="0.109375" style="4" customWidth="1"/>
    <col min="1552" max="1792" width="0" style="4" hidden="1"/>
    <col min="1793" max="1793" width="9.109375" style="4" customWidth="1"/>
    <col min="1794" max="1794" width="10.33203125" style="4" customWidth="1"/>
    <col min="1795" max="1795" width="1.5546875" style="4" customWidth="1"/>
    <col min="1796" max="1796" width="3" style="4" customWidth="1"/>
    <col min="1797" max="1797" width="11.88671875" style="4" customWidth="1"/>
    <col min="1798" max="1798" width="19.44140625" style="4" customWidth="1"/>
    <col min="1799" max="1799" width="8.88671875" style="4" customWidth="1"/>
    <col min="1800" max="1800" width="9.109375" style="4" customWidth="1"/>
    <col min="1801" max="1802" width="16.88671875" style="4" customWidth="1"/>
    <col min="1803" max="1804" width="16.6640625" style="4" customWidth="1"/>
    <col min="1805" max="1805" width="4.88671875" style="4" customWidth="1"/>
    <col min="1806" max="1806" width="15.6640625" style="4" customWidth="1"/>
    <col min="1807" max="1807" width="0.109375" style="4" customWidth="1"/>
    <col min="1808" max="2048" width="0" style="4" hidden="1"/>
    <col min="2049" max="2049" width="9.109375" style="4" customWidth="1"/>
    <col min="2050" max="2050" width="10.33203125" style="4" customWidth="1"/>
    <col min="2051" max="2051" width="1.5546875" style="4" customWidth="1"/>
    <col min="2052" max="2052" width="3" style="4" customWidth="1"/>
    <col min="2053" max="2053" width="11.88671875" style="4" customWidth="1"/>
    <col min="2054" max="2054" width="19.44140625" style="4" customWidth="1"/>
    <col min="2055" max="2055" width="8.88671875" style="4" customWidth="1"/>
    <col min="2056" max="2056" width="9.109375" style="4" customWidth="1"/>
    <col min="2057" max="2058" width="16.88671875" style="4" customWidth="1"/>
    <col min="2059" max="2060" width="16.6640625" style="4" customWidth="1"/>
    <col min="2061" max="2061" width="4.88671875" style="4" customWidth="1"/>
    <col min="2062" max="2062" width="15.6640625" style="4" customWidth="1"/>
    <col min="2063" max="2063" width="0.109375" style="4" customWidth="1"/>
    <col min="2064" max="2304" width="0" style="4" hidden="1"/>
    <col min="2305" max="2305" width="9.109375" style="4" customWidth="1"/>
    <col min="2306" max="2306" width="10.33203125" style="4" customWidth="1"/>
    <col min="2307" max="2307" width="1.5546875" style="4" customWidth="1"/>
    <col min="2308" max="2308" width="3" style="4" customWidth="1"/>
    <col min="2309" max="2309" width="11.88671875" style="4" customWidth="1"/>
    <col min="2310" max="2310" width="19.44140625" style="4" customWidth="1"/>
    <col min="2311" max="2311" width="8.88671875" style="4" customWidth="1"/>
    <col min="2312" max="2312" width="9.109375" style="4" customWidth="1"/>
    <col min="2313" max="2314" width="16.88671875" style="4" customWidth="1"/>
    <col min="2315" max="2316" width="16.6640625" style="4" customWidth="1"/>
    <col min="2317" max="2317" width="4.88671875" style="4" customWidth="1"/>
    <col min="2318" max="2318" width="15.6640625" style="4" customWidth="1"/>
    <col min="2319" max="2319" width="0.109375" style="4" customWidth="1"/>
    <col min="2320" max="2560" width="0" style="4" hidden="1"/>
    <col min="2561" max="2561" width="9.109375" style="4" customWidth="1"/>
    <col min="2562" max="2562" width="10.33203125" style="4" customWidth="1"/>
    <col min="2563" max="2563" width="1.5546875" style="4" customWidth="1"/>
    <col min="2564" max="2564" width="3" style="4" customWidth="1"/>
    <col min="2565" max="2565" width="11.88671875" style="4" customWidth="1"/>
    <col min="2566" max="2566" width="19.44140625" style="4" customWidth="1"/>
    <col min="2567" max="2567" width="8.88671875" style="4" customWidth="1"/>
    <col min="2568" max="2568" width="9.109375" style="4" customWidth="1"/>
    <col min="2569" max="2570" width="16.88671875" style="4" customWidth="1"/>
    <col min="2571" max="2572" width="16.6640625" style="4" customWidth="1"/>
    <col min="2573" max="2573" width="4.88671875" style="4" customWidth="1"/>
    <col min="2574" max="2574" width="15.6640625" style="4" customWidth="1"/>
    <col min="2575" max="2575" width="0.109375" style="4" customWidth="1"/>
    <col min="2576" max="2816" width="0" style="4" hidden="1"/>
    <col min="2817" max="2817" width="9.109375" style="4" customWidth="1"/>
    <col min="2818" max="2818" width="10.33203125" style="4" customWidth="1"/>
    <col min="2819" max="2819" width="1.5546875" style="4" customWidth="1"/>
    <col min="2820" max="2820" width="3" style="4" customWidth="1"/>
    <col min="2821" max="2821" width="11.88671875" style="4" customWidth="1"/>
    <col min="2822" max="2822" width="19.44140625" style="4" customWidth="1"/>
    <col min="2823" max="2823" width="8.88671875" style="4" customWidth="1"/>
    <col min="2824" max="2824" width="9.109375" style="4" customWidth="1"/>
    <col min="2825" max="2826" width="16.88671875" style="4" customWidth="1"/>
    <col min="2827" max="2828" width="16.6640625" style="4" customWidth="1"/>
    <col min="2829" max="2829" width="4.88671875" style="4" customWidth="1"/>
    <col min="2830" max="2830" width="15.6640625" style="4" customWidth="1"/>
    <col min="2831" max="2831" width="0.109375" style="4" customWidth="1"/>
    <col min="2832" max="3072" width="0" style="4" hidden="1"/>
    <col min="3073" max="3073" width="9.109375" style="4" customWidth="1"/>
    <col min="3074" max="3074" width="10.33203125" style="4" customWidth="1"/>
    <col min="3075" max="3075" width="1.5546875" style="4" customWidth="1"/>
    <col min="3076" max="3076" width="3" style="4" customWidth="1"/>
    <col min="3077" max="3077" width="11.88671875" style="4" customWidth="1"/>
    <col min="3078" max="3078" width="19.44140625" style="4" customWidth="1"/>
    <col min="3079" max="3079" width="8.88671875" style="4" customWidth="1"/>
    <col min="3080" max="3080" width="9.109375" style="4" customWidth="1"/>
    <col min="3081" max="3082" width="16.88671875" style="4" customWidth="1"/>
    <col min="3083" max="3084" width="16.6640625" style="4" customWidth="1"/>
    <col min="3085" max="3085" width="4.88671875" style="4" customWidth="1"/>
    <col min="3086" max="3086" width="15.6640625" style="4" customWidth="1"/>
    <col min="3087" max="3087" width="0.109375" style="4" customWidth="1"/>
    <col min="3088" max="3328" width="0" style="4" hidden="1"/>
    <col min="3329" max="3329" width="9.109375" style="4" customWidth="1"/>
    <col min="3330" max="3330" width="10.33203125" style="4" customWidth="1"/>
    <col min="3331" max="3331" width="1.5546875" style="4" customWidth="1"/>
    <col min="3332" max="3332" width="3" style="4" customWidth="1"/>
    <col min="3333" max="3333" width="11.88671875" style="4" customWidth="1"/>
    <col min="3334" max="3334" width="19.44140625" style="4" customWidth="1"/>
    <col min="3335" max="3335" width="8.88671875" style="4" customWidth="1"/>
    <col min="3336" max="3336" width="9.109375" style="4" customWidth="1"/>
    <col min="3337" max="3338" width="16.88671875" style="4" customWidth="1"/>
    <col min="3339" max="3340" width="16.6640625" style="4" customWidth="1"/>
    <col min="3341" max="3341" width="4.88671875" style="4" customWidth="1"/>
    <col min="3342" max="3342" width="15.6640625" style="4" customWidth="1"/>
    <col min="3343" max="3343" width="0.109375" style="4" customWidth="1"/>
    <col min="3344" max="3584" width="0" style="4" hidden="1"/>
    <col min="3585" max="3585" width="9.109375" style="4" customWidth="1"/>
    <col min="3586" max="3586" width="10.33203125" style="4" customWidth="1"/>
    <col min="3587" max="3587" width="1.5546875" style="4" customWidth="1"/>
    <col min="3588" max="3588" width="3" style="4" customWidth="1"/>
    <col min="3589" max="3589" width="11.88671875" style="4" customWidth="1"/>
    <col min="3590" max="3590" width="19.44140625" style="4" customWidth="1"/>
    <col min="3591" max="3591" width="8.88671875" style="4" customWidth="1"/>
    <col min="3592" max="3592" width="9.109375" style="4" customWidth="1"/>
    <col min="3593" max="3594" width="16.88671875" style="4" customWidth="1"/>
    <col min="3595" max="3596" width="16.6640625" style="4" customWidth="1"/>
    <col min="3597" max="3597" width="4.88671875" style="4" customWidth="1"/>
    <col min="3598" max="3598" width="15.6640625" style="4" customWidth="1"/>
    <col min="3599" max="3599" width="0.109375" style="4" customWidth="1"/>
    <col min="3600" max="3840" width="0" style="4" hidden="1"/>
    <col min="3841" max="3841" width="9.109375" style="4" customWidth="1"/>
    <col min="3842" max="3842" width="10.33203125" style="4" customWidth="1"/>
    <col min="3843" max="3843" width="1.5546875" style="4" customWidth="1"/>
    <col min="3844" max="3844" width="3" style="4" customWidth="1"/>
    <col min="3845" max="3845" width="11.88671875" style="4" customWidth="1"/>
    <col min="3846" max="3846" width="19.44140625" style="4" customWidth="1"/>
    <col min="3847" max="3847" width="8.88671875" style="4" customWidth="1"/>
    <col min="3848" max="3848" width="9.109375" style="4" customWidth="1"/>
    <col min="3849" max="3850" width="16.88671875" style="4" customWidth="1"/>
    <col min="3851" max="3852" width="16.6640625" style="4" customWidth="1"/>
    <col min="3853" max="3853" width="4.88671875" style="4" customWidth="1"/>
    <col min="3854" max="3854" width="15.6640625" style="4" customWidth="1"/>
    <col min="3855" max="3855" width="0.109375" style="4" customWidth="1"/>
    <col min="3856" max="4096" width="0" style="4" hidden="1"/>
    <col min="4097" max="4097" width="9.109375" style="4" customWidth="1"/>
    <col min="4098" max="4098" width="10.33203125" style="4" customWidth="1"/>
    <col min="4099" max="4099" width="1.5546875" style="4" customWidth="1"/>
    <col min="4100" max="4100" width="3" style="4" customWidth="1"/>
    <col min="4101" max="4101" width="11.88671875" style="4" customWidth="1"/>
    <col min="4102" max="4102" width="19.44140625" style="4" customWidth="1"/>
    <col min="4103" max="4103" width="8.88671875" style="4" customWidth="1"/>
    <col min="4104" max="4104" width="9.109375" style="4" customWidth="1"/>
    <col min="4105" max="4106" width="16.88671875" style="4" customWidth="1"/>
    <col min="4107" max="4108" width="16.6640625" style="4" customWidth="1"/>
    <col min="4109" max="4109" width="4.88671875" style="4" customWidth="1"/>
    <col min="4110" max="4110" width="15.6640625" style="4" customWidth="1"/>
    <col min="4111" max="4111" width="0.109375" style="4" customWidth="1"/>
    <col min="4112" max="4352" width="0" style="4" hidden="1"/>
    <col min="4353" max="4353" width="9.109375" style="4" customWidth="1"/>
    <col min="4354" max="4354" width="10.33203125" style="4" customWidth="1"/>
    <col min="4355" max="4355" width="1.5546875" style="4" customWidth="1"/>
    <col min="4356" max="4356" width="3" style="4" customWidth="1"/>
    <col min="4357" max="4357" width="11.88671875" style="4" customWidth="1"/>
    <col min="4358" max="4358" width="19.44140625" style="4" customWidth="1"/>
    <col min="4359" max="4359" width="8.88671875" style="4" customWidth="1"/>
    <col min="4360" max="4360" width="9.109375" style="4" customWidth="1"/>
    <col min="4361" max="4362" width="16.88671875" style="4" customWidth="1"/>
    <col min="4363" max="4364" width="16.6640625" style="4" customWidth="1"/>
    <col min="4365" max="4365" width="4.88671875" style="4" customWidth="1"/>
    <col min="4366" max="4366" width="15.6640625" style="4" customWidth="1"/>
    <col min="4367" max="4367" width="0.109375" style="4" customWidth="1"/>
    <col min="4368" max="4608" width="0" style="4" hidden="1"/>
    <col min="4609" max="4609" width="9.109375" style="4" customWidth="1"/>
    <col min="4610" max="4610" width="10.33203125" style="4" customWidth="1"/>
    <col min="4611" max="4611" width="1.5546875" style="4" customWidth="1"/>
    <col min="4612" max="4612" width="3" style="4" customWidth="1"/>
    <col min="4613" max="4613" width="11.88671875" style="4" customWidth="1"/>
    <col min="4614" max="4614" width="19.44140625" style="4" customWidth="1"/>
    <col min="4615" max="4615" width="8.88671875" style="4" customWidth="1"/>
    <col min="4616" max="4616" width="9.109375" style="4" customWidth="1"/>
    <col min="4617" max="4618" width="16.88671875" style="4" customWidth="1"/>
    <col min="4619" max="4620" width="16.6640625" style="4" customWidth="1"/>
    <col min="4621" max="4621" width="4.88671875" style="4" customWidth="1"/>
    <col min="4622" max="4622" width="15.6640625" style="4" customWidth="1"/>
    <col min="4623" max="4623" width="0.109375" style="4" customWidth="1"/>
    <col min="4624" max="4864" width="0" style="4" hidden="1"/>
    <col min="4865" max="4865" width="9.109375" style="4" customWidth="1"/>
    <col min="4866" max="4866" width="10.33203125" style="4" customWidth="1"/>
    <col min="4867" max="4867" width="1.5546875" style="4" customWidth="1"/>
    <col min="4868" max="4868" width="3" style="4" customWidth="1"/>
    <col min="4869" max="4869" width="11.88671875" style="4" customWidth="1"/>
    <col min="4870" max="4870" width="19.44140625" style="4" customWidth="1"/>
    <col min="4871" max="4871" width="8.88671875" style="4" customWidth="1"/>
    <col min="4872" max="4872" width="9.109375" style="4" customWidth="1"/>
    <col min="4873" max="4874" width="16.88671875" style="4" customWidth="1"/>
    <col min="4875" max="4876" width="16.6640625" style="4" customWidth="1"/>
    <col min="4877" max="4877" width="4.88671875" style="4" customWidth="1"/>
    <col min="4878" max="4878" width="15.6640625" style="4" customWidth="1"/>
    <col min="4879" max="4879" width="0.109375" style="4" customWidth="1"/>
    <col min="4880" max="5120" width="0" style="4" hidden="1"/>
    <col min="5121" max="5121" width="9.109375" style="4" customWidth="1"/>
    <col min="5122" max="5122" width="10.33203125" style="4" customWidth="1"/>
    <col min="5123" max="5123" width="1.5546875" style="4" customWidth="1"/>
    <col min="5124" max="5124" width="3" style="4" customWidth="1"/>
    <col min="5125" max="5125" width="11.88671875" style="4" customWidth="1"/>
    <col min="5126" max="5126" width="19.44140625" style="4" customWidth="1"/>
    <col min="5127" max="5127" width="8.88671875" style="4" customWidth="1"/>
    <col min="5128" max="5128" width="9.109375" style="4" customWidth="1"/>
    <col min="5129" max="5130" width="16.88671875" style="4" customWidth="1"/>
    <col min="5131" max="5132" width="16.6640625" style="4" customWidth="1"/>
    <col min="5133" max="5133" width="4.88671875" style="4" customWidth="1"/>
    <col min="5134" max="5134" width="15.6640625" style="4" customWidth="1"/>
    <col min="5135" max="5135" width="0.109375" style="4" customWidth="1"/>
    <col min="5136" max="5376" width="0" style="4" hidden="1"/>
    <col min="5377" max="5377" width="9.109375" style="4" customWidth="1"/>
    <col min="5378" max="5378" width="10.33203125" style="4" customWidth="1"/>
    <col min="5379" max="5379" width="1.5546875" style="4" customWidth="1"/>
    <col min="5380" max="5380" width="3" style="4" customWidth="1"/>
    <col min="5381" max="5381" width="11.88671875" style="4" customWidth="1"/>
    <col min="5382" max="5382" width="19.44140625" style="4" customWidth="1"/>
    <col min="5383" max="5383" width="8.88671875" style="4" customWidth="1"/>
    <col min="5384" max="5384" width="9.109375" style="4" customWidth="1"/>
    <col min="5385" max="5386" width="16.88671875" style="4" customWidth="1"/>
    <col min="5387" max="5388" width="16.6640625" style="4" customWidth="1"/>
    <col min="5389" max="5389" width="4.88671875" style="4" customWidth="1"/>
    <col min="5390" max="5390" width="15.6640625" style="4" customWidth="1"/>
    <col min="5391" max="5391" width="0.109375" style="4" customWidth="1"/>
    <col min="5392" max="5632" width="0" style="4" hidden="1"/>
    <col min="5633" max="5633" width="9.109375" style="4" customWidth="1"/>
    <col min="5634" max="5634" width="10.33203125" style="4" customWidth="1"/>
    <col min="5635" max="5635" width="1.5546875" style="4" customWidth="1"/>
    <col min="5636" max="5636" width="3" style="4" customWidth="1"/>
    <col min="5637" max="5637" width="11.88671875" style="4" customWidth="1"/>
    <col min="5638" max="5638" width="19.44140625" style="4" customWidth="1"/>
    <col min="5639" max="5639" width="8.88671875" style="4" customWidth="1"/>
    <col min="5640" max="5640" width="9.109375" style="4" customWidth="1"/>
    <col min="5641" max="5642" width="16.88671875" style="4" customWidth="1"/>
    <col min="5643" max="5644" width="16.6640625" style="4" customWidth="1"/>
    <col min="5645" max="5645" width="4.88671875" style="4" customWidth="1"/>
    <col min="5646" max="5646" width="15.6640625" style="4" customWidth="1"/>
    <col min="5647" max="5647" width="0.109375" style="4" customWidth="1"/>
    <col min="5648" max="5888" width="0" style="4" hidden="1"/>
    <col min="5889" max="5889" width="9.109375" style="4" customWidth="1"/>
    <col min="5890" max="5890" width="10.33203125" style="4" customWidth="1"/>
    <col min="5891" max="5891" width="1.5546875" style="4" customWidth="1"/>
    <col min="5892" max="5892" width="3" style="4" customWidth="1"/>
    <col min="5893" max="5893" width="11.88671875" style="4" customWidth="1"/>
    <col min="5894" max="5894" width="19.44140625" style="4" customWidth="1"/>
    <col min="5895" max="5895" width="8.88671875" style="4" customWidth="1"/>
    <col min="5896" max="5896" width="9.109375" style="4" customWidth="1"/>
    <col min="5897" max="5898" width="16.88671875" style="4" customWidth="1"/>
    <col min="5899" max="5900" width="16.6640625" style="4" customWidth="1"/>
    <col min="5901" max="5901" width="4.88671875" style="4" customWidth="1"/>
    <col min="5902" max="5902" width="15.6640625" style="4" customWidth="1"/>
    <col min="5903" max="5903" width="0.109375" style="4" customWidth="1"/>
    <col min="5904" max="6144" width="0" style="4" hidden="1"/>
    <col min="6145" max="6145" width="9.109375" style="4" customWidth="1"/>
    <col min="6146" max="6146" width="10.33203125" style="4" customWidth="1"/>
    <col min="6147" max="6147" width="1.5546875" style="4" customWidth="1"/>
    <col min="6148" max="6148" width="3" style="4" customWidth="1"/>
    <col min="6149" max="6149" width="11.88671875" style="4" customWidth="1"/>
    <col min="6150" max="6150" width="19.44140625" style="4" customWidth="1"/>
    <col min="6151" max="6151" width="8.88671875" style="4" customWidth="1"/>
    <col min="6152" max="6152" width="9.109375" style="4" customWidth="1"/>
    <col min="6153" max="6154" width="16.88671875" style="4" customWidth="1"/>
    <col min="6155" max="6156" width="16.6640625" style="4" customWidth="1"/>
    <col min="6157" max="6157" width="4.88671875" style="4" customWidth="1"/>
    <col min="6158" max="6158" width="15.6640625" style="4" customWidth="1"/>
    <col min="6159" max="6159" width="0.109375" style="4" customWidth="1"/>
    <col min="6160" max="6400" width="0" style="4" hidden="1"/>
    <col min="6401" max="6401" width="9.109375" style="4" customWidth="1"/>
    <col min="6402" max="6402" width="10.33203125" style="4" customWidth="1"/>
    <col min="6403" max="6403" width="1.5546875" style="4" customWidth="1"/>
    <col min="6404" max="6404" width="3" style="4" customWidth="1"/>
    <col min="6405" max="6405" width="11.88671875" style="4" customWidth="1"/>
    <col min="6406" max="6406" width="19.44140625" style="4" customWidth="1"/>
    <col min="6407" max="6407" width="8.88671875" style="4" customWidth="1"/>
    <col min="6408" max="6408" width="9.109375" style="4" customWidth="1"/>
    <col min="6409" max="6410" width="16.88671875" style="4" customWidth="1"/>
    <col min="6411" max="6412" width="16.6640625" style="4" customWidth="1"/>
    <col min="6413" max="6413" width="4.88671875" style="4" customWidth="1"/>
    <col min="6414" max="6414" width="15.6640625" style="4" customWidth="1"/>
    <col min="6415" max="6415" width="0.109375" style="4" customWidth="1"/>
    <col min="6416" max="6656" width="0" style="4" hidden="1"/>
    <col min="6657" max="6657" width="9.109375" style="4" customWidth="1"/>
    <col min="6658" max="6658" width="10.33203125" style="4" customWidth="1"/>
    <col min="6659" max="6659" width="1.5546875" style="4" customWidth="1"/>
    <col min="6660" max="6660" width="3" style="4" customWidth="1"/>
    <col min="6661" max="6661" width="11.88671875" style="4" customWidth="1"/>
    <col min="6662" max="6662" width="19.44140625" style="4" customWidth="1"/>
    <col min="6663" max="6663" width="8.88671875" style="4" customWidth="1"/>
    <col min="6664" max="6664" width="9.109375" style="4" customWidth="1"/>
    <col min="6665" max="6666" width="16.88671875" style="4" customWidth="1"/>
    <col min="6667" max="6668" width="16.6640625" style="4" customWidth="1"/>
    <col min="6669" max="6669" width="4.88671875" style="4" customWidth="1"/>
    <col min="6670" max="6670" width="15.6640625" style="4" customWidth="1"/>
    <col min="6671" max="6671" width="0.109375" style="4" customWidth="1"/>
    <col min="6672" max="6912" width="0" style="4" hidden="1"/>
    <col min="6913" max="6913" width="9.109375" style="4" customWidth="1"/>
    <col min="6914" max="6914" width="10.33203125" style="4" customWidth="1"/>
    <col min="6915" max="6915" width="1.5546875" style="4" customWidth="1"/>
    <col min="6916" max="6916" width="3" style="4" customWidth="1"/>
    <col min="6917" max="6917" width="11.88671875" style="4" customWidth="1"/>
    <col min="6918" max="6918" width="19.44140625" style="4" customWidth="1"/>
    <col min="6919" max="6919" width="8.88671875" style="4" customWidth="1"/>
    <col min="6920" max="6920" width="9.109375" style="4" customWidth="1"/>
    <col min="6921" max="6922" width="16.88671875" style="4" customWidth="1"/>
    <col min="6923" max="6924" width="16.6640625" style="4" customWidth="1"/>
    <col min="6925" max="6925" width="4.88671875" style="4" customWidth="1"/>
    <col min="6926" max="6926" width="15.6640625" style="4" customWidth="1"/>
    <col min="6927" max="6927" width="0.109375" style="4" customWidth="1"/>
    <col min="6928" max="7168" width="0" style="4" hidden="1"/>
    <col min="7169" max="7169" width="9.109375" style="4" customWidth="1"/>
    <col min="7170" max="7170" width="10.33203125" style="4" customWidth="1"/>
    <col min="7171" max="7171" width="1.5546875" style="4" customWidth="1"/>
    <col min="7172" max="7172" width="3" style="4" customWidth="1"/>
    <col min="7173" max="7173" width="11.88671875" style="4" customWidth="1"/>
    <col min="7174" max="7174" width="19.44140625" style="4" customWidth="1"/>
    <col min="7175" max="7175" width="8.88671875" style="4" customWidth="1"/>
    <col min="7176" max="7176" width="9.109375" style="4" customWidth="1"/>
    <col min="7177" max="7178" width="16.88671875" style="4" customWidth="1"/>
    <col min="7179" max="7180" width="16.6640625" style="4" customWidth="1"/>
    <col min="7181" max="7181" width="4.88671875" style="4" customWidth="1"/>
    <col min="7182" max="7182" width="15.6640625" style="4" customWidth="1"/>
    <col min="7183" max="7183" width="0.109375" style="4" customWidth="1"/>
    <col min="7184" max="7424" width="0" style="4" hidden="1"/>
    <col min="7425" max="7425" width="9.109375" style="4" customWidth="1"/>
    <col min="7426" max="7426" width="10.33203125" style="4" customWidth="1"/>
    <col min="7427" max="7427" width="1.5546875" style="4" customWidth="1"/>
    <col min="7428" max="7428" width="3" style="4" customWidth="1"/>
    <col min="7429" max="7429" width="11.88671875" style="4" customWidth="1"/>
    <col min="7430" max="7430" width="19.44140625" style="4" customWidth="1"/>
    <col min="7431" max="7431" width="8.88671875" style="4" customWidth="1"/>
    <col min="7432" max="7432" width="9.109375" style="4" customWidth="1"/>
    <col min="7433" max="7434" width="16.88671875" style="4" customWidth="1"/>
    <col min="7435" max="7436" width="16.6640625" style="4" customWidth="1"/>
    <col min="7437" max="7437" width="4.88671875" style="4" customWidth="1"/>
    <col min="7438" max="7438" width="15.6640625" style="4" customWidth="1"/>
    <col min="7439" max="7439" width="0.109375" style="4" customWidth="1"/>
    <col min="7440" max="7680" width="0" style="4" hidden="1"/>
    <col min="7681" max="7681" width="9.109375" style="4" customWidth="1"/>
    <col min="7682" max="7682" width="10.33203125" style="4" customWidth="1"/>
    <col min="7683" max="7683" width="1.5546875" style="4" customWidth="1"/>
    <col min="7684" max="7684" width="3" style="4" customWidth="1"/>
    <col min="7685" max="7685" width="11.88671875" style="4" customWidth="1"/>
    <col min="7686" max="7686" width="19.44140625" style="4" customWidth="1"/>
    <col min="7687" max="7687" width="8.88671875" style="4" customWidth="1"/>
    <col min="7688" max="7688" width="9.109375" style="4" customWidth="1"/>
    <col min="7689" max="7690" width="16.88671875" style="4" customWidth="1"/>
    <col min="7691" max="7692" width="16.6640625" style="4" customWidth="1"/>
    <col min="7693" max="7693" width="4.88671875" style="4" customWidth="1"/>
    <col min="7694" max="7694" width="15.6640625" style="4" customWidth="1"/>
    <col min="7695" max="7695" width="0.109375" style="4" customWidth="1"/>
    <col min="7696" max="7936" width="0" style="4" hidden="1"/>
    <col min="7937" max="7937" width="9.109375" style="4" customWidth="1"/>
    <col min="7938" max="7938" width="10.33203125" style="4" customWidth="1"/>
    <col min="7939" max="7939" width="1.5546875" style="4" customWidth="1"/>
    <col min="7940" max="7940" width="3" style="4" customWidth="1"/>
    <col min="7941" max="7941" width="11.88671875" style="4" customWidth="1"/>
    <col min="7942" max="7942" width="19.44140625" style="4" customWidth="1"/>
    <col min="7943" max="7943" width="8.88671875" style="4" customWidth="1"/>
    <col min="7944" max="7944" width="9.109375" style="4" customWidth="1"/>
    <col min="7945" max="7946" width="16.88671875" style="4" customWidth="1"/>
    <col min="7947" max="7948" width="16.6640625" style="4" customWidth="1"/>
    <col min="7949" max="7949" width="4.88671875" style="4" customWidth="1"/>
    <col min="7950" max="7950" width="15.6640625" style="4" customWidth="1"/>
    <col min="7951" max="7951" width="0.109375" style="4" customWidth="1"/>
    <col min="7952" max="8192" width="0" style="4" hidden="1"/>
    <col min="8193" max="8193" width="9.109375" style="4" customWidth="1"/>
    <col min="8194" max="8194" width="10.33203125" style="4" customWidth="1"/>
    <col min="8195" max="8195" width="1.5546875" style="4" customWidth="1"/>
    <col min="8196" max="8196" width="3" style="4" customWidth="1"/>
    <col min="8197" max="8197" width="11.88671875" style="4" customWidth="1"/>
    <col min="8198" max="8198" width="19.44140625" style="4" customWidth="1"/>
    <col min="8199" max="8199" width="8.88671875" style="4" customWidth="1"/>
    <col min="8200" max="8200" width="9.109375" style="4" customWidth="1"/>
    <col min="8201" max="8202" width="16.88671875" style="4" customWidth="1"/>
    <col min="8203" max="8204" width="16.6640625" style="4" customWidth="1"/>
    <col min="8205" max="8205" width="4.88671875" style="4" customWidth="1"/>
    <col min="8206" max="8206" width="15.6640625" style="4" customWidth="1"/>
    <col min="8207" max="8207" width="0.109375" style="4" customWidth="1"/>
    <col min="8208" max="8448" width="0" style="4" hidden="1"/>
    <col min="8449" max="8449" width="9.109375" style="4" customWidth="1"/>
    <col min="8450" max="8450" width="10.33203125" style="4" customWidth="1"/>
    <col min="8451" max="8451" width="1.5546875" style="4" customWidth="1"/>
    <col min="8452" max="8452" width="3" style="4" customWidth="1"/>
    <col min="8453" max="8453" width="11.88671875" style="4" customWidth="1"/>
    <col min="8454" max="8454" width="19.44140625" style="4" customWidth="1"/>
    <col min="8455" max="8455" width="8.88671875" style="4" customWidth="1"/>
    <col min="8456" max="8456" width="9.109375" style="4" customWidth="1"/>
    <col min="8457" max="8458" width="16.88671875" style="4" customWidth="1"/>
    <col min="8459" max="8460" width="16.6640625" style="4" customWidth="1"/>
    <col min="8461" max="8461" width="4.88671875" style="4" customWidth="1"/>
    <col min="8462" max="8462" width="15.6640625" style="4" customWidth="1"/>
    <col min="8463" max="8463" width="0.109375" style="4" customWidth="1"/>
    <col min="8464" max="8704" width="0" style="4" hidden="1"/>
    <col min="8705" max="8705" width="9.109375" style="4" customWidth="1"/>
    <col min="8706" max="8706" width="10.33203125" style="4" customWidth="1"/>
    <col min="8707" max="8707" width="1.5546875" style="4" customWidth="1"/>
    <col min="8708" max="8708" width="3" style="4" customWidth="1"/>
    <col min="8709" max="8709" width="11.88671875" style="4" customWidth="1"/>
    <col min="8710" max="8710" width="19.44140625" style="4" customWidth="1"/>
    <col min="8711" max="8711" width="8.88671875" style="4" customWidth="1"/>
    <col min="8712" max="8712" width="9.109375" style="4" customWidth="1"/>
    <col min="8713" max="8714" width="16.88671875" style="4" customWidth="1"/>
    <col min="8715" max="8716" width="16.6640625" style="4" customWidth="1"/>
    <col min="8717" max="8717" width="4.88671875" style="4" customWidth="1"/>
    <col min="8718" max="8718" width="15.6640625" style="4" customWidth="1"/>
    <col min="8719" max="8719" width="0.109375" style="4" customWidth="1"/>
    <col min="8720" max="8960" width="0" style="4" hidden="1"/>
    <col min="8961" max="8961" width="9.109375" style="4" customWidth="1"/>
    <col min="8962" max="8962" width="10.33203125" style="4" customWidth="1"/>
    <col min="8963" max="8963" width="1.5546875" style="4" customWidth="1"/>
    <col min="8964" max="8964" width="3" style="4" customWidth="1"/>
    <col min="8965" max="8965" width="11.88671875" style="4" customWidth="1"/>
    <col min="8966" max="8966" width="19.44140625" style="4" customWidth="1"/>
    <col min="8967" max="8967" width="8.88671875" style="4" customWidth="1"/>
    <col min="8968" max="8968" width="9.109375" style="4" customWidth="1"/>
    <col min="8969" max="8970" width="16.88671875" style="4" customWidth="1"/>
    <col min="8971" max="8972" width="16.6640625" style="4" customWidth="1"/>
    <col min="8973" max="8973" width="4.88671875" style="4" customWidth="1"/>
    <col min="8974" max="8974" width="15.6640625" style="4" customWidth="1"/>
    <col min="8975" max="8975" width="0.109375" style="4" customWidth="1"/>
    <col min="8976" max="9216" width="0" style="4" hidden="1"/>
    <col min="9217" max="9217" width="9.109375" style="4" customWidth="1"/>
    <col min="9218" max="9218" width="10.33203125" style="4" customWidth="1"/>
    <col min="9219" max="9219" width="1.5546875" style="4" customWidth="1"/>
    <col min="9220" max="9220" width="3" style="4" customWidth="1"/>
    <col min="9221" max="9221" width="11.88671875" style="4" customWidth="1"/>
    <col min="9222" max="9222" width="19.44140625" style="4" customWidth="1"/>
    <col min="9223" max="9223" width="8.88671875" style="4" customWidth="1"/>
    <col min="9224" max="9224" width="9.109375" style="4" customWidth="1"/>
    <col min="9225" max="9226" width="16.88671875" style="4" customWidth="1"/>
    <col min="9227" max="9228" width="16.6640625" style="4" customWidth="1"/>
    <col min="9229" max="9229" width="4.88671875" style="4" customWidth="1"/>
    <col min="9230" max="9230" width="15.6640625" style="4" customWidth="1"/>
    <col min="9231" max="9231" width="0.109375" style="4" customWidth="1"/>
    <col min="9232" max="9472" width="0" style="4" hidden="1"/>
    <col min="9473" max="9473" width="9.109375" style="4" customWidth="1"/>
    <col min="9474" max="9474" width="10.33203125" style="4" customWidth="1"/>
    <col min="9475" max="9475" width="1.5546875" style="4" customWidth="1"/>
    <col min="9476" max="9476" width="3" style="4" customWidth="1"/>
    <col min="9477" max="9477" width="11.88671875" style="4" customWidth="1"/>
    <col min="9478" max="9478" width="19.44140625" style="4" customWidth="1"/>
    <col min="9479" max="9479" width="8.88671875" style="4" customWidth="1"/>
    <col min="9480" max="9480" width="9.109375" style="4" customWidth="1"/>
    <col min="9481" max="9482" width="16.88671875" style="4" customWidth="1"/>
    <col min="9483" max="9484" width="16.6640625" style="4" customWidth="1"/>
    <col min="9485" max="9485" width="4.88671875" style="4" customWidth="1"/>
    <col min="9486" max="9486" width="15.6640625" style="4" customWidth="1"/>
    <col min="9487" max="9487" width="0.109375" style="4" customWidth="1"/>
    <col min="9488" max="9728" width="0" style="4" hidden="1"/>
    <col min="9729" max="9729" width="9.109375" style="4" customWidth="1"/>
    <col min="9730" max="9730" width="10.33203125" style="4" customWidth="1"/>
    <col min="9731" max="9731" width="1.5546875" style="4" customWidth="1"/>
    <col min="9732" max="9732" width="3" style="4" customWidth="1"/>
    <col min="9733" max="9733" width="11.88671875" style="4" customWidth="1"/>
    <col min="9734" max="9734" width="19.44140625" style="4" customWidth="1"/>
    <col min="9735" max="9735" width="8.88671875" style="4" customWidth="1"/>
    <col min="9736" max="9736" width="9.109375" style="4" customWidth="1"/>
    <col min="9737" max="9738" width="16.88671875" style="4" customWidth="1"/>
    <col min="9739" max="9740" width="16.6640625" style="4" customWidth="1"/>
    <col min="9741" max="9741" width="4.88671875" style="4" customWidth="1"/>
    <col min="9742" max="9742" width="15.6640625" style="4" customWidth="1"/>
    <col min="9743" max="9743" width="0.109375" style="4" customWidth="1"/>
    <col min="9744" max="9984" width="0" style="4" hidden="1"/>
    <col min="9985" max="9985" width="9.109375" style="4" customWidth="1"/>
    <col min="9986" max="9986" width="10.33203125" style="4" customWidth="1"/>
    <col min="9987" max="9987" width="1.5546875" style="4" customWidth="1"/>
    <col min="9988" max="9988" width="3" style="4" customWidth="1"/>
    <col min="9989" max="9989" width="11.88671875" style="4" customWidth="1"/>
    <col min="9990" max="9990" width="19.44140625" style="4" customWidth="1"/>
    <col min="9991" max="9991" width="8.88671875" style="4" customWidth="1"/>
    <col min="9992" max="9992" width="9.109375" style="4" customWidth="1"/>
    <col min="9993" max="9994" width="16.88671875" style="4" customWidth="1"/>
    <col min="9995" max="9996" width="16.6640625" style="4" customWidth="1"/>
    <col min="9997" max="9997" width="4.88671875" style="4" customWidth="1"/>
    <col min="9998" max="9998" width="15.6640625" style="4" customWidth="1"/>
    <col min="9999" max="9999" width="0.109375" style="4" customWidth="1"/>
    <col min="10000" max="10240" width="0" style="4" hidden="1"/>
    <col min="10241" max="10241" width="9.109375" style="4" customWidth="1"/>
    <col min="10242" max="10242" width="10.33203125" style="4" customWidth="1"/>
    <col min="10243" max="10243" width="1.5546875" style="4" customWidth="1"/>
    <col min="10244" max="10244" width="3" style="4" customWidth="1"/>
    <col min="10245" max="10245" width="11.88671875" style="4" customWidth="1"/>
    <col min="10246" max="10246" width="19.44140625" style="4" customWidth="1"/>
    <col min="10247" max="10247" width="8.88671875" style="4" customWidth="1"/>
    <col min="10248" max="10248" width="9.109375" style="4" customWidth="1"/>
    <col min="10249" max="10250" width="16.88671875" style="4" customWidth="1"/>
    <col min="10251" max="10252" width="16.6640625" style="4" customWidth="1"/>
    <col min="10253" max="10253" width="4.88671875" style="4" customWidth="1"/>
    <col min="10254" max="10254" width="15.6640625" style="4" customWidth="1"/>
    <col min="10255" max="10255" width="0.109375" style="4" customWidth="1"/>
    <col min="10256" max="10496" width="0" style="4" hidden="1"/>
    <col min="10497" max="10497" width="9.109375" style="4" customWidth="1"/>
    <col min="10498" max="10498" width="10.33203125" style="4" customWidth="1"/>
    <col min="10499" max="10499" width="1.5546875" style="4" customWidth="1"/>
    <col min="10500" max="10500" width="3" style="4" customWidth="1"/>
    <col min="10501" max="10501" width="11.88671875" style="4" customWidth="1"/>
    <col min="10502" max="10502" width="19.44140625" style="4" customWidth="1"/>
    <col min="10503" max="10503" width="8.88671875" style="4" customWidth="1"/>
    <col min="10504" max="10504" width="9.109375" style="4" customWidth="1"/>
    <col min="10505" max="10506" width="16.88671875" style="4" customWidth="1"/>
    <col min="10507" max="10508" width="16.6640625" style="4" customWidth="1"/>
    <col min="10509" max="10509" width="4.88671875" style="4" customWidth="1"/>
    <col min="10510" max="10510" width="15.6640625" style="4" customWidth="1"/>
    <col min="10511" max="10511" width="0.109375" style="4" customWidth="1"/>
    <col min="10512" max="10752" width="0" style="4" hidden="1"/>
    <col min="10753" max="10753" width="9.109375" style="4" customWidth="1"/>
    <col min="10754" max="10754" width="10.33203125" style="4" customWidth="1"/>
    <col min="10755" max="10755" width="1.5546875" style="4" customWidth="1"/>
    <col min="10756" max="10756" width="3" style="4" customWidth="1"/>
    <col min="10757" max="10757" width="11.88671875" style="4" customWidth="1"/>
    <col min="10758" max="10758" width="19.44140625" style="4" customWidth="1"/>
    <col min="10759" max="10759" width="8.88671875" style="4" customWidth="1"/>
    <col min="10760" max="10760" width="9.109375" style="4" customWidth="1"/>
    <col min="10761" max="10762" width="16.88671875" style="4" customWidth="1"/>
    <col min="10763" max="10764" width="16.6640625" style="4" customWidth="1"/>
    <col min="10765" max="10765" width="4.88671875" style="4" customWidth="1"/>
    <col min="10766" max="10766" width="15.6640625" style="4" customWidth="1"/>
    <col min="10767" max="10767" width="0.109375" style="4" customWidth="1"/>
    <col min="10768" max="11008" width="0" style="4" hidden="1"/>
    <col min="11009" max="11009" width="9.109375" style="4" customWidth="1"/>
    <col min="11010" max="11010" width="10.33203125" style="4" customWidth="1"/>
    <col min="11011" max="11011" width="1.5546875" style="4" customWidth="1"/>
    <col min="11012" max="11012" width="3" style="4" customWidth="1"/>
    <col min="11013" max="11013" width="11.88671875" style="4" customWidth="1"/>
    <col min="11014" max="11014" width="19.44140625" style="4" customWidth="1"/>
    <col min="11015" max="11015" width="8.88671875" style="4" customWidth="1"/>
    <col min="11016" max="11016" width="9.109375" style="4" customWidth="1"/>
    <col min="11017" max="11018" width="16.88671875" style="4" customWidth="1"/>
    <col min="11019" max="11020" width="16.6640625" style="4" customWidth="1"/>
    <col min="11021" max="11021" width="4.88671875" style="4" customWidth="1"/>
    <col min="11022" max="11022" width="15.6640625" style="4" customWidth="1"/>
    <col min="11023" max="11023" width="0.109375" style="4" customWidth="1"/>
    <col min="11024" max="11264" width="0" style="4" hidden="1"/>
    <col min="11265" max="11265" width="9.109375" style="4" customWidth="1"/>
    <col min="11266" max="11266" width="10.33203125" style="4" customWidth="1"/>
    <col min="11267" max="11267" width="1.5546875" style="4" customWidth="1"/>
    <col min="11268" max="11268" width="3" style="4" customWidth="1"/>
    <col min="11269" max="11269" width="11.88671875" style="4" customWidth="1"/>
    <col min="11270" max="11270" width="19.44140625" style="4" customWidth="1"/>
    <col min="11271" max="11271" width="8.88671875" style="4" customWidth="1"/>
    <col min="11272" max="11272" width="9.109375" style="4" customWidth="1"/>
    <col min="11273" max="11274" width="16.88671875" style="4" customWidth="1"/>
    <col min="11275" max="11276" width="16.6640625" style="4" customWidth="1"/>
    <col min="11277" max="11277" width="4.88671875" style="4" customWidth="1"/>
    <col min="11278" max="11278" width="15.6640625" style="4" customWidth="1"/>
    <col min="11279" max="11279" width="0.109375" style="4" customWidth="1"/>
    <col min="11280" max="11520" width="0" style="4" hidden="1"/>
    <col min="11521" max="11521" width="9.109375" style="4" customWidth="1"/>
    <col min="11522" max="11522" width="10.33203125" style="4" customWidth="1"/>
    <col min="11523" max="11523" width="1.5546875" style="4" customWidth="1"/>
    <col min="11524" max="11524" width="3" style="4" customWidth="1"/>
    <col min="11525" max="11525" width="11.88671875" style="4" customWidth="1"/>
    <col min="11526" max="11526" width="19.44140625" style="4" customWidth="1"/>
    <col min="11527" max="11527" width="8.88671875" style="4" customWidth="1"/>
    <col min="11528" max="11528" width="9.109375" style="4" customWidth="1"/>
    <col min="11529" max="11530" width="16.88671875" style="4" customWidth="1"/>
    <col min="11531" max="11532" width="16.6640625" style="4" customWidth="1"/>
    <col min="11533" max="11533" width="4.88671875" style="4" customWidth="1"/>
    <col min="11534" max="11534" width="15.6640625" style="4" customWidth="1"/>
    <col min="11535" max="11535" width="0.109375" style="4" customWidth="1"/>
    <col min="11536" max="11776" width="0" style="4" hidden="1"/>
    <col min="11777" max="11777" width="9.109375" style="4" customWidth="1"/>
    <col min="11778" max="11778" width="10.33203125" style="4" customWidth="1"/>
    <col min="11779" max="11779" width="1.5546875" style="4" customWidth="1"/>
    <col min="11780" max="11780" width="3" style="4" customWidth="1"/>
    <col min="11781" max="11781" width="11.88671875" style="4" customWidth="1"/>
    <col min="11782" max="11782" width="19.44140625" style="4" customWidth="1"/>
    <col min="11783" max="11783" width="8.88671875" style="4" customWidth="1"/>
    <col min="11784" max="11784" width="9.109375" style="4" customWidth="1"/>
    <col min="11785" max="11786" width="16.88671875" style="4" customWidth="1"/>
    <col min="11787" max="11788" width="16.6640625" style="4" customWidth="1"/>
    <col min="11789" max="11789" width="4.88671875" style="4" customWidth="1"/>
    <col min="11790" max="11790" width="15.6640625" style="4" customWidth="1"/>
    <col min="11791" max="11791" width="0.109375" style="4" customWidth="1"/>
    <col min="11792" max="12032" width="0" style="4" hidden="1"/>
    <col min="12033" max="12033" width="9.109375" style="4" customWidth="1"/>
    <col min="12034" max="12034" width="10.33203125" style="4" customWidth="1"/>
    <col min="12035" max="12035" width="1.5546875" style="4" customWidth="1"/>
    <col min="12036" max="12036" width="3" style="4" customWidth="1"/>
    <col min="12037" max="12037" width="11.88671875" style="4" customWidth="1"/>
    <col min="12038" max="12038" width="19.44140625" style="4" customWidth="1"/>
    <col min="12039" max="12039" width="8.88671875" style="4" customWidth="1"/>
    <col min="12040" max="12040" width="9.109375" style="4" customWidth="1"/>
    <col min="12041" max="12042" width="16.88671875" style="4" customWidth="1"/>
    <col min="12043" max="12044" width="16.6640625" style="4" customWidth="1"/>
    <col min="12045" max="12045" width="4.88671875" style="4" customWidth="1"/>
    <col min="12046" max="12046" width="15.6640625" style="4" customWidth="1"/>
    <col min="12047" max="12047" width="0.109375" style="4" customWidth="1"/>
    <col min="12048" max="12288" width="0" style="4" hidden="1"/>
    <col min="12289" max="12289" width="9.109375" style="4" customWidth="1"/>
    <col min="12290" max="12290" width="10.33203125" style="4" customWidth="1"/>
    <col min="12291" max="12291" width="1.5546875" style="4" customWidth="1"/>
    <col min="12292" max="12292" width="3" style="4" customWidth="1"/>
    <col min="12293" max="12293" width="11.88671875" style="4" customWidth="1"/>
    <col min="12294" max="12294" width="19.44140625" style="4" customWidth="1"/>
    <col min="12295" max="12295" width="8.88671875" style="4" customWidth="1"/>
    <col min="12296" max="12296" width="9.109375" style="4" customWidth="1"/>
    <col min="12297" max="12298" width="16.88671875" style="4" customWidth="1"/>
    <col min="12299" max="12300" width="16.6640625" style="4" customWidth="1"/>
    <col min="12301" max="12301" width="4.88671875" style="4" customWidth="1"/>
    <col min="12302" max="12302" width="15.6640625" style="4" customWidth="1"/>
    <col min="12303" max="12303" width="0.109375" style="4" customWidth="1"/>
    <col min="12304" max="12544" width="0" style="4" hidden="1"/>
    <col min="12545" max="12545" width="9.109375" style="4" customWidth="1"/>
    <col min="12546" max="12546" width="10.33203125" style="4" customWidth="1"/>
    <col min="12547" max="12547" width="1.5546875" style="4" customWidth="1"/>
    <col min="12548" max="12548" width="3" style="4" customWidth="1"/>
    <col min="12549" max="12549" width="11.88671875" style="4" customWidth="1"/>
    <col min="12550" max="12550" width="19.44140625" style="4" customWidth="1"/>
    <col min="12551" max="12551" width="8.88671875" style="4" customWidth="1"/>
    <col min="12552" max="12552" width="9.109375" style="4" customWidth="1"/>
    <col min="12553" max="12554" width="16.88671875" style="4" customWidth="1"/>
    <col min="12555" max="12556" width="16.6640625" style="4" customWidth="1"/>
    <col min="12557" max="12557" width="4.88671875" style="4" customWidth="1"/>
    <col min="12558" max="12558" width="15.6640625" style="4" customWidth="1"/>
    <col min="12559" max="12559" width="0.109375" style="4" customWidth="1"/>
    <col min="12560" max="12800" width="0" style="4" hidden="1"/>
    <col min="12801" max="12801" width="9.109375" style="4" customWidth="1"/>
    <col min="12802" max="12802" width="10.33203125" style="4" customWidth="1"/>
    <col min="12803" max="12803" width="1.5546875" style="4" customWidth="1"/>
    <col min="12804" max="12804" width="3" style="4" customWidth="1"/>
    <col min="12805" max="12805" width="11.88671875" style="4" customWidth="1"/>
    <col min="12806" max="12806" width="19.44140625" style="4" customWidth="1"/>
    <col min="12807" max="12807" width="8.88671875" style="4" customWidth="1"/>
    <col min="12808" max="12808" width="9.109375" style="4" customWidth="1"/>
    <col min="12809" max="12810" width="16.88671875" style="4" customWidth="1"/>
    <col min="12811" max="12812" width="16.6640625" style="4" customWidth="1"/>
    <col min="12813" max="12813" width="4.88671875" style="4" customWidth="1"/>
    <col min="12814" max="12814" width="15.6640625" style="4" customWidth="1"/>
    <col min="12815" max="12815" width="0.109375" style="4" customWidth="1"/>
    <col min="12816" max="13056" width="0" style="4" hidden="1"/>
    <col min="13057" max="13057" width="9.109375" style="4" customWidth="1"/>
    <col min="13058" max="13058" width="10.33203125" style="4" customWidth="1"/>
    <col min="13059" max="13059" width="1.5546875" style="4" customWidth="1"/>
    <col min="13060" max="13060" width="3" style="4" customWidth="1"/>
    <col min="13061" max="13061" width="11.88671875" style="4" customWidth="1"/>
    <col min="13062" max="13062" width="19.44140625" style="4" customWidth="1"/>
    <col min="13063" max="13063" width="8.88671875" style="4" customWidth="1"/>
    <col min="13064" max="13064" width="9.109375" style="4" customWidth="1"/>
    <col min="13065" max="13066" width="16.88671875" style="4" customWidth="1"/>
    <col min="13067" max="13068" width="16.6640625" style="4" customWidth="1"/>
    <col min="13069" max="13069" width="4.88671875" style="4" customWidth="1"/>
    <col min="13070" max="13070" width="15.6640625" style="4" customWidth="1"/>
    <col min="13071" max="13071" width="0.109375" style="4" customWidth="1"/>
    <col min="13072" max="13312" width="0" style="4" hidden="1"/>
    <col min="13313" max="13313" width="9.109375" style="4" customWidth="1"/>
    <col min="13314" max="13314" width="10.33203125" style="4" customWidth="1"/>
    <col min="13315" max="13315" width="1.5546875" style="4" customWidth="1"/>
    <col min="13316" max="13316" width="3" style="4" customWidth="1"/>
    <col min="13317" max="13317" width="11.88671875" style="4" customWidth="1"/>
    <col min="13318" max="13318" width="19.44140625" style="4" customWidth="1"/>
    <col min="13319" max="13319" width="8.88671875" style="4" customWidth="1"/>
    <col min="13320" max="13320" width="9.109375" style="4" customWidth="1"/>
    <col min="13321" max="13322" width="16.88671875" style="4" customWidth="1"/>
    <col min="13323" max="13324" width="16.6640625" style="4" customWidth="1"/>
    <col min="13325" max="13325" width="4.88671875" style="4" customWidth="1"/>
    <col min="13326" max="13326" width="15.6640625" style="4" customWidth="1"/>
    <col min="13327" max="13327" width="0.109375" style="4" customWidth="1"/>
    <col min="13328" max="13568" width="0" style="4" hidden="1"/>
    <col min="13569" max="13569" width="9.109375" style="4" customWidth="1"/>
    <col min="13570" max="13570" width="10.33203125" style="4" customWidth="1"/>
    <col min="13571" max="13571" width="1.5546875" style="4" customWidth="1"/>
    <col min="13572" max="13572" width="3" style="4" customWidth="1"/>
    <col min="13573" max="13573" width="11.88671875" style="4" customWidth="1"/>
    <col min="13574" max="13574" width="19.44140625" style="4" customWidth="1"/>
    <col min="13575" max="13575" width="8.88671875" style="4" customWidth="1"/>
    <col min="13576" max="13576" width="9.109375" style="4" customWidth="1"/>
    <col min="13577" max="13578" width="16.88671875" style="4" customWidth="1"/>
    <col min="13579" max="13580" width="16.6640625" style="4" customWidth="1"/>
    <col min="13581" max="13581" width="4.88671875" style="4" customWidth="1"/>
    <col min="13582" max="13582" width="15.6640625" style="4" customWidth="1"/>
    <col min="13583" max="13583" width="0.109375" style="4" customWidth="1"/>
    <col min="13584" max="13824" width="0" style="4" hidden="1"/>
    <col min="13825" max="13825" width="9.109375" style="4" customWidth="1"/>
    <col min="13826" max="13826" width="10.33203125" style="4" customWidth="1"/>
    <col min="13827" max="13827" width="1.5546875" style="4" customWidth="1"/>
    <col min="13828" max="13828" width="3" style="4" customWidth="1"/>
    <col min="13829" max="13829" width="11.88671875" style="4" customWidth="1"/>
    <col min="13830" max="13830" width="19.44140625" style="4" customWidth="1"/>
    <col min="13831" max="13831" width="8.88671875" style="4" customWidth="1"/>
    <col min="13832" max="13832" width="9.109375" style="4" customWidth="1"/>
    <col min="13833" max="13834" width="16.88671875" style="4" customWidth="1"/>
    <col min="13835" max="13836" width="16.6640625" style="4" customWidth="1"/>
    <col min="13837" max="13837" width="4.88671875" style="4" customWidth="1"/>
    <col min="13838" max="13838" width="15.6640625" style="4" customWidth="1"/>
    <col min="13839" max="13839" width="0.109375" style="4" customWidth="1"/>
    <col min="13840" max="14080" width="0" style="4" hidden="1"/>
    <col min="14081" max="14081" width="9.109375" style="4" customWidth="1"/>
    <col min="14082" max="14082" width="10.33203125" style="4" customWidth="1"/>
    <col min="14083" max="14083" width="1.5546875" style="4" customWidth="1"/>
    <col min="14084" max="14084" width="3" style="4" customWidth="1"/>
    <col min="14085" max="14085" width="11.88671875" style="4" customWidth="1"/>
    <col min="14086" max="14086" width="19.44140625" style="4" customWidth="1"/>
    <col min="14087" max="14087" width="8.88671875" style="4" customWidth="1"/>
    <col min="14088" max="14088" width="9.109375" style="4" customWidth="1"/>
    <col min="14089" max="14090" width="16.88671875" style="4" customWidth="1"/>
    <col min="14091" max="14092" width="16.6640625" style="4" customWidth="1"/>
    <col min="14093" max="14093" width="4.88671875" style="4" customWidth="1"/>
    <col min="14094" max="14094" width="15.6640625" style="4" customWidth="1"/>
    <col min="14095" max="14095" width="0.109375" style="4" customWidth="1"/>
    <col min="14096" max="14336" width="0" style="4" hidden="1"/>
    <col min="14337" max="14337" width="9.109375" style="4" customWidth="1"/>
    <col min="14338" max="14338" width="10.33203125" style="4" customWidth="1"/>
    <col min="14339" max="14339" width="1.5546875" style="4" customWidth="1"/>
    <col min="14340" max="14340" width="3" style="4" customWidth="1"/>
    <col min="14341" max="14341" width="11.88671875" style="4" customWidth="1"/>
    <col min="14342" max="14342" width="19.44140625" style="4" customWidth="1"/>
    <col min="14343" max="14343" width="8.88671875" style="4" customWidth="1"/>
    <col min="14344" max="14344" width="9.109375" style="4" customWidth="1"/>
    <col min="14345" max="14346" width="16.88671875" style="4" customWidth="1"/>
    <col min="14347" max="14348" width="16.6640625" style="4" customWidth="1"/>
    <col min="14349" max="14349" width="4.88671875" style="4" customWidth="1"/>
    <col min="14350" max="14350" width="15.6640625" style="4" customWidth="1"/>
    <col min="14351" max="14351" width="0.109375" style="4" customWidth="1"/>
    <col min="14352" max="14592" width="0" style="4" hidden="1"/>
    <col min="14593" max="14593" width="9.109375" style="4" customWidth="1"/>
    <col min="14594" max="14594" width="10.33203125" style="4" customWidth="1"/>
    <col min="14595" max="14595" width="1.5546875" style="4" customWidth="1"/>
    <col min="14596" max="14596" width="3" style="4" customWidth="1"/>
    <col min="14597" max="14597" width="11.88671875" style="4" customWidth="1"/>
    <col min="14598" max="14598" width="19.44140625" style="4" customWidth="1"/>
    <col min="14599" max="14599" width="8.88671875" style="4" customWidth="1"/>
    <col min="14600" max="14600" width="9.109375" style="4" customWidth="1"/>
    <col min="14601" max="14602" width="16.88671875" style="4" customWidth="1"/>
    <col min="14603" max="14604" width="16.6640625" style="4" customWidth="1"/>
    <col min="14605" max="14605" width="4.88671875" style="4" customWidth="1"/>
    <col min="14606" max="14606" width="15.6640625" style="4" customWidth="1"/>
    <col min="14607" max="14607" width="0.109375" style="4" customWidth="1"/>
    <col min="14608" max="14848" width="0" style="4" hidden="1"/>
    <col min="14849" max="14849" width="9.109375" style="4" customWidth="1"/>
    <col min="14850" max="14850" width="10.33203125" style="4" customWidth="1"/>
    <col min="14851" max="14851" width="1.5546875" style="4" customWidth="1"/>
    <col min="14852" max="14852" width="3" style="4" customWidth="1"/>
    <col min="14853" max="14853" width="11.88671875" style="4" customWidth="1"/>
    <col min="14854" max="14854" width="19.44140625" style="4" customWidth="1"/>
    <col min="14855" max="14855" width="8.88671875" style="4" customWidth="1"/>
    <col min="14856" max="14856" width="9.109375" style="4" customWidth="1"/>
    <col min="14857" max="14858" width="16.88671875" style="4" customWidth="1"/>
    <col min="14859" max="14860" width="16.6640625" style="4" customWidth="1"/>
    <col min="14861" max="14861" width="4.88671875" style="4" customWidth="1"/>
    <col min="14862" max="14862" width="15.6640625" style="4" customWidth="1"/>
    <col min="14863" max="14863" width="0.109375" style="4" customWidth="1"/>
    <col min="14864" max="15104" width="0" style="4" hidden="1"/>
    <col min="15105" max="15105" width="9.109375" style="4" customWidth="1"/>
    <col min="15106" max="15106" width="10.33203125" style="4" customWidth="1"/>
    <col min="15107" max="15107" width="1.5546875" style="4" customWidth="1"/>
    <col min="15108" max="15108" width="3" style="4" customWidth="1"/>
    <col min="15109" max="15109" width="11.88671875" style="4" customWidth="1"/>
    <col min="15110" max="15110" width="19.44140625" style="4" customWidth="1"/>
    <col min="15111" max="15111" width="8.88671875" style="4" customWidth="1"/>
    <col min="15112" max="15112" width="9.109375" style="4" customWidth="1"/>
    <col min="15113" max="15114" width="16.88671875" style="4" customWidth="1"/>
    <col min="15115" max="15116" width="16.6640625" style="4" customWidth="1"/>
    <col min="15117" max="15117" width="4.88671875" style="4" customWidth="1"/>
    <col min="15118" max="15118" width="15.6640625" style="4" customWidth="1"/>
    <col min="15119" max="15119" width="0.109375" style="4" customWidth="1"/>
    <col min="15120" max="15360" width="0" style="4" hidden="1"/>
    <col min="15361" max="15361" width="9.109375" style="4" customWidth="1"/>
    <col min="15362" max="15362" width="10.33203125" style="4" customWidth="1"/>
    <col min="15363" max="15363" width="1.5546875" style="4" customWidth="1"/>
    <col min="15364" max="15364" width="3" style="4" customWidth="1"/>
    <col min="15365" max="15365" width="11.88671875" style="4" customWidth="1"/>
    <col min="15366" max="15366" width="19.44140625" style="4" customWidth="1"/>
    <col min="15367" max="15367" width="8.88671875" style="4" customWidth="1"/>
    <col min="15368" max="15368" width="9.109375" style="4" customWidth="1"/>
    <col min="15369" max="15370" width="16.88671875" style="4" customWidth="1"/>
    <col min="15371" max="15372" width="16.6640625" style="4" customWidth="1"/>
    <col min="15373" max="15373" width="4.88671875" style="4" customWidth="1"/>
    <col min="15374" max="15374" width="15.6640625" style="4" customWidth="1"/>
    <col min="15375" max="15375" width="0.109375" style="4" customWidth="1"/>
    <col min="15376" max="15616" width="0" style="4" hidden="1"/>
    <col min="15617" max="15617" width="9.109375" style="4" customWidth="1"/>
    <col min="15618" max="15618" width="10.33203125" style="4" customWidth="1"/>
    <col min="15619" max="15619" width="1.5546875" style="4" customWidth="1"/>
    <col min="15620" max="15620" width="3" style="4" customWidth="1"/>
    <col min="15621" max="15621" width="11.88671875" style="4" customWidth="1"/>
    <col min="15622" max="15622" width="19.44140625" style="4" customWidth="1"/>
    <col min="15623" max="15623" width="8.88671875" style="4" customWidth="1"/>
    <col min="15624" max="15624" width="9.109375" style="4" customWidth="1"/>
    <col min="15625" max="15626" width="16.88671875" style="4" customWidth="1"/>
    <col min="15627" max="15628" width="16.6640625" style="4" customWidth="1"/>
    <col min="15629" max="15629" width="4.88671875" style="4" customWidth="1"/>
    <col min="15630" max="15630" width="15.6640625" style="4" customWidth="1"/>
    <col min="15631" max="15631" width="0.109375" style="4" customWidth="1"/>
    <col min="15632" max="15872" width="0" style="4" hidden="1"/>
    <col min="15873" max="15873" width="9.109375" style="4" customWidth="1"/>
    <col min="15874" max="15874" width="10.33203125" style="4" customWidth="1"/>
    <col min="15875" max="15875" width="1.5546875" style="4" customWidth="1"/>
    <col min="15876" max="15876" width="3" style="4" customWidth="1"/>
    <col min="15877" max="15877" width="11.88671875" style="4" customWidth="1"/>
    <col min="15878" max="15878" width="19.44140625" style="4" customWidth="1"/>
    <col min="15879" max="15879" width="8.88671875" style="4" customWidth="1"/>
    <col min="15880" max="15880" width="9.109375" style="4" customWidth="1"/>
    <col min="15881" max="15882" width="16.88671875" style="4" customWidth="1"/>
    <col min="15883" max="15884" width="16.6640625" style="4" customWidth="1"/>
    <col min="15885" max="15885" width="4.88671875" style="4" customWidth="1"/>
    <col min="15886" max="15886" width="15.6640625" style="4" customWidth="1"/>
    <col min="15887" max="15887" width="0.109375" style="4" customWidth="1"/>
    <col min="15888" max="16128" width="0" style="4" hidden="1"/>
    <col min="16129" max="16129" width="9.109375" style="4" customWidth="1"/>
    <col min="16130" max="16130" width="10.33203125" style="4" customWidth="1"/>
    <col min="16131" max="16131" width="1.5546875" style="4" customWidth="1"/>
    <col min="16132" max="16132" width="3" style="4" customWidth="1"/>
    <col min="16133" max="16133" width="11.88671875" style="4" customWidth="1"/>
    <col min="16134" max="16134" width="19.44140625" style="4" customWidth="1"/>
    <col min="16135" max="16135" width="8.88671875" style="4" customWidth="1"/>
    <col min="16136" max="16136" width="9.109375" style="4" customWidth="1"/>
    <col min="16137" max="16138" width="16.88671875" style="4" customWidth="1"/>
    <col min="16139" max="16140" width="16.6640625" style="4" customWidth="1"/>
    <col min="16141" max="16141" width="4.88671875" style="4" customWidth="1"/>
    <col min="16142" max="16142" width="15.6640625" style="4" customWidth="1"/>
    <col min="16143" max="16143" width="0.109375" style="4" customWidth="1"/>
    <col min="16144" max="16384" width="0" style="4" hidden="1"/>
  </cols>
  <sheetData>
    <row r="1" spans="1:50" ht="16.8" thickTop="1" thickBot="1" x14ac:dyDescent="0.35">
      <c r="A1" s="377" t="str">
        <f>IF(Sheet1!D$192=1, "SUMMARY INFORMATION COMPARING ALL FEASIBLE ALTERNATIVES TO THE STATUS QUO", "SUMMARY INFORMATION FOR ALL FEASIBLE ALTERNATIVES")</f>
        <v>SUMMARY INFORMATION COMPARING ALL FEASIBLE ALTERNATIVES TO THE STATUS QUO</v>
      </c>
      <c r="B1" s="378"/>
      <c r="C1" s="379"/>
      <c r="D1" s="379"/>
      <c r="E1" s="378"/>
      <c r="F1" s="380"/>
      <c r="G1" s="381"/>
      <c r="H1" s="381"/>
      <c r="I1" s="382"/>
      <c r="J1" s="382"/>
      <c r="K1" s="383"/>
      <c r="L1" s="383"/>
      <c r="M1" s="383"/>
      <c r="N1" s="383"/>
      <c r="O1" s="384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385"/>
      <c r="AN1" s="385"/>
      <c r="AO1" s="385"/>
      <c r="AP1" s="385"/>
      <c r="AQ1" s="385"/>
      <c r="AR1" s="385"/>
      <c r="AS1" s="385"/>
      <c r="AT1" s="385"/>
      <c r="AU1" s="385"/>
      <c r="AV1" s="385"/>
      <c r="AW1" s="385"/>
      <c r="AX1" s="385"/>
    </row>
    <row r="2" spans="1:50" ht="16.8" thickTop="1" thickBot="1" x14ac:dyDescent="0.35">
      <c r="A2" s="386"/>
      <c r="B2" s="387"/>
      <c r="C2" s="388"/>
      <c r="D2" s="388"/>
      <c r="E2" s="387"/>
      <c r="F2" s="389"/>
      <c r="G2" s="390"/>
      <c r="H2" s="390"/>
      <c r="I2" s="391"/>
      <c r="J2" s="392"/>
      <c r="K2" s="139"/>
      <c r="L2" s="139"/>
      <c r="M2" s="605" t="str">
        <f>"  Location on ''Cost  "</f>
        <v xml:space="preserve">  Location on ''Cost  </v>
      </c>
      <c r="N2" s="606"/>
      <c r="O2" s="607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385"/>
      <c r="AI2" s="385"/>
      <c r="AJ2" s="385"/>
      <c r="AK2" s="385"/>
      <c r="AL2" s="385"/>
      <c r="AM2" s="385"/>
      <c r="AN2" s="385"/>
      <c r="AO2" s="385"/>
      <c r="AP2" s="385"/>
      <c r="AQ2" s="385"/>
      <c r="AR2" s="385"/>
      <c r="AS2" s="385"/>
      <c r="AT2" s="385"/>
      <c r="AU2" s="385"/>
      <c r="AV2" s="385"/>
      <c r="AW2" s="385"/>
      <c r="AX2" s="385"/>
    </row>
    <row r="3" spans="1:50" ht="16.8" thickTop="1" thickBot="1" x14ac:dyDescent="0.35">
      <c r="A3" s="393"/>
      <c r="B3" s="77"/>
      <c r="C3" s="104"/>
      <c r="D3" s="104"/>
      <c r="E3" s="139"/>
      <c r="F3" s="392"/>
      <c r="G3" s="152"/>
      <c r="H3" s="139"/>
      <c r="I3" s="394" t="s">
        <v>334</v>
      </c>
      <c r="J3" s="394" t="s">
        <v>335</v>
      </c>
      <c r="K3" s="394" t="s">
        <v>336</v>
      </c>
      <c r="L3" s="395" t="s">
        <v>337</v>
      </c>
      <c r="M3" s="608" t="str">
        <f>"    &amp; Benefits Display'' "</f>
        <v xml:space="preserve">    &amp; Benefits Display'' </v>
      </c>
      <c r="N3" s="609"/>
      <c r="O3" s="610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385"/>
      <c r="AI3" s="385"/>
      <c r="AJ3" s="385"/>
      <c r="AK3" s="385"/>
      <c r="AL3" s="385"/>
      <c r="AM3" s="385"/>
      <c r="AN3" s="385"/>
      <c r="AO3" s="385"/>
      <c r="AP3" s="385"/>
      <c r="AQ3" s="385"/>
      <c r="AR3" s="385"/>
      <c r="AS3" s="385"/>
      <c r="AT3" s="385"/>
      <c r="AU3" s="385"/>
      <c r="AV3" s="385"/>
      <c r="AW3" s="385"/>
      <c r="AX3" s="385"/>
    </row>
    <row r="4" spans="1:50" ht="16.2" thickTop="1" x14ac:dyDescent="0.3">
      <c r="A4" s="396" t="str">
        <f>IF(Sheet1!D$192=1,"        o    TOTAL BENEFITS","  Total Operating Cost=&gt;")</f>
        <v xml:space="preserve">        o    TOTAL BENEFITS</v>
      </c>
      <c r="B4" s="139"/>
      <c r="C4" s="104"/>
      <c r="D4" s="104"/>
      <c r="E4" s="139"/>
      <c r="F4" s="392"/>
      <c r="G4" s="397" t="str">
        <f>IF(Sheet1!D$192=1, "(Current Dollars)","(Constant Dollars)")</f>
        <v>(Current Dollars)</v>
      </c>
      <c r="H4" s="398" t="str">
        <f>VLOOKUP(Sheet1!D$67,Sheet1!A$66:B$68,2)</f>
        <v xml:space="preserve"> ($)</v>
      </c>
      <c r="I4" s="399">
        <f>IF(Sheet1!D$192=1, CostDisplayA!K$63, CostDisplayA!E$61)</f>
        <v>0</v>
      </c>
      <c r="J4" s="399">
        <f>IF(Sheet1!D$192=1, CostDisplayB!K$63, CostDisplayB!E$61)</f>
        <v>0</v>
      </c>
      <c r="K4" s="399">
        <f>IF(Sheet1!D$192=1, CostDisplayC!K$63, CostDisplayC!E$61)</f>
        <v>0</v>
      </c>
      <c r="L4" s="399">
        <f>IF(Sheet1!D$192=1, CostDisplayD!K$63, CostDisplayD!E$61)</f>
        <v>0</v>
      </c>
      <c r="M4" s="400" t="str">
        <f>IF(Sheet1!D$192=1, "             ( column 6j.  )", "             ( column 6d.  )")</f>
        <v xml:space="preserve">             ( column 6j.  )</v>
      </c>
      <c r="N4" s="139"/>
      <c r="O4" s="401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5"/>
      <c r="AJ4" s="385"/>
      <c r="AK4" s="385"/>
      <c r="AL4" s="385"/>
      <c r="AM4" s="385"/>
      <c r="AN4" s="385"/>
      <c r="AO4" s="385"/>
      <c r="AP4" s="385"/>
      <c r="AQ4" s="385"/>
      <c r="AR4" s="385"/>
      <c r="AS4" s="385"/>
      <c r="AT4" s="385"/>
      <c r="AU4" s="385"/>
      <c r="AV4" s="385"/>
      <c r="AW4" s="385"/>
      <c r="AX4" s="385"/>
    </row>
    <row r="5" spans="1:50" ht="15.6" x14ac:dyDescent="0.3">
      <c r="A5" s="396" t="s">
        <v>338</v>
      </c>
      <c r="B5" s="139"/>
      <c r="C5" s="104"/>
      <c r="D5" s="104"/>
      <c r="E5" s="139"/>
      <c r="F5" s="392"/>
      <c r="G5" s="397" t="s">
        <v>339</v>
      </c>
      <c r="H5" s="398" t="str">
        <f>VLOOKUP(Sheet1!D$67,Sheet1!A$66:B$68,2)</f>
        <v xml:space="preserve"> ($)</v>
      </c>
      <c r="I5" s="402">
        <f>CostDisplayA!AJ$61</f>
        <v>0</v>
      </c>
      <c r="J5" s="402">
        <f>CostDisplayB!AJ$61</f>
        <v>0</v>
      </c>
      <c r="K5" s="402">
        <f>CostDisplayC!AJ$61</f>
        <v>0</v>
      </c>
      <c r="L5" s="402">
        <f>CostDisplayD!AJ$61</f>
        <v>0</v>
      </c>
      <c r="M5" s="403" t="str">
        <f>"             ( column A8.  )"</f>
        <v xml:space="preserve">             ( column A8.  )</v>
      </c>
      <c r="N5" s="139"/>
      <c r="O5" s="401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385"/>
      <c r="AC5" s="385"/>
      <c r="AD5" s="385"/>
      <c r="AE5" s="385"/>
      <c r="AF5" s="385"/>
      <c r="AG5" s="385"/>
      <c r="AH5" s="385"/>
      <c r="AI5" s="385"/>
      <c r="AJ5" s="385"/>
      <c r="AK5" s="385"/>
      <c r="AL5" s="385"/>
      <c r="AM5" s="385"/>
      <c r="AN5" s="385"/>
      <c r="AO5" s="385"/>
      <c r="AP5" s="385"/>
      <c r="AQ5" s="385"/>
      <c r="AR5" s="385"/>
      <c r="AS5" s="385"/>
      <c r="AT5" s="385"/>
      <c r="AU5" s="385"/>
      <c r="AV5" s="385"/>
      <c r="AW5" s="385"/>
      <c r="AX5" s="385"/>
    </row>
    <row r="6" spans="1:50" ht="15.6" x14ac:dyDescent="0.3">
      <c r="A6" s="393" t="str">
        <f>IF(Sheet1!D$192=1, "        o    NET PRESENT VALUE (NPV)", "        o    PRESENT VALUE OF PROJECT TOTAL COST")</f>
        <v xml:space="preserve">        o    NET PRESENT VALUE (NPV)</v>
      </c>
      <c r="B6" s="139"/>
      <c r="C6" s="104"/>
      <c r="D6" s="104"/>
      <c r="E6" s="139"/>
      <c r="F6" s="139"/>
      <c r="G6" s="397" t="s">
        <v>340</v>
      </c>
      <c r="H6" s="398" t="str">
        <f>VLOOKUP(Sheet1!D$67,Sheet1!A$66:B$68,2)</f>
        <v xml:space="preserve"> ($)</v>
      </c>
      <c r="I6" s="402" t="str">
        <f>CostDisplayA!H$65</f>
        <v>Alt  'A'  not feasible</v>
      </c>
      <c r="J6" s="402" t="str">
        <f>CostDisplayB!H$65</f>
        <v>Alt  'B'  not feasible</v>
      </c>
      <c r="K6" s="402" t="str">
        <f>CostDisplayC!H$65</f>
        <v>Alt  'C'  not feasible</v>
      </c>
      <c r="L6" s="402" t="str">
        <f>CostDisplayD!H$65</f>
        <v>Alt  'D'  not feasible</v>
      </c>
      <c r="M6" s="404" t="str">
        <f>"             ( column 6g.  )"</f>
        <v xml:space="preserve">             ( column 6g.  )</v>
      </c>
      <c r="N6" s="139"/>
      <c r="O6" s="401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  <c r="AA6" s="385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5"/>
      <c r="AM6" s="385"/>
      <c r="AN6" s="385"/>
      <c r="AO6" s="385"/>
      <c r="AP6" s="385"/>
      <c r="AQ6" s="385"/>
      <c r="AR6" s="385"/>
      <c r="AS6" s="385"/>
      <c r="AT6" s="385"/>
      <c r="AU6" s="385"/>
      <c r="AV6" s="385"/>
      <c r="AW6" s="385"/>
      <c r="AX6" s="385"/>
    </row>
    <row r="7" spans="1:50" ht="13.8" x14ac:dyDescent="0.25">
      <c r="A7" s="393"/>
      <c r="B7" s="139"/>
      <c r="C7" s="104"/>
      <c r="D7" s="104"/>
      <c r="E7" s="139"/>
      <c r="F7" s="139"/>
      <c r="G7" s="405"/>
      <c r="H7" s="398"/>
      <c r="I7" s="406"/>
      <c r="J7" s="406"/>
      <c r="K7" s="406"/>
      <c r="L7" s="406"/>
      <c r="M7" s="404"/>
      <c r="N7" s="139"/>
      <c r="O7" s="401"/>
      <c r="P7" s="385"/>
      <c r="Q7" s="385"/>
      <c r="R7" s="385"/>
      <c r="S7" s="385"/>
      <c r="T7" s="385"/>
      <c r="U7" s="385"/>
      <c r="V7" s="385"/>
      <c r="W7" s="385"/>
      <c r="X7" s="385"/>
      <c r="Y7" s="385"/>
      <c r="Z7" s="385"/>
      <c r="AA7" s="385"/>
      <c r="AB7" s="385"/>
      <c r="AC7" s="385"/>
      <c r="AD7" s="385"/>
      <c r="AE7" s="385"/>
      <c r="AF7" s="385"/>
      <c r="AG7" s="385"/>
      <c r="AH7" s="385"/>
      <c r="AI7" s="385"/>
      <c r="AJ7" s="385"/>
      <c r="AK7" s="385"/>
      <c r="AL7" s="385"/>
      <c r="AM7" s="385"/>
      <c r="AN7" s="385"/>
      <c r="AO7" s="385"/>
      <c r="AP7" s="385"/>
      <c r="AQ7" s="385"/>
      <c r="AR7" s="385"/>
      <c r="AS7" s="385"/>
      <c r="AT7" s="385"/>
      <c r="AU7" s="385"/>
      <c r="AV7" s="385"/>
      <c r="AW7" s="385"/>
      <c r="AX7" s="385"/>
    </row>
    <row r="8" spans="1:50" ht="13.8" x14ac:dyDescent="0.25">
      <c r="A8" s="393"/>
      <c r="B8" s="407" t="str">
        <f>IF(Sheet1!D$192=1, "", "NOTE:  Calculation of  'Payback Period',  'Benefit to Investment Ratio(BIR)', 'Savings to Investment Ratio(SIR)'  &amp; 'Productivity Benefits' are not applicable because Status Quo is not a feasible alternative.")</f>
        <v/>
      </c>
      <c r="C8" s="104"/>
      <c r="D8" s="104"/>
      <c r="E8" s="139"/>
      <c r="F8" s="139"/>
      <c r="G8" s="405"/>
      <c r="H8" s="398"/>
      <c r="I8" s="406"/>
      <c r="J8" s="406"/>
      <c r="K8" s="406"/>
      <c r="L8" s="406"/>
      <c r="M8" s="404"/>
      <c r="N8" s="139"/>
      <c r="O8" s="401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5"/>
      <c r="AK8" s="385"/>
      <c r="AL8" s="385"/>
      <c r="AM8" s="385"/>
      <c r="AN8" s="385"/>
      <c r="AO8" s="385"/>
      <c r="AP8" s="385"/>
      <c r="AQ8" s="385"/>
      <c r="AR8" s="385"/>
      <c r="AS8" s="385"/>
      <c r="AT8" s="385"/>
      <c r="AU8" s="385"/>
      <c r="AV8" s="385"/>
      <c r="AW8" s="385"/>
      <c r="AX8" s="385"/>
    </row>
    <row r="9" spans="1:50" ht="13.8" x14ac:dyDescent="0.25">
      <c r="A9" s="393" t="str">
        <f>IF(Sheet1!D$192=1,"        o    PAYBACK PERIOD for ' New Investment Cost ' (using Current Dollars) ","        o    PAYBACK PERIOD  for  ' Restricted New Investment Cost'  (using Current Dollars)  ")</f>
        <v xml:space="preserve">        o    PAYBACK PERIOD for ' New Investment Cost ' (using Current Dollars) </v>
      </c>
      <c r="B9" s="139"/>
      <c r="C9" s="104"/>
      <c r="D9" s="104"/>
      <c r="E9" s="139"/>
      <c r="F9" s="392"/>
      <c r="G9" s="152"/>
      <c r="H9" s="139"/>
      <c r="I9" s="408"/>
      <c r="J9" s="408"/>
      <c r="K9" s="408"/>
      <c r="L9" s="408"/>
      <c r="M9" s="150"/>
      <c r="N9" s="139"/>
      <c r="O9" s="401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5"/>
      <c r="AM9" s="385"/>
      <c r="AN9" s="385"/>
      <c r="AO9" s="385"/>
      <c r="AP9" s="385"/>
      <c r="AQ9" s="385"/>
      <c r="AR9" s="385"/>
      <c r="AS9" s="385"/>
      <c r="AT9" s="385"/>
      <c r="AU9" s="385"/>
      <c r="AV9" s="385"/>
      <c r="AW9" s="385"/>
      <c r="AX9" s="385"/>
    </row>
    <row r="10" spans="1:50" ht="15.6" x14ac:dyDescent="0.3">
      <c r="A10" s="396"/>
      <c r="B10" s="139"/>
      <c r="C10" s="104"/>
      <c r="D10" s="104"/>
      <c r="E10" s="139"/>
      <c r="F10" s="392"/>
      <c r="G10" s="152"/>
      <c r="H10" s="409" t="str">
        <f>IF(Sheet1!D$192=1,  "'MONETARY BENEFITS PAYBACK PERIOD'  ( years)", "")</f>
        <v>'MONETARY BENEFITS PAYBACK PERIOD'  ( years)</v>
      </c>
      <c r="I10" s="410" t="str">
        <f>IF(Sheet1!D$192=1, IF(CostDisplayA!K$61&lt;=0, "n/a", CostDisplayA!H$88), "")</f>
        <v>n/a</v>
      </c>
      <c r="J10" s="410" t="str">
        <f>IF(Sheet1!D$192=1, IF(CostDisplayB!K$61&lt;=0, "n/a", CostDisplayB!H$88), "")</f>
        <v>n/a</v>
      </c>
      <c r="K10" s="410" t="str">
        <f>IF(Sheet1!D$192=1, IF(CostDisplayC!K$61&lt;=0, "n/a", CostDisplayC!H$88), "")</f>
        <v>n/a</v>
      </c>
      <c r="L10" s="410" t="str">
        <f>IF(Sheet1!D$192=1, IF(CostDisplayD!K$61&lt;=0, "n/a", CostDisplayD!H$88), "")</f>
        <v>n/a</v>
      </c>
      <c r="M10" s="411" t="s">
        <v>341</v>
      </c>
      <c r="N10" s="139"/>
      <c r="O10" s="401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  <c r="AC10" s="385"/>
      <c r="AD10" s="385"/>
      <c r="AE10" s="385"/>
      <c r="AF10" s="385"/>
      <c r="AG10" s="385"/>
      <c r="AH10" s="385"/>
      <c r="AI10" s="385"/>
      <c r="AJ10" s="385"/>
      <c r="AK10" s="385"/>
      <c r="AL10" s="385"/>
      <c r="AM10" s="385"/>
      <c r="AN10" s="385"/>
      <c r="AO10" s="385"/>
      <c r="AP10" s="385"/>
      <c r="AQ10" s="385"/>
      <c r="AR10" s="385"/>
      <c r="AS10" s="385"/>
      <c r="AT10" s="385"/>
      <c r="AU10" s="385"/>
      <c r="AV10" s="385"/>
      <c r="AW10" s="385"/>
      <c r="AX10" s="385"/>
    </row>
    <row r="11" spans="1:50" ht="13.8" hidden="1" x14ac:dyDescent="0.25">
      <c r="A11" s="396"/>
      <c r="B11" s="139"/>
      <c r="C11" s="104"/>
      <c r="D11" s="104"/>
      <c r="E11" s="139"/>
      <c r="F11" s="392"/>
      <c r="G11" s="152"/>
      <c r="H11" s="405"/>
      <c r="I11" s="408"/>
      <c r="J11" s="408"/>
      <c r="K11" s="408"/>
      <c r="L11" s="408"/>
      <c r="M11" s="150"/>
      <c r="N11" s="139"/>
      <c r="O11" s="401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5"/>
      <c r="AT11" s="385"/>
      <c r="AU11" s="385"/>
      <c r="AV11" s="385"/>
      <c r="AW11" s="385"/>
      <c r="AX11" s="385"/>
    </row>
    <row r="12" spans="1:50" ht="15.6" hidden="1" x14ac:dyDescent="0.3">
      <c r="A12" s="396"/>
      <c r="B12" s="139"/>
      <c r="C12" s="104"/>
      <c r="D12" s="104"/>
      <c r="E12" s="139"/>
      <c r="F12" s="392"/>
      <c r="G12" s="152"/>
      <c r="H12" s="412" t="str">
        <f>IF(Sheet1!D$192=1, " 'SAVINGS PAYBACK PERIOD'   ( years)  ", "")</f>
        <v xml:space="preserve"> 'SAVINGS PAYBACK PERIOD'   ( years)  </v>
      </c>
      <c r="I12" s="413">
        <f>+$J$178</f>
        <v>0</v>
      </c>
      <c r="J12" s="413">
        <f>+$J$280</f>
        <v>0</v>
      </c>
      <c r="K12" s="413">
        <f>+$J$382</f>
        <v>0</v>
      </c>
      <c r="L12" s="413">
        <f>+$J$484</f>
        <v>0</v>
      </c>
      <c r="M12" s="411" t="s">
        <v>342</v>
      </c>
      <c r="N12" s="139"/>
      <c r="O12" s="401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85"/>
      <c r="AA12" s="385"/>
      <c r="AB12" s="385"/>
      <c r="AC12" s="385"/>
      <c r="AD12" s="385"/>
      <c r="AE12" s="385"/>
      <c r="AF12" s="385"/>
      <c r="AG12" s="385"/>
      <c r="AH12" s="385"/>
      <c r="AI12" s="385"/>
      <c r="AJ12" s="385"/>
      <c r="AK12" s="385"/>
      <c r="AL12" s="385"/>
      <c r="AM12" s="385"/>
      <c r="AN12" s="385"/>
      <c r="AO12" s="385"/>
      <c r="AP12" s="385"/>
      <c r="AQ12" s="385"/>
      <c r="AR12" s="385"/>
      <c r="AS12" s="385"/>
      <c r="AT12" s="385"/>
      <c r="AU12" s="385"/>
      <c r="AV12" s="385"/>
      <c r="AW12" s="385"/>
      <c r="AX12" s="385"/>
    </row>
    <row r="13" spans="1:50" ht="13.8" x14ac:dyDescent="0.25">
      <c r="A13" s="396" t="str">
        <f>IF(Sheet1!D$192=1, "        o    BENEFIT TO INVESTMENT RATIO (BIR)  (based on Discounted Dollars )", "")</f>
        <v xml:space="preserve">        o    BENEFIT TO INVESTMENT RATIO (BIR)  (based on Discounted Dollars )</v>
      </c>
      <c r="B13" s="139"/>
      <c r="C13" s="104"/>
      <c r="D13" s="104"/>
      <c r="E13" s="139"/>
      <c r="F13" s="392"/>
      <c r="G13" s="152"/>
      <c r="H13" s="397"/>
      <c r="I13" s="414"/>
      <c r="J13" s="414"/>
      <c r="K13" s="414"/>
      <c r="L13" s="414"/>
      <c r="M13" s="150"/>
      <c r="N13" s="139"/>
      <c r="O13" s="401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/>
      <c r="AB13" s="385"/>
      <c r="AC13" s="385"/>
      <c r="AD13" s="385"/>
      <c r="AE13" s="385"/>
      <c r="AF13" s="385"/>
      <c r="AG13" s="385"/>
      <c r="AH13" s="385"/>
      <c r="AI13" s="385"/>
      <c r="AJ13" s="385"/>
      <c r="AK13" s="385"/>
      <c r="AL13" s="385"/>
      <c r="AM13" s="385"/>
      <c r="AN13" s="385"/>
      <c r="AO13" s="385"/>
      <c r="AP13" s="385"/>
      <c r="AQ13" s="385"/>
      <c r="AR13" s="385"/>
      <c r="AS13" s="385"/>
      <c r="AT13" s="385"/>
      <c r="AU13" s="385"/>
      <c r="AV13" s="385"/>
      <c r="AW13" s="385"/>
      <c r="AX13" s="385"/>
    </row>
    <row r="14" spans="1:50" ht="15.6" x14ac:dyDescent="0.3">
      <c r="A14" s="396"/>
      <c r="B14" s="139"/>
      <c r="C14" s="104"/>
      <c r="D14" s="104"/>
      <c r="E14" s="139"/>
      <c r="F14" s="139"/>
      <c r="G14" s="152"/>
      <c r="H14" s="415" t="str">
        <f>IF(Sheet1!D$192=1, "Total Benefits   "&amp;+VLOOKUP(Sheet1!D$67,Sheet1!A$66:B$68,2)&amp;"  ", "")</f>
        <v xml:space="preserve">Total Benefits    ($)  </v>
      </c>
      <c r="I14" s="416">
        <f>IF(Sheet1!D$192=1, CostDisplayA!H$77, "")</f>
        <v>0</v>
      </c>
      <c r="J14" s="416">
        <f>IF(Sheet1!D$192=1, CostDisplayB!H$77, "")</f>
        <v>0</v>
      </c>
      <c r="K14" s="416">
        <f>IF(Sheet1!D$192=1, CostDisplayC!H$77, "")</f>
        <v>0</v>
      </c>
      <c r="L14" s="416">
        <f>IF(Sheet1!D$192=1, CostDisplayD!H$77, "")</f>
        <v>0</v>
      </c>
      <c r="M14" s="417" t="s">
        <v>343</v>
      </c>
      <c r="N14" s="139"/>
      <c r="O14" s="401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  <c r="AC14" s="385"/>
      <c r="AD14" s="385"/>
      <c r="AE14" s="385"/>
      <c r="AF14" s="385"/>
      <c r="AG14" s="385"/>
      <c r="AH14" s="385"/>
      <c r="AI14" s="385"/>
      <c r="AJ14" s="385"/>
      <c r="AK14" s="385"/>
      <c r="AL14" s="385"/>
      <c r="AM14" s="385"/>
      <c r="AN14" s="385"/>
      <c r="AO14" s="385"/>
      <c r="AP14" s="385"/>
      <c r="AQ14" s="385"/>
      <c r="AR14" s="385"/>
      <c r="AS14" s="385"/>
      <c r="AT14" s="385"/>
      <c r="AU14" s="385"/>
      <c r="AV14" s="385"/>
      <c r="AW14" s="385"/>
      <c r="AX14" s="385"/>
    </row>
    <row r="15" spans="1:50" ht="16.2" thickBot="1" x14ac:dyDescent="0.35">
      <c r="A15" s="396"/>
      <c r="B15" s="139"/>
      <c r="C15" s="104"/>
      <c r="D15" s="104"/>
      <c r="E15" s="139"/>
      <c r="F15" s="139"/>
      <c r="G15" s="152"/>
      <c r="H15" s="418" t="str">
        <f>IF(Sheet1!D$192=1,"/    Adjusted Investment Cost   "&amp;+VLOOKUP(Sheet1!D$67,Sheet1!A$66:B$68,2)&amp;"  ","")</f>
        <v xml:space="preserve">/    Adjusted Investment Cost    ($)  </v>
      </c>
      <c r="I15" s="419">
        <f>IF(Sheet1!D$192=1, CostDisplayA!AG$81, "")</f>
        <v>0</v>
      </c>
      <c r="J15" s="419">
        <f>IF(Sheet1!D$192=1, CostDisplayB!AG$81, "")</f>
        <v>0</v>
      </c>
      <c r="K15" s="419">
        <f>IF(Sheet1!D$192=1, CostDisplayC!AG$81, "")</f>
        <v>0</v>
      </c>
      <c r="L15" s="419">
        <f>IF(Sheet1!D$192=1, CostDisplayD!AG$81, "")</f>
        <v>0</v>
      </c>
      <c r="M15" s="417" t="s">
        <v>344</v>
      </c>
      <c r="N15" s="403"/>
      <c r="O15" s="401"/>
      <c r="P15" s="385"/>
      <c r="Q15" s="385"/>
      <c r="R15" s="385"/>
      <c r="S15" s="385"/>
      <c r="T15" s="385"/>
      <c r="U15" s="385"/>
      <c r="V15" s="385"/>
      <c r="W15" s="385"/>
      <c r="X15" s="385"/>
      <c r="Y15" s="385"/>
      <c r="Z15" s="385"/>
      <c r="AA15" s="385"/>
      <c r="AB15" s="385"/>
      <c r="AC15" s="385"/>
      <c r="AD15" s="385"/>
      <c r="AE15" s="385"/>
      <c r="AF15" s="385"/>
      <c r="AG15" s="385"/>
      <c r="AH15" s="385"/>
      <c r="AI15" s="385"/>
      <c r="AJ15" s="385"/>
      <c r="AK15" s="385"/>
      <c r="AL15" s="385"/>
      <c r="AM15" s="385"/>
      <c r="AN15" s="385"/>
      <c r="AO15" s="385"/>
      <c r="AP15" s="385"/>
      <c r="AQ15" s="385"/>
      <c r="AR15" s="385"/>
      <c r="AS15" s="385"/>
      <c r="AT15" s="385"/>
      <c r="AU15" s="385"/>
      <c r="AV15" s="385"/>
      <c r="AW15" s="385"/>
      <c r="AX15" s="385"/>
    </row>
    <row r="16" spans="1:50" ht="16.2" thickTop="1" x14ac:dyDescent="0.3">
      <c r="A16" s="420"/>
      <c r="B16" s="139"/>
      <c r="C16" s="104"/>
      <c r="D16" s="104"/>
      <c r="E16" s="139"/>
      <c r="F16" s="392"/>
      <c r="G16" s="152"/>
      <c r="H16" s="421" t="str">
        <f>IF(Sheet1!$D$192," (BIR) ","")</f>
        <v xml:space="preserve"> (BIR) </v>
      </c>
      <c r="I16" s="422" t="str">
        <f>IF(Sheet1!D$192=1, IF(I15=0, "n/a", +I14/I15),"")</f>
        <v>n/a</v>
      </c>
      <c r="J16" s="422" t="str">
        <f>IF(Sheet1!D$192=1, IF(J15=0, "n/a", +J14/J15),"")</f>
        <v>n/a</v>
      </c>
      <c r="K16" s="422" t="str">
        <f>IF(Sheet1!D$192=1, IF(K15=0, "n/a", +K14/K15),"")</f>
        <v>n/a</v>
      </c>
      <c r="L16" s="422" t="str">
        <f>IF(Sheet1!D$192=1, IF(L15=0, "n/a", +L14/L15),"")</f>
        <v>n/a</v>
      </c>
      <c r="M16" s="150"/>
      <c r="N16" s="139"/>
      <c r="O16" s="401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  <c r="AA16" s="385"/>
      <c r="AB16" s="385"/>
      <c r="AC16" s="385"/>
      <c r="AD16" s="385"/>
      <c r="AE16" s="385"/>
      <c r="AF16" s="385"/>
      <c r="AG16" s="385"/>
      <c r="AH16" s="385"/>
      <c r="AI16" s="385"/>
      <c r="AJ16" s="385"/>
      <c r="AK16" s="385"/>
      <c r="AL16" s="385"/>
      <c r="AM16" s="385"/>
      <c r="AN16" s="385"/>
      <c r="AO16" s="385"/>
      <c r="AP16" s="385"/>
      <c r="AQ16" s="385"/>
      <c r="AR16" s="385"/>
      <c r="AS16" s="385"/>
      <c r="AT16" s="385"/>
      <c r="AU16" s="385"/>
      <c r="AV16" s="385"/>
      <c r="AW16" s="385"/>
      <c r="AX16" s="385"/>
    </row>
    <row r="17" spans="1:50" ht="13.8" x14ac:dyDescent="0.25">
      <c r="A17" s="396" t="str">
        <f>IF(Sheet1!D$192=1, "        o    SAVINGS TO INVESTMENT RATIO (SIR)  (based on Discounted Dollars)", "")</f>
        <v xml:space="preserve">        o    SAVINGS TO INVESTMENT RATIO (SIR)  (based on Discounted Dollars)</v>
      </c>
      <c r="B17" s="139"/>
      <c r="C17" s="104"/>
      <c r="D17" s="104"/>
      <c r="E17" s="139"/>
      <c r="F17" s="392"/>
      <c r="G17" s="152"/>
      <c r="H17" s="412"/>
      <c r="I17" s="423"/>
      <c r="J17" s="423"/>
      <c r="K17" s="423"/>
      <c r="L17" s="423"/>
      <c r="M17" s="150"/>
      <c r="N17" s="139"/>
      <c r="O17" s="401"/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385"/>
      <c r="AA17" s="385"/>
      <c r="AB17" s="385"/>
      <c r="AC17" s="385"/>
      <c r="AD17" s="385"/>
      <c r="AE17" s="385"/>
      <c r="AF17" s="385"/>
      <c r="AG17" s="385"/>
      <c r="AH17" s="385"/>
      <c r="AI17" s="385"/>
      <c r="AJ17" s="385"/>
      <c r="AK17" s="385"/>
      <c r="AL17" s="385"/>
      <c r="AM17" s="385"/>
      <c r="AN17" s="385"/>
      <c r="AO17" s="385"/>
      <c r="AP17" s="385"/>
      <c r="AQ17" s="385"/>
      <c r="AR17" s="385"/>
      <c r="AS17" s="385"/>
      <c r="AT17" s="385"/>
      <c r="AU17" s="385"/>
      <c r="AV17" s="385"/>
      <c r="AW17" s="385"/>
      <c r="AX17" s="385"/>
    </row>
    <row r="18" spans="1:50" ht="15.6" x14ac:dyDescent="0.3">
      <c r="A18" s="396"/>
      <c r="B18" s="139"/>
      <c r="C18" s="104"/>
      <c r="D18" s="104"/>
      <c r="E18" s="139"/>
      <c r="F18" s="139"/>
      <c r="G18" s="152"/>
      <c r="H18" s="415" t="str">
        <f>IF(Sheet1!D$192=1, "Total Savings   "&amp;+VLOOKUP(Sheet1!D$67,Sheet1!A$66:B$68,2)&amp;"  ", "")</f>
        <v xml:space="preserve">Total Savings    ($)  </v>
      </c>
      <c r="I18" s="416" t="str">
        <f>IF(Sheet1!D193=1,IF(CostDisplayA!G$81=" ", IF(Sheet1!D$192=1, CostDisplayA!S$61, ""), "No hard savings"),"")</f>
        <v/>
      </c>
      <c r="J18" s="416" t="str">
        <f>IF(Sheet1!D194=1,IF(CostDisplayB!G$81=" ", IF(Sheet1!D$192=1, CostDisplayB!S$61, ""), "No hard savings"),"")</f>
        <v/>
      </c>
      <c r="K18" s="416" t="str">
        <f>IF(Sheet1!D195=1,IF(CostDisplayC!G$81=" ", IF(Sheet1!D$192=1, CostDisplayC!S$61, ""), "No hard savings"),"")</f>
        <v/>
      </c>
      <c r="L18" s="416" t="str">
        <f>IF(Sheet1!D196=1,IF(CostDisplayD!G$81=" ", IF(Sheet1!D$192=1, CostDisplayD!S$61, ""), "No hard savings"),"")</f>
        <v/>
      </c>
      <c r="M18" s="417" t="s">
        <v>345</v>
      </c>
      <c r="N18" s="403"/>
      <c r="O18" s="401"/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5"/>
      <c r="AA18" s="385"/>
      <c r="AB18" s="385"/>
      <c r="AC18" s="385"/>
      <c r="AD18" s="385"/>
      <c r="AE18" s="385"/>
      <c r="AF18" s="385"/>
      <c r="AG18" s="385"/>
      <c r="AH18" s="385"/>
      <c r="AI18" s="385"/>
      <c r="AJ18" s="385"/>
      <c r="AK18" s="385"/>
      <c r="AL18" s="385"/>
      <c r="AM18" s="385"/>
      <c r="AN18" s="385"/>
      <c r="AO18" s="385"/>
      <c r="AP18" s="385"/>
      <c r="AQ18" s="385"/>
      <c r="AR18" s="385"/>
      <c r="AS18" s="385"/>
      <c r="AT18" s="385"/>
      <c r="AU18" s="385"/>
      <c r="AV18" s="385"/>
      <c r="AW18" s="385"/>
      <c r="AX18" s="385"/>
    </row>
    <row r="19" spans="1:50" ht="16.2" thickBot="1" x14ac:dyDescent="0.35">
      <c r="A19" s="396"/>
      <c r="B19" s="139"/>
      <c r="C19" s="104"/>
      <c r="D19" s="104"/>
      <c r="E19" s="139"/>
      <c r="F19" s="139"/>
      <c r="G19" s="152"/>
      <c r="H19" s="418" t="str">
        <f>IF(Sheet1!D$192=1,"/    New Investment Cost   "&amp;+VLOOKUP(Sheet1!D$67,Sheet1!A$66:B$68,2)&amp;"  ","")</f>
        <v xml:space="preserve">/    New Investment Cost    ($)  </v>
      </c>
      <c r="I19" s="419">
        <f>IF(Sheet1!D$192=1, CostDisplayA!AG$61, "")</f>
        <v>0</v>
      </c>
      <c r="J19" s="419">
        <f>IF(Sheet1!D$192=1, CostDisplayB!AG$61, "")</f>
        <v>0</v>
      </c>
      <c r="K19" s="419">
        <f>IF(Sheet1!D$192=1, CostDisplayC!AG$61, "")</f>
        <v>0</v>
      </c>
      <c r="L19" s="419">
        <f>IF(Sheet1!D$192=1, CostDisplayD!AG$61, "")</f>
        <v>0</v>
      </c>
      <c r="M19" s="417" t="s">
        <v>344</v>
      </c>
      <c r="N19" s="403"/>
      <c r="O19" s="401"/>
      <c r="P19" s="385"/>
      <c r="Q19" s="385"/>
      <c r="R19" s="385"/>
      <c r="S19" s="385"/>
      <c r="T19" s="385"/>
      <c r="U19" s="385"/>
      <c r="V19" s="385"/>
      <c r="W19" s="385"/>
      <c r="X19" s="385"/>
      <c r="Y19" s="385"/>
      <c r="Z19" s="385"/>
      <c r="AA19" s="385"/>
      <c r="AB19" s="385"/>
      <c r="AC19" s="385"/>
      <c r="AD19" s="385"/>
      <c r="AE19" s="385"/>
      <c r="AF19" s="385"/>
      <c r="AG19" s="385"/>
      <c r="AH19" s="385"/>
      <c r="AI19" s="385"/>
      <c r="AJ19" s="385"/>
      <c r="AK19" s="385"/>
      <c r="AL19" s="385"/>
      <c r="AM19" s="385"/>
      <c r="AN19" s="385"/>
      <c r="AO19" s="385"/>
      <c r="AP19" s="385"/>
      <c r="AQ19" s="385"/>
      <c r="AR19" s="385"/>
      <c r="AS19" s="385"/>
      <c r="AT19" s="385"/>
      <c r="AU19" s="385"/>
      <c r="AV19" s="385"/>
      <c r="AW19" s="385"/>
      <c r="AX19" s="385"/>
    </row>
    <row r="20" spans="1:50" ht="16.2" thickTop="1" x14ac:dyDescent="0.3">
      <c r="A20" s="420"/>
      <c r="B20" s="139"/>
      <c r="C20" s="104"/>
      <c r="D20" s="104"/>
      <c r="E20" s="139"/>
      <c r="F20" s="392"/>
      <c r="G20" s="152"/>
      <c r="H20" s="421" t="str">
        <f>IF(Sheet1!$D$192," (SIR) ","")</f>
        <v xml:space="preserve"> (SIR) </v>
      </c>
      <c r="I20" s="422" t="str">
        <f>IF(Sheet1!D$192=1, IF(OR(CostDisplayA!G$81&lt;&gt;" ", I19=0), "No hard savings", +I18/I19),"")</f>
        <v>No hard savings</v>
      </c>
      <c r="J20" s="422" t="str">
        <f>IF(Sheet1!D$192=1, IF(OR(CostDisplayB!G$81&lt;&gt;" ", J19=0), "No hard savings", +J18/J19),"")</f>
        <v>No hard savings</v>
      </c>
      <c r="K20" s="422" t="str">
        <f>IF(Sheet1!D$192=1, IF(OR(CostDisplayC!G$81&lt;&gt;" ", K19=0), "No hard savings", +K18/K19),"")</f>
        <v>No hard savings</v>
      </c>
      <c r="L20" s="422" t="str">
        <f>IF(Sheet1!D$192=1, IF(OR(CostDisplayD!G$81&lt;&gt;" ", L19=0), "No hard savings", +L18/L19),"")</f>
        <v>No hard savings</v>
      </c>
      <c r="M20" s="150"/>
      <c r="N20" s="139"/>
      <c r="O20" s="401"/>
      <c r="P20" s="385"/>
      <c r="Q20" s="385"/>
      <c r="R20" s="385"/>
      <c r="S20" s="385"/>
      <c r="T20" s="385"/>
      <c r="U20" s="385"/>
      <c r="V20" s="385"/>
      <c r="W20" s="385"/>
      <c r="X20" s="385"/>
      <c r="Y20" s="385"/>
      <c r="Z20" s="385"/>
      <c r="AA20" s="385"/>
      <c r="AB20" s="385"/>
      <c r="AC20" s="385"/>
      <c r="AD20" s="385"/>
      <c r="AE20" s="385"/>
      <c r="AF20" s="385"/>
      <c r="AG20" s="385"/>
      <c r="AH20" s="385"/>
      <c r="AI20" s="385"/>
      <c r="AJ20" s="385"/>
      <c r="AK20" s="385"/>
      <c r="AL20" s="385"/>
      <c r="AM20" s="385"/>
      <c r="AN20" s="385"/>
      <c r="AO20" s="385"/>
      <c r="AP20" s="385"/>
      <c r="AQ20" s="385"/>
      <c r="AR20" s="385"/>
      <c r="AS20" s="385"/>
      <c r="AT20" s="385"/>
      <c r="AU20" s="385"/>
      <c r="AV20" s="385"/>
      <c r="AW20" s="385"/>
      <c r="AX20" s="385"/>
    </row>
    <row r="21" spans="1:50" ht="13.8" x14ac:dyDescent="0.25">
      <c r="A21" s="420"/>
      <c r="B21" s="139"/>
      <c r="C21" s="104"/>
      <c r="D21" s="104"/>
      <c r="E21" s="139"/>
      <c r="F21" s="392"/>
      <c r="G21" s="152"/>
      <c r="H21" s="421"/>
      <c r="I21" s="423"/>
      <c r="J21" s="424"/>
      <c r="K21" s="424"/>
      <c r="L21" s="424"/>
      <c r="M21" s="150"/>
      <c r="N21" s="139"/>
      <c r="O21" s="401"/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385"/>
      <c r="AA21" s="385"/>
      <c r="AB21" s="385"/>
      <c r="AC21" s="385"/>
      <c r="AD21" s="385"/>
      <c r="AE21" s="385"/>
      <c r="AF21" s="385"/>
      <c r="AG21" s="385"/>
      <c r="AH21" s="385"/>
      <c r="AI21" s="385"/>
      <c r="AJ21" s="385"/>
      <c r="AK21" s="385"/>
      <c r="AL21" s="385"/>
      <c r="AM21" s="385"/>
      <c r="AN21" s="385"/>
      <c r="AO21" s="385"/>
      <c r="AP21" s="385"/>
      <c r="AQ21" s="385"/>
      <c r="AR21" s="385"/>
      <c r="AS21" s="385"/>
      <c r="AT21" s="385"/>
      <c r="AU21" s="385"/>
      <c r="AV21" s="385"/>
      <c r="AW21" s="385"/>
      <c r="AX21" s="385"/>
    </row>
    <row r="22" spans="1:50" ht="15.6" x14ac:dyDescent="0.3">
      <c r="A22" s="420"/>
      <c r="B22" s="139"/>
      <c r="C22" s="104"/>
      <c r="D22" s="104"/>
      <c r="E22" s="139"/>
      <c r="F22" s="392"/>
      <c r="G22" s="152"/>
      <c r="H22" s="421" t="str">
        <f>IF(Sheet1!$D$192," (ROI) ","")</f>
        <v xml:space="preserve"> (ROI) </v>
      </c>
      <c r="I22" s="583" t="str">
        <f>IF(AND(Sheet1!D$192=1,Sheet1!D$193=1),CostDisplayA!H91,"n/a")</f>
        <v>n/a</v>
      </c>
      <c r="J22" s="583" t="str">
        <f>IF(AND(Sheet1!D$192=1,Sheet1!D$194=1),CostDisplayB!H91,"n/a")</f>
        <v>n/a</v>
      </c>
      <c r="K22" s="583" t="str">
        <f>IF(AND(Sheet1!D$192=1,Sheet1!D$195=1),CostDisplayC!H91,"n/a")</f>
        <v>n/a</v>
      </c>
      <c r="L22" s="584" t="str">
        <f>IF(AND(Sheet1!D$192=1,Sheet1!D$196=1),CostDisplayD!H91,"n/a")</f>
        <v>n/a</v>
      </c>
      <c r="M22" s="150"/>
      <c r="N22" s="139"/>
      <c r="O22" s="401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/>
      <c r="AA22" s="385"/>
      <c r="AB22" s="385"/>
      <c r="AC22" s="385"/>
      <c r="AD22" s="385"/>
      <c r="AE22" s="385"/>
      <c r="AF22" s="385"/>
      <c r="AG22" s="385"/>
      <c r="AH22" s="385"/>
      <c r="AI22" s="385"/>
      <c r="AJ22" s="385"/>
      <c r="AK22" s="385"/>
      <c r="AL22" s="385"/>
      <c r="AM22" s="385"/>
      <c r="AN22" s="385"/>
      <c r="AO22" s="385"/>
      <c r="AP22" s="385"/>
      <c r="AQ22" s="385"/>
      <c r="AR22" s="385"/>
      <c r="AS22" s="385"/>
      <c r="AT22" s="385"/>
      <c r="AU22" s="385"/>
      <c r="AV22" s="385"/>
      <c r="AW22" s="385"/>
      <c r="AX22" s="385"/>
    </row>
    <row r="23" spans="1:50" ht="13.8" x14ac:dyDescent="0.25">
      <c r="A23" s="420"/>
      <c r="B23" s="139"/>
      <c r="C23" s="139"/>
      <c r="D23" s="139"/>
      <c r="E23" s="139"/>
      <c r="F23" s="139"/>
      <c r="G23" s="139"/>
      <c r="H23" s="139"/>
      <c r="I23" s="423"/>
      <c r="J23" s="424"/>
      <c r="K23" s="424"/>
      <c r="L23" s="424"/>
      <c r="M23" s="150"/>
      <c r="N23" s="139"/>
      <c r="O23" s="401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5"/>
      <c r="AA23" s="385"/>
      <c r="AB23" s="385"/>
      <c r="AC23" s="385"/>
      <c r="AD23" s="385"/>
      <c r="AE23" s="385"/>
      <c r="AF23" s="385"/>
      <c r="AG23" s="385"/>
      <c r="AH23" s="385"/>
      <c r="AI23" s="385"/>
      <c r="AJ23" s="385"/>
      <c r="AK23" s="385"/>
      <c r="AL23" s="385"/>
      <c r="AM23" s="385"/>
      <c r="AN23" s="385"/>
      <c r="AO23" s="385"/>
      <c r="AP23" s="385"/>
      <c r="AQ23" s="385"/>
      <c r="AR23" s="385"/>
      <c r="AS23" s="385"/>
      <c r="AT23" s="385"/>
      <c r="AU23" s="385"/>
      <c r="AV23" s="385"/>
      <c r="AW23" s="385"/>
      <c r="AX23" s="385"/>
    </row>
    <row r="24" spans="1:50" ht="13.8" x14ac:dyDescent="0.25">
      <c r="A24" s="396" t="s">
        <v>346</v>
      </c>
      <c r="B24" s="425"/>
      <c r="C24" s="426"/>
      <c r="D24" s="427"/>
      <c r="E24" s="428"/>
      <c r="F24" s="152"/>
      <c r="G24" s="139"/>
      <c r="H24" s="139"/>
      <c r="I24" s="611" t="str">
        <f>IF(OR(AND(Sheet1!D$247=2,Sheet1!D$200&gt;=2),AND(Sheet1!D$247=1,Sheet1!D$200&gt;=3),AND(OR(Sheet1!D$247=3,Sheet1!D$247=4),Sheet1!D$200&gt;=4)), VLOOKUP(Sheet1!D$247,Sheet1!A$255:B$259,2), VLOOKUP(Sheet1!D$247,Sheet1!A$247:B$251,2))</f>
        <v>Replacement.</v>
      </c>
      <c r="J24" s="612"/>
      <c r="K24" s="612"/>
      <c r="L24" s="613"/>
      <c r="M24" s="429"/>
      <c r="N24" s="430"/>
      <c r="O24" s="431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/>
      <c r="AA24" s="385"/>
      <c r="AB24" s="385"/>
      <c r="AC24" s="385"/>
      <c r="AD24" s="385"/>
      <c r="AE24" s="385"/>
      <c r="AF24" s="385"/>
      <c r="AG24" s="385"/>
      <c r="AH24" s="385"/>
      <c r="AI24" s="385"/>
      <c r="AJ24" s="385"/>
      <c r="AK24" s="385"/>
      <c r="AL24" s="385"/>
      <c r="AM24" s="385"/>
      <c r="AN24" s="385"/>
      <c r="AO24" s="385"/>
      <c r="AP24" s="385"/>
      <c r="AQ24" s="385"/>
      <c r="AR24" s="385"/>
      <c r="AS24" s="385"/>
      <c r="AT24" s="385"/>
      <c r="AU24" s="385"/>
      <c r="AV24" s="385"/>
      <c r="AW24" s="385"/>
      <c r="AX24" s="385"/>
    </row>
    <row r="25" spans="1:50" ht="13.8" x14ac:dyDescent="0.25">
      <c r="A25" s="396"/>
      <c r="B25" s="425"/>
      <c r="C25" s="426"/>
      <c r="D25" s="427"/>
      <c r="E25" s="428"/>
      <c r="F25" s="152"/>
      <c r="G25" s="139"/>
      <c r="H25" s="432"/>
      <c r="I25" s="614"/>
      <c r="J25" s="615"/>
      <c r="K25" s="615"/>
      <c r="L25" s="616"/>
      <c r="M25" s="429"/>
      <c r="N25" s="430"/>
      <c r="O25" s="431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  <c r="AC25" s="385"/>
      <c r="AD25" s="385"/>
      <c r="AE25" s="385"/>
      <c r="AF25" s="385"/>
      <c r="AG25" s="385"/>
      <c r="AH25" s="385"/>
      <c r="AI25" s="385"/>
      <c r="AJ25" s="385"/>
      <c r="AK25" s="385"/>
      <c r="AL25" s="385"/>
      <c r="AM25" s="385"/>
      <c r="AN25" s="385"/>
      <c r="AO25" s="385"/>
      <c r="AP25" s="385"/>
      <c r="AQ25" s="385"/>
      <c r="AR25" s="385"/>
      <c r="AS25" s="385"/>
      <c r="AT25" s="385"/>
      <c r="AU25" s="385"/>
      <c r="AV25" s="385"/>
      <c r="AW25" s="385"/>
      <c r="AX25" s="385"/>
    </row>
    <row r="26" spans="1:50" ht="14.4" thickBot="1" x14ac:dyDescent="0.3">
      <c r="A26" s="433"/>
      <c r="B26" s="434"/>
      <c r="C26" s="435"/>
      <c r="D26" s="435"/>
      <c r="E26" s="436"/>
      <c r="F26" s="437"/>
      <c r="G26" s="438"/>
      <c r="H26" s="438"/>
      <c r="I26" s="436"/>
      <c r="J26" s="439"/>
      <c r="K26" s="440"/>
      <c r="L26" s="440"/>
      <c r="M26" s="440"/>
      <c r="N26" s="436"/>
      <c r="O26" s="441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  <c r="AA26" s="385"/>
      <c r="AB26" s="385"/>
      <c r="AC26" s="385"/>
      <c r="AD26" s="385"/>
      <c r="AE26" s="385"/>
      <c r="AF26" s="385"/>
      <c r="AG26" s="385"/>
      <c r="AH26" s="385"/>
      <c r="AI26" s="385"/>
      <c r="AJ26" s="385"/>
      <c r="AK26" s="385"/>
      <c r="AL26" s="385"/>
      <c r="AM26" s="385"/>
      <c r="AN26" s="385"/>
      <c r="AO26" s="385"/>
      <c r="AP26" s="385"/>
      <c r="AQ26" s="385"/>
      <c r="AR26" s="385"/>
      <c r="AS26" s="385"/>
      <c r="AT26" s="385"/>
      <c r="AU26" s="385"/>
      <c r="AV26" s="385"/>
      <c r="AW26" s="385"/>
      <c r="AX26" s="385"/>
    </row>
    <row r="27" spans="1:50" ht="10.8" hidden="1" thickTop="1" x14ac:dyDescent="0.2">
      <c r="A27" s="385"/>
      <c r="B27" s="385"/>
      <c r="C27" s="385"/>
      <c r="D27" s="385"/>
      <c r="E27" s="385"/>
      <c r="F27" s="385"/>
      <c r="G27" s="385"/>
      <c r="H27" s="385"/>
      <c r="I27" s="442"/>
      <c r="J27" s="442"/>
      <c r="K27" s="442"/>
      <c r="L27" s="442"/>
      <c r="M27" s="442"/>
      <c r="N27" s="442"/>
      <c r="O27" s="443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C27" s="385"/>
      <c r="AD27" s="385"/>
      <c r="AE27" s="385"/>
      <c r="AF27" s="385"/>
      <c r="AG27" s="385"/>
      <c r="AH27" s="385"/>
      <c r="AI27" s="385"/>
      <c r="AJ27" s="385"/>
      <c r="AK27" s="385"/>
      <c r="AL27" s="385"/>
      <c r="AM27" s="385"/>
      <c r="AN27" s="385"/>
      <c r="AO27" s="385"/>
      <c r="AP27" s="385"/>
      <c r="AQ27" s="385"/>
      <c r="AR27" s="385"/>
      <c r="AS27" s="385"/>
      <c r="AT27" s="385"/>
      <c r="AU27" s="385"/>
      <c r="AV27" s="385"/>
      <c r="AW27" s="385"/>
      <c r="AX27" s="385"/>
    </row>
    <row r="28" spans="1:50" ht="10.8" hidden="1" thickTop="1" x14ac:dyDescent="0.2">
      <c r="A28" s="385"/>
      <c r="B28" s="385"/>
      <c r="C28" s="385"/>
      <c r="D28" s="385"/>
      <c r="E28" s="385"/>
      <c r="F28" s="385"/>
      <c r="G28" s="385"/>
      <c r="H28" s="385"/>
      <c r="I28" s="442"/>
      <c r="J28" s="442"/>
      <c r="K28" s="442"/>
      <c r="L28" s="442"/>
      <c r="M28" s="442"/>
      <c r="N28" s="442"/>
      <c r="O28" s="443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  <c r="AA28" s="385"/>
      <c r="AB28" s="385"/>
      <c r="AC28" s="385"/>
      <c r="AD28" s="385"/>
      <c r="AE28" s="385"/>
      <c r="AF28" s="385"/>
      <c r="AG28" s="385"/>
      <c r="AH28" s="385"/>
      <c r="AI28" s="385"/>
      <c r="AJ28" s="385"/>
      <c r="AK28" s="385"/>
      <c r="AL28" s="385"/>
      <c r="AM28" s="385"/>
      <c r="AN28" s="385"/>
      <c r="AO28" s="385"/>
      <c r="AP28" s="385"/>
      <c r="AQ28" s="385"/>
      <c r="AR28" s="385"/>
      <c r="AS28" s="385"/>
      <c r="AT28" s="385"/>
      <c r="AU28" s="385"/>
      <c r="AV28" s="385"/>
      <c r="AW28" s="385"/>
      <c r="AX28" s="385"/>
    </row>
    <row r="29" spans="1:50" ht="10.8" hidden="1" thickTop="1" x14ac:dyDescent="0.2">
      <c r="A29" s="385"/>
      <c r="B29" s="385"/>
      <c r="C29" s="385"/>
      <c r="D29" s="385"/>
      <c r="E29" s="385"/>
      <c r="F29" s="385"/>
      <c r="G29" s="385"/>
      <c r="H29" s="385"/>
      <c r="I29" s="442"/>
      <c r="J29" s="442"/>
      <c r="K29" s="442"/>
      <c r="L29" s="442"/>
      <c r="M29" s="442"/>
      <c r="N29" s="442"/>
      <c r="O29" s="443"/>
      <c r="P29" s="385"/>
      <c r="Q29" s="385"/>
      <c r="R29" s="385"/>
      <c r="S29" s="385"/>
      <c r="T29" s="385"/>
      <c r="U29" s="385"/>
      <c r="V29" s="385"/>
      <c r="W29" s="385"/>
      <c r="X29" s="385"/>
      <c r="Y29" s="385"/>
      <c r="Z29" s="385"/>
      <c r="AA29" s="385"/>
      <c r="AB29" s="385"/>
      <c r="AC29" s="385"/>
      <c r="AD29" s="385"/>
      <c r="AE29" s="385"/>
      <c r="AF29" s="385"/>
      <c r="AG29" s="385"/>
      <c r="AH29" s="385"/>
      <c r="AI29" s="385"/>
      <c r="AJ29" s="385"/>
      <c r="AK29" s="385"/>
      <c r="AL29" s="385"/>
      <c r="AM29" s="385"/>
      <c r="AN29" s="385"/>
      <c r="AO29" s="385"/>
      <c r="AP29" s="385"/>
      <c r="AQ29" s="385"/>
      <c r="AR29" s="385"/>
      <c r="AS29" s="385"/>
      <c r="AT29" s="385"/>
      <c r="AU29" s="385"/>
      <c r="AV29" s="385"/>
      <c r="AW29" s="385"/>
      <c r="AX29" s="385"/>
    </row>
    <row r="30" spans="1:50" ht="10.8" hidden="1" thickTop="1" x14ac:dyDescent="0.2">
      <c r="A30" s="385"/>
      <c r="B30" s="385"/>
      <c r="C30" s="385"/>
      <c r="D30" s="385"/>
      <c r="E30" s="385"/>
      <c r="F30" s="385"/>
      <c r="G30" s="385"/>
      <c r="H30" s="385"/>
      <c r="I30" s="442"/>
      <c r="J30" s="442"/>
      <c r="K30" s="442"/>
      <c r="L30" s="442"/>
      <c r="M30" s="442"/>
      <c r="N30" s="442"/>
      <c r="O30" s="443"/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385"/>
      <c r="AA30" s="385"/>
      <c r="AB30" s="385"/>
      <c r="AC30" s="385"/>
      <c r="AD30" s="385"/>
      <c r="AE30" s="385"/>
      <c r="AF30" s="385"/>
      <c r="AG30" s="385"/>
      <c r="AH30" s="385"/>
      <c r="AI30" s="385"/>
      <c r="AJ30" s="385"/>
      <c r="AK30" s="385"/>
      <c r="AL30" s="385"/>
      <c r="AM30" s="385"/>
      <c r="AN30" s="385"/>
      <c r="AO30" s="385"/>
      <c r="AP30" s="385"/>
      <c r="AQ30" s="385"/>
      <c r="AR30" s="385"/>
      <c r="AS30" s="385"/>
      <c r="AT30" s="385"/>
      <c r="AU30" s="385"/>
      <c r="AV30" s="385"/>
      <c r="AW30" s="385"/>
      <c r="AX30" s="385"/>
    </row>
    <row r="31" spans="1:50" ht="10.8" hidden="1" thickTop="1" x14ac:dyDescent="0.2">
      <c r="A31" s="385"/>
      <c r="B31" s="385"/>
      <c r="C31" s="385"/>
      <c r="D31" s="385"/>
      <c r="E31" s="385"/>
      <c r="F31" s="385"/>
      <c r="G31" s="385"/>
      <c r="H31" s="385"/>
      <c r="I31" s="442"/>
      <c r="J31" s="442"/>
      <c r="K31" s="442"/>
      <c r="L31" s="442"/>
      <c r="M31" s="442"/>
      <c r="N31" s="442"/>
      <c r="O31" s="443"/>
      <c r="P31" s="385"/>
      <c r="Q31" s="385"/>
      <c r="R31" s="385"/>
      <c r="S31" s="385"/>
      <c r="T31" s="385"/>
      <c r="U31" s="385"/>
      <c r="V31" s="385"/>
      <c r="W31" s="385"/>
      <c r="X31" s="385"/>
      <c r="Y31" s="385"/>
      <c r="Z31" s="385"/>
      <c r="AA31" s="385"/>
      <c r="AB31" s="385"/>
      <c r="AC31" s="385"/>
      <c r="AD31" s="385"/>
      <c r="AE31" s="385"/>
      <c r="AF31" s="385"/>
      <c r="AG31" s="385"/>
      <c r="AH31" s="385"/>
      <c r="AI31" s="385"/>
      <c r="AJ31" s="385"/>
      <c r="AK31" s="385"/>
      <c r="AL31" s="385"/>
      <c r="AM31" s="385"/>
      <c r="AN31" s="385"/>
      <c r="AO31" s="385"/>
      <c r="AP31" s="385"/>
      <c r="AQ31" s="385"/>
      <c r="AR31" s="385"/>
      <c r="AS31" s="385"/>
      <c r="AT31" s="385"/>
      <c r="AU31" s="385"/>
      <c r="AV31" s="385"/>
      <c r="AW31" s="385"/>
      <c r="AX31" s="385"/>
    </row>
    <row r="32" spans="1:50" ht="10.8" hidden="1" thickTop="1" x14ac:dyDescent="0.2">
      <c r="A32" s="385"/>
      <c r="B32" s="385"/>
      <c r="C32" s="385"/>
      <c r="D32" s="385"/>
      <c r="E32" s="385"/>
      <c r="F32" s="385"/>
      <c r="G32" s="385"/>
      <c r="H32" s="385"/>
      <c r="I32" s="442"/>
      <c r="J32" s="442"/>
      <c r="K32" s="442"/>
      <c r="L32" s="442"/>
      <c r="M32" s="442"/>
      <c r="N32" s="442"/>
      <c r="O32" s="443"/>
      <c r="P32" s="385"/>
      <c r="Q32" s="385"/>
      <c r="R32" s="385"/>
      <c r="S32" s="385"/>
      <c r="T32" s="385"/>
      <c r="U32" s="385"/>
      <c r="V32" s="385"/>
      <c r="W32" s="385"/>
      <c r="X32" s="385"/>
      <c r="Y32" s="385"/>
      <c r="Z32" s="385"/>
      <c r="AA32" s="385"/>
      <c r="AB32" s="385"/>
      <c r="AC32" s="385"/>
      <c r="AD32" s="385"/>
      <c r="AE32" s="385"/>
      <c r="AF32" s="385"/>
      <c r="AG32" s="385"/>
      <c r="AH32" s="385"/>
      <c r="AI32" s="385"/>
      <c r="AJ32" s="385"/>
      <c r="AK32" s="385"/>
      <c r="AL32" s="385"/>
      <c r="AM32" s="385"/>
      <c r="AN32" s="385"/>
      <c r="AO32" s="385"/>
      <c r="AP32" s="385"/>
      <c r="AQ32" s="385"/>
      <c r="AR32" s="385"/>
      <c r="AS32" s="385"/>
      <c r="AT32" s="385"/>
      <c r="AU32" s="385"/>
      <c r="AV32" s="385"/>
      <c r="AW32" s="385"/>
      <c r="AX32" s="385"/>
    </row>
    <row r="33" spans="1:50" ht="10.8" hidden="1" thickTop="1" x14ac:dyDescent="0.2">
      <c r="A33" s="385"/>
      <c r="B33" s="385"/>
      <c r="C33" s="385"/>
      <c r="D33" s="385"/>
      <c r="E33" s="385"/>
      <c r="F33" s="385"/>
      <c r="G33" s="385"/>
      <c r="H33" s="385"/>
      <c r="I33" s="442"/>
      <c r="J33" s="442"/>
      <c r="K33" s="442"/>
      <c r="L33" s="442"/>
      <c r="M33" s="442"/>
      <c r="N33" s="442"/>
      <c r="O33" s="443"/>
      <c r="P33" s="385"/>
      <c r="Q33" s="385"/>
      <c r="R33" s="385"/>
      <c r="S33" s="385"/>
      <c r="T33" s="385"/>
      <c r="U33" s="385"/>
      <c r="V33" s="385"/>
      <c r="W33" s="385"/>
      <c r="X33" s="385"/>
      <c r="Y33" s="385"/>
      <c r="Z33" s="385"/>
      <c r="AA33" s="385"/>
      <c r="AB33" s="385"/>
      <c r="AC33" s="385"/>
      <c r="AD33" s="385"/>
      <c r="AE33" s="385"/>
      <c r="AF33" s="385"/>
      <c r="AG33" s="385"/>
      <c r="AH33" s="385"/>
      <c r="AI33" s="385"/>
      <c r="AJ33" s="385"/>
      <c r="AK33" s="385"/>
      <c r="AL33" s="385"/>
      <c r="AM33" s="385"/>
      <c r="AN33" s="385"/>
      <c r="AO33" s="385"/>
      <c r="AP33" s="385"/>
      <c r="AQ33" s="385"/>
      <c r="AR33" s="385"/>
      <c r="AS33" s="385"/>
      <c r="AT33" s="385"/>
      <c r="AU33" s="385"/>
      <c r="AV33" s="385"/>
      <c r="AW33" s="385"/>
      <c r="AX33" s="385"/>
    </row>
    <row r="34" spans="1:50" ht="10.8" hidden="1" thickTop="1" x14ac:dyDescent="0.2">
      <c r="A34" s="385"/>
      <c r="B34" s="385"/>
      <c r="C34" s="385"/>
      <c r="D34" s="385"/>
      <c r="E34" s="385"/>
      <c r="F34" s="385"/>
      <c r="G34" s="385"/>
      <c r="H34" s="385"/>
      <c r="I34" s="442"/>
      <c r="J34" s="442"/>
      <c r="K34" s="442"/>
      <c r="L34" s="442"/>
      <c r="M34" s="442"/>
      <c r="N34" s="442"/>
      <c r="O34" s="443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385"/>
      <c r="AA34" s="385"/>
      <c r="AB34" s="385"/>
      <c r="AC34" s="385"/>
      <c r="AD34" s="385"/>
      <c r="AE34" s="385"/>
      <c r="AF34" s="385"/>
      <c r="AG34" s="385"/>
      <c r="AH34" s="385"/>
      <c r="AI34" s="385"/>
      <c r="AJ34" s="385"/>
      <c r="AK34" s="385"/>
      <c r="AL34" s="385"/>
      <c r="AM34" s="385"/>
      <c r="AN34" s="385"/>
      <c r="AO34" s="385"/>
      <c r="AP34" s="385"/>
      <c r="AQ34" s="385"/>
      <c r="AR34" s="385"/>
      <c r="AS34" s="385"/>
      <c r="AT34" s="385"/>
      <c r="AU34" s="385"/>
      <c r="AV34" s="385"/>
      <c r="AW34" s="385"/>
      <c r="AX34" s="385"/>
    </row>
    <row r="35" spans="1:50" ht="10.8" hidden="1" thickTop="1" x14ac:dyDescent="0.2">
      <c r="A35" s="385"/>
      <c r="B35" s="385"/>
      <c r="C35" s="385"/>
      <c r="D35" s="385"/>
      <c r="E35" s="385"/>
      <c r="F35" s="385"/>
      <c r="G35" s="385"/>
      <c r="H35" s="385"/>
      <c r="I35" s="442"/>
      <c r="J35" s="442"/>
      <c r="K35" s="442"/>
      <c r="L35" s="442"/>
      <c r="M35" s="442"/>
      <c r="N35" s="442"/>
      <c r="O35" s="443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/>
      <c r="AA35" s="385"/>
      <c r="AB35" s="385"/>
      <c r="AC35" s="385"/>
      <c r="AD35" s="385"/>
      <c r="AE35" s="385"/>
      <c r="AF35" s="385"/>
      <c r="AG35" s="385"/>
      <c r="AH35" s="385"/>
      <c r="AI35" s="385"/>
      <c r="AJ35" s="385"/>
      <c r="AK35" s="385"/>
      <c r="AL35" s="385"/>
      <c r="AM35" s="385"/>
      <c r="AN35" s="385"/>
      <c r="AO35" s="385"/>
      <c r="AP35" s="385"/>
      <c r="AQ35" s="385"/>
      <c r="AR35" s="385"/>
      <c r="AS35" s="385"/>
      <c r="AT35" s="385"/>
      <c r="AU35" s="385"/>
      <c r="AV35" s="385"/>
      <c r="AW35" s="385"/>
      <c r="AX35" s="385"/>
    </row>
    <row r="36" spans="1:50" ht="10.8" hidden="1" thickTop="1" x14ac:dyDescent="0.2">
      <c r="A36" s="385"/>
      <c r="B36" s="385"/>
      <c r="C36" s="385"/>
      <c r="D36" s="385"/>
      <c r="E36" s="385"/>
      <c r="F36" s="385"/>
      <c r="G36" s="385"/>
      <c r="H36" s="385"/>
      <c r="I36" s="442"/>
      <c r="J36" s="442"/>
      <c r="K36" s="442"/>
      <c r="L36" s="442"/>
      <c r="M36" s="442"/>
      <c r="N36" s="442"/>
      <c r="O36" s="443"/>
      <c r="P36" s="385"/>
      <c r="Q36" s="385"/>
      <c r="R36" s="385"/>
      <c r="S36" s="385"/>
      <c r="T36" s="385"/>
      <c r="U36" s="385"/>
      <c r="V36" s="385"/>
      <c r="W36" s="385"/>
      <c r="X36" s="385"/>
      <c r="Y36" s="385"/>
      <c r="Z36" s="385"/>
      <c r="AA36" s="385"/>
      <c r="AB36" s="385"/>
      <c r="AC36" s="385"/>
      <c r="AD36" s="385"/>
      <c r="AE36" s="385"/>
      <c r="AF36" s="385"/>
      <c r="AG36" s="385"/>
      <c r="AH36" s="385"/>
      <c r="AI36" s="385"/>
      <c r="AJ36" s="385"/>
      <c r="AK36" s="385"/>
      <c r="AL36" s="385"/>
      <c r="AM36" s="385"/>
      <c r="AN36" s="385"/>
      <c r="AO36" s="385"/>
      <c r="AP36" s="385"/>
      <c r="AQ36" s="385"/>
      <c r="AR36" s="385"/>
      <c r="AS36" s="385"/>
      <c r="AT36" s="385"/>
      <c r="AU36" s="385"/>
      <c r="AV36" s="385"/>
      <c r="AW36" s="385"/>
      <c r="AX36" s="385"/>
    </row>
    <row r="37" spans="1:50" ht="10.8" hidden="1" thickTop="1" x14ac:dyDescent="0.2">
      <c r="A37" s="385"/>
      <c r="B37" s="444"/>
      <c r="C37" s="385"/>
      <c r="D37" s="385"/>
      <c r="E37" s="385"/>
      <c r="F37" s="385"/>
      <c r="G37" s="385"/>
      <c r="H37" s="385"/>
      <c r="I37" s="442"/>
      <c r="J37" s="442"/>
      <c r="K37" s="442"/>
      <c r="L37" s="442"/>
      <c r="M37" s="442"/>
      <c r="N37" s="442"/>
      <c r="O37" s="443"/>
      <c r="P37" s="385"/>
      <c r="Q37" s="385"/>
      <c r="R37" s="385"/>
      <c r="S37" s="385"/>
      <c r="T37" s="385"/>
      <c r="U37" s="385"/>
      <c r="V37" s="385"/>
      <c r="W37" s="385"/>
      <c r="X37" s="385"/>
      <c r="Y37" s="385"/>
      <c r="Z37" s="385"/>
      <c r="AA37" s="385"/>
      <c r="AB37" s="385"/>
      <c r="AC37" s="385"/>
      <c r="AD37" s="385"/>
      <c r="AE37" s="385"/>
      <c r="AF37" s="385"/>
      <c r="AG37" s="385"/>
      <c r="AH37" s="385"/>
      <c r="AI37" s="385"/>
      <c r="AJ37" s="385"/>
      <c r="AK37" s="385"/>
      <c r="AL37" s="385"/>
      <c r="AM37" s="385"/>
      <c r="AN37" s="385"/>
      <c r="AO37" s="385"/>
      <c r="AP37" s="385"/>
      <c r="AQ37" s="385"/>
      <c r="AR37" s="385"/>
      <c r="AS37" s="385"/>
      <c r="AT37" s="385"/>
      <c r="AU37" s="385"/>
      <c r="AV37" s="385"/>
      <c r="AW37" s="385"/>
      <c r="AX37" s="385"/>
    </row>
    <row r="38" spans="1:50" ht="10.8" hidden="1" thickTop="1" x14ac:dyDescent="0.2">
      <c r="A38" s="385"/>
      <c r="B38" s="385"/>
      <c r="C38" s="385"/>
      <c r="D38" s="385"/>
      <c r="E38" s="385"/>
      <c r="F38" s="385"/>
      <c r="G38" s="385"/>
      <c r="H38" s="385"/>
      <c r="I38" s="442"/>
      <c r="J38" s="442"/>
      <c r="K38" s="442"/>
      <c r="L38" s="442"/>
      <c r="M38" s="442"/>
      <c r="N38" s="442"/>
      <c r="O38" s="443"/>
      <c r="P38" s="385"/>
      <c r="Q38" s="385"/>
      <c r="R38" s="385"/>
      <c r="S38" s="385"/>
      <c r="T38" s="385"/>
      <c r="U38" s="385"/>
      <c r="V38" s="385"/>
      <c r="W38" s="385"/>
      <c r="X38" s="385"/>
      <c r="Y38" s="385"/>
      <c r="Z38" s="385"/>
      <c r="AA38" s="385"/>
      <c r="AB38" s="385"/>
      <c r="AC38" s="385"/>
      <c r="AD38" s="385"/>
      <c r="AE38" s="385"/>
      <c r="AF38" s="385"/>
      <c r="AG38" s="385"/>
      <c r="AH38" s="385"/>
      <c r="AI38" s="385"/>
      <c r="AJ38" s="385"/>
      <c r="AK38" s="385"/>
      <c r="AL38" s="385"/>
      <c r="AM38" s="385"/>
      <c r="AN38" s="385"/>
      <c r="AO38" s="385"/>
      <c r="AP38" s="385"/>
      <c r="AQ38" s="385"/>
      <c r="AR38" s="385"/>
      <c r="AS38" s="385"/>
      <c r="AT38" s="385"/>
      <c r="AU38" s="385"/>
      <c r="AV38" s="385"/>
      <c r="AW38" s="385"/>
      <c r="AX38" s="385"/>
    </row>
    <row r="39" spans="1:50" ht="10.8" hidden="1" thickTop="1" x14ac:dyDescent="0.2">
      <c r="A39" s="385"/>
      <c r="B39" s="385"/>
      <c r="C39" s="385"/>
      <c r="D39" s="445"/>
      <c r="E39" s="385"/>
      <c r="F39" s="385"/>
      <c r="G39" s="445"/>
      <c r="H39" s="385"/>
      <c r="I39" s="442"/>
      <c r="J39" s="442"/>
      <c r="K39" s="442"/>
      <c r="L39" s="442"/>
      <c r="M39" s="442"/>
      <c r="N39" s="442"/>
      <c r="O39" s="443"/>
      <c r="P39" s="385"/>
      <c r="Q39" s="385"/>
      <c r="R39" s="385"/>
      <c r="S39" s="385"/>
      <c r="T39" s="385"/>
      <c r="U39" s="385"/>
      <c r="V39" s="385"/>
      <c r="W39" s="385"/>
      <c r="X39" s="385"/>
      <c r="Y39" s="385"/>
      <c r="Z39" s="385"/>
      <c r="AA39" s="385"/>
      <c r="AB39" s="385"/>
      <c r="AC39" s="385"/>
      <c r="AD39" s="385"/>
      <c r="AE39" s="385"/>
      <c r="AF39" s="385"/>
      <c r="AG39" s="385"/>
      <c r="AH39" s="385"/>
      <c r="AI39" s="385"/>
      <c r="AJ39" s="385"/>
      <c r="AK39" s="385"/>
      <c r="AL39" s="385"/>
      <c r="AM39" s="385"/>
      <c r="AN39" s="385"/>
      <c r="AO39" s="385"/>
      <c r="AP39" s="385"/>
      <c r="AQ39" s="385"/>
      <c r="AR39" s="385"/>
      <c r="AS39" s="385"/>
      <c r="AT39" s="385"/>
      <c r="AU39" s="385"/>
      <c r="AV39" s="385"/>
      <c r="AW39" s="385"/>
      <c r="AX39" s="385"/>
    </row>
    <row r="40" spans="1:50" ht="10.8" hidden="1" thickTop="1" x14ac:dyDescent="0.2">
      <c r="A40" s="385"/>
      <c r="B40" s="385"/>
      <c r="C40" s="385"/>
      <c r="D40" s="385"/>
      <c r="E40" s="385"/>
      <c r="F40" s="385"/>
      <c r="G40" s="385"/>
      <c r="H40" s="385"/>
      <c r="I40" s="442"/>
      <c r="J40" s="442"/>
      <c r="K40" s="442"/>
      <c r="L40" s="442"/>
      <c r="M40" s="442"/>
      <c r="N40" s="442"/>
      <c r="O40" s="443"/>
      <c r="P40" s="385"/>
      <c r="Q40" s="385"/>
      <c r="R40" s="385"/>
      <c r="S40" s="385"/>
      <c r="T40" s="385"/>
      <c r="U40" s="385"/>
      <c r="V40" s="385"/>
      <c r="W40" s="385"/>
      <c r="X40" s="385"/>
      <c r="Y40" s="385"/>
      <c r="Z40" s="385"/>
      <c r="AA40" s="385"/>
      <c r="AB40" s="385"/>
      <c r="AC40" s="385"/>
      <c r="AD40" s="385"/>
      <c r="AE40" s="385"/>
      <c r="AF40" s="385"/>
      <c r="AG40" s="385"/>
      <c r="AH40" s="385"/>
      <c r="AI40" s="385"/>
      <c r="AJ40" s="385"/>
      <c r="AK40" s="385"/>
      <c r="AL40" s="385"/>
      <c r="AM40" s="385"/>
      <c r="AN40" s="385"/>
      <c r="AO40" s="385"/>
      <c r="AP40" s="385"/>
      <c r="AQ40" s="385"/>
      <c r="AR40" s="385"/>
      <c r="AS40" s="385"/>
      <c r="AT40" s="385"/>
      <c r="AU40" s="385"/>
      <c r="AV40" s="385"/>
      <c r="AW40" s="385"/>
      <c r="AX40" s="385"/>
    </row>
    <row r="41" spans="1:50" ht="10.8" hidden="1" thickTop="1" x14ac:dyDescent="0.2">
      <c r="A41" s="385"/>
      <c r="B41" s="385"/>
      <c r="C41" s="385"/>
      <c r="D41" s="385"/>
      <c r="E41" s="385"/>
      <c r="F41" s="385"/>
      <c r="G41" s="385"/>
      <c r="H41" s="385"/>
      <c r="I41" s="442"/>
      <c r="J41" s="442"/>
      <c r="K41" s="442"/>
      <c r="L41" s="442"/>
      <c r="M41" s="442"/>
      <c r="N41" s="442"/>
      <c r="O41" s="443"/>
      <c r="P41" s="385"/>
      <c r="Q41" s="385"/>
      <c r="R41" s="385"/>
      <c r="S41" s="385"/>
      <c r="T41" s="385"/>
      <c r="U41" s="385"/>
      <c r="V41" s="385"/>
      <c r="W41" s="385"/>
      <c r="X41" s="385"/>
      <c r="Y41" s="385"/>
      <c r="Z41" s="385"/>
      <c r="AA41" s="385"/>
      <c r="AB41" s="385"/>
      <c r="AC41" s="385"/>
      <c r="AD41" s="385"/>
      <c r="AE41" s="385"/>
      <c r="AF41" s="385"/>
      <c r="AG41" s="385"/>
      <c r="AH41" s="385"/>
      <c r="AI41" s="385"/>
      <c r="AJ41" s="385"/>
      <c r="AK41" s="385"/>
      <c r="AL41" s="385"/>
      <c r="AM41" s="385"/>
      <c r="AN41" s="385"/>
      <c r="AO41" s="385"/>
      <c r="AP41" s="385"/>
      <c r="AQ41" s="385"/>
      <c r="AR41" s="385"/>
      <c r="AS41" s="385"/>
      <c r="AT41" s="385"/>
      <c r="AU41" s="385"/>
      <c r="AV41" s="385"/>
      <c r="AW41" s="385"/>
      <c r="AX41" s="385"/>
    </row>
    <row r="42" spans="1:50" ht="10.8" hidden="1" thickTop="1" x14ac:dyDescent="0.2">
      <c r="A42" s="385"/>
      <c r="B42" s="385"/>
      <c r="C42" s="385"/>
      <c r="D42" s="385"/>
      <c r="E42" s="385"/>
      <c r="F42" s="385"/>
      <c r="G42" s="385"/>
      <c r="H42" s="385"/>
      <c r="I42" s="442"/>
      <c r="J42" s="442"/>
      <c r="K42" s="442"/>
      <c r="L42" s="442"/>
      <c r="M42" s="442"/>
      <c r="N42" s="442"/>
      <c r="O42" s="443"/>
      <c r="P42" s="385"/>
      <c r="Q42" s="385"/>
      <c r="R42" s="385"/>
      <c r="S42" s="385"/>
      <c r="T42" s="385"/>
      <c r="U42" s="385"/>
      <c r="V42" s="385"/>
      <c r="W42" s="385"/>
      <c r="X42" s="385"/>
      <c r="Y42" s="385"/>
      <c r="Z42" s="385"/>
      <c r="AA42" s="385"/>
      <c r="AB42" s="385"/>
      <c r="AC42" s="385"/>
      <c r="AD42" s="385"/>
      <c r="AE42" s="385"/>
      <c r="AF42" s="385"/>
      <c r="AG42" s="385"/>
      <c r="AH42" s="385"/>
      <c r="AI42" s="385"/>
      <c r="AJ42" s="385"/>
      <c r="AK42" s="385"/>
      <c r="AL42" s="385"/>
      <c r="AM42" s="385"/>
      <c r="AN42" s="385"/>
      <c r="AO42" s="385"/>
      <c r="AP42" s="385"/>
      <c r="AQ42" s="385"/>
      <c r="AR42" s="385"/>
      <c r="AS42" s="385"/>
      <c r="AT42" s="385"/>
      <c r="AU42" s="385"/>
      <c r="AV42" s="385"/>
      <c r="AW42" s="385"/>
      <c r="AX42" s="385"/>
    </row>
    <row r="43" spans="1:50" ht="10.8" hidden="1" thickTop="1" x14ac:dyDescent="0.2">
      <c r="A43" s="385"/>
      <c r="B43" s="385"/>
      <c r="C43" s="385"/>
      <c r="D43" s="385"/>
      <c r="E43" s="385"/>
      <c r="F43" s="385"/>
      <c r="G43" s="385"/>
      <c r="H43" s="385"/>
      <c r="I43" s="442"/>
      <c r="J43" s="442"/>
      <c r="K43" s="442"/>
      <c r="L43" s="442"/>
      <c r="M43" s="442"/>
      <c r="N43" s="442"/>
      <c r="O43" s="443"/>
      <c r="P43" s="385"/>
      <c r="Q43" s="385"/>
      <c r="R43" s="385"/>
      <c r="S43" s="385"/>
      <c r="T43" s="385"/>
      <c r="U43" s="385"/>
      <c r="V43" s="385"/>
      <c r="W43" s="385"/>
      <c r="X43" s="385"/>
      <c r="Y43" s="385"/>
      <c r="Z43" s="385"/>
      <c r="AA43" s="385"/>
      <c r="AB43" s="385"/>
      <c r="AC43" s="385"/>
      <c r="AD43" s="385"/>
      <c r="AE43" s="385"/>
      <c r="AF43" s="385"/>
      <c r="AG43" s="385"/>
      <c r="AH43" s="385"/>
      <c r="AI43" s="385"/>
      <c r="AJ43" s="385"/>
      <c r="AK43" s="385"/>
      <c r="AL43" s="385"/>
      <c r="AM43" s="385"/>
      <c r="AN43" s="385"/>
      <c r="AO43" s="385"/>
      <c r="AP43" s="385"/>
      <c r="AQ43" s="385"/>
      <c r="AR43" s="385"/>
      <c r="AS43" s="385"/>
      <c r="AT43" s="385"/>
      <c r="AU43" s="385"/>
      <c r="AV43" s="385"/>
      <c r="AW43" s="385"/>
      <c r="AX43" s="385"/>
    </row>
    <row r="44" spans="1:50" ht="10.8" hidden="1" thickTop="1" x14ac:dyDescent="0.2">
      <c r="A44" s="385"/>
      <c r="B44" s="385"/>
      <c r="C44" s="385"/>
      <c r="D44" s="385"/>
      <c r="E44" s="385"/>
      <c r="F44" s="385"/>
      <c r="G44" s="385"/>
      <c r="H44" s="385"/>
      <c r="I44" s="442"/>
      <c r="J44" s="442"/>
      <c r="K44" s="442"/>
      <c r="L44" s="442"/>
      <c r="M44" s="442"/>
      <c r="N44" s="442"/>
      <c r="O44" s="443"/>
      <c r="P44" s="385"/>
      <c r="Q44" s="385"/>
      <c r="R44" s="385"/>
      <c r="S44" s="385"/>
      <c r="T44" s="385"/>
      <c r="U44" s="385"/>
      <c r="V44" s="385"/>
      <c r="W44" s="385"/>
      <c r="X44" s="385"/>
      <c r="Y44" s="385"/>
      <c r="Z44" s="385"/>
      <c r="AA44" s="385"/>
      <c r="AB44" s="385"/>
      <c r="AC44" s="385"/>
      <c r="AD44" s="385"/>
      <c r="AE44" s="385"/>
      <c r="AF44" s="385"/>
      <c r="AG44" s="385"/>
      <c r="AH44" s="385"/>
      <c r="AI44" s="385"/>
      <c r="AJ44" s="385"/>
      <c r="AK44" s="385"/>
      <c r="AL44" s="385"/>
      <c r="AM44" s="385"/>
      <c r="AN44" s="385"/>
      <c r="AO44" s="385"/>
      <c r="AP44" s="385"/>
      <c r="AQ44" s="385"/>
      <c r="AR44" s="385"/>
      <c r="AS44" s="385"/>
      <c r="AT44" s="385"/>
      <c r="AU44" s="385"/>
      <c r="AV44" s="385"/>
      <c r="AW44" s="385"/>
      <c r="AX44" s="385"/>
    </row>
    <row r="45" spans="1:50" ht="10.8" hidden="1" thickTop="1" x14ac:dyDescent="0.2">
      <c r="A45" s="385"/>
      <c r="B45" s="385"/>
      <c r="C45" s="385"/>
      <c r="D45" s="385"/>
      <c r="E45" s="385"/>
      <c r="F45" s="385"/>
      <c r="G45" s="385"/>
      <c r="H45" s="385"/>
      <c r="I45" s="442"/>
      <c r="J45" s="442"/>
      <c r="K45" s="442"/>
      <c r="L45" s="442"/>
      <c r="M45" s="442"/>
      <c r="N45" s="442"/>
      <c r="O45" s="443"/>
      <c r="P45" s="385"/>
      <c r="Q45" s="385"/>
      <c r="R45" s="385"/>
      <c r="S45" s="385"/>
      <c r="T45" s="385"/>
      <c r="U45" s="385"/>
      <c r="V45" s="385"/>
      <c r="W45" s="385"/>
      <c r="X45" s="385"/>
      <c r="Y45" s="385"/>
      <c r="Z45" s="385"/>
      <c r="AA45" s="385"/>
      <c r="AB45" s="385"/>
      <c r="AC45" s="385"/>
      <c r="AD45" s="385"/>
      <c r="AE45" s="385"/>
      <c r="AF45" s="385"/>
      <c r="AG45" s="385"/>
      <c r="AH45" s="385"/>
      <c r="AI45" s="385"/>
      <c r="AJ45" s="385"/>
      <c r="AK45" s="385"/>
      <c r="AL45" s="385"/>
      <c r="AM45" s="385"/>
      <c r="AN45" s="385"/>
      <c r="AO45" s="385"/>
      <c r="AP45" s="385"/>
      <c r="AQ45" s="385"/>
      <c r="AR45" s="385"/>
      <c r="AS45" s="385"/>
      <c r="AT45" s="385"/>
      <c r="AU45" s="385"/>
      <c r="AV45" s="385"/>
      <c r="AW45" s="385"/>
      <c r="AX45" s="385"/>
    </row>
    <row r="46" spans="1:50" ht="10.8" hidden="1" thickTop="1" x14ac:dyDescent="0.2">
      <c r="A46" s="385"/>
      <c r="B46" s="385"/>
      <c r="C46" s="385"/>
      <c r="D46" s="385"/>
      <c r="E46" s="385"/>
      <c r="F46" s="385"/>
      <c r="G46" s="385"/>
      <c r="H46" s="385"/>
      <c r="I46" s="442"/>
      <c r="J46" s="442"/>
      <c r="K46" s="442"/>
      <c r="L46" s="442"/>
      <c r="M46" s="442"/>
      <c r="N46" s="442"/>
      <c r="O46" s="443"/>
      <c r="P46" s="385"/>
      <c r="Q46" s="385"/>
      <c r="R46" s="385"/>
      <c r="S46" s="385"/>
      <c r="T46" s="385"/>
      <c r="U46" s="385"/>
      <c r="V46" s="385"/>
      <c r="W46" s="385"/>
      <c r="X46" s="385"/>
      <c r="Y46" s="385"/>
      <c r="Z46" s="385"/>
      <c r="AA46" s="385"/>
      <c r="AB46" s="385"/>
      <c r="AC46" s="385"/>
      <c r="AD46" s="385"/>
      <c r="AE46" s="385"/>
      <c r="AF46" s="385"/>
      <c r="AG46" s="385"/>
      <c r="AH46" s="385"/>
      <c r="AI46" s="385"/>
      <c r="AJ46" s="385"/>
      <c r="AK46" s="385"/>
      <c r="AL46" s="385"/>
      <c r="AM46" s="385"/>
      <c r="AN46" s="385"/>
      <c r="AO46" s="385"/>
      <c r="AP46" s="385"/>
      <c r="AQ46" s="385"/>
      <c r="AR46" s="385"/>
      <c r="AS46" s="385"/>
      <c r="AT46" s="385"/>
      <c r="AU46" s="385"/>
      <c r="AV46" s="385"/>
      <c r="AW46" s="385"/>
      <c r="AX46" s="385"/>
    </row>
    <row r="47" spans="1:50" ht="10.8" hidden="1" thickTop="1" x14ac:dyDescent="0.2">
      <c r="A47" s="385"/>
      <c r="B47" s="385"/>
      <c r="C47" s="385"/>
      <c r="D47" s="385"/>
      <c r="E47" s="385"/>
      <c r="F47" s="385"/>
      <c r="G47" s="385"/>
      <c r="H47" s="385"/>
      <c r="I47" s="442"/>
      <c r="J47" s="442"/>
      <c r="K47" s="442"/>
      <c r="L47" s="442"/>
      <c r="M47" s="442"/>
      <c r="N47" s="442"/>
      <c r="O47" s="443"/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5"/>
      <c r="AA47" s="385"/>
      <c r="AB47" s="385"/>
      <c r="AC47" s="385"/>
      <c r="AD47" s="385"/>
      <c r="AE47" s="385"/>
      <c r="AF47" s="385"/>
      <c r="AG47" s="385"/>
      <c r="AH47" s="385"/>
      <c r="AI47" s="385"/>
      <c r="AJ47" s="385"/>
      <c r="AK47" s="385"/>
      <c r="AL47" s="385"/>
      <c r="AM47" s="385"/>
      <c r="AN47" s="385"/>
      <c r="AO47" s="385"/>
      <c r="AP47" s="385"/>
      <c r="AQ47" s="385"/>
      <c r="AR47" s="385"/>
      <c r="AS47" s="385"/>
      <c r="AT47" s="385"/>
      <c r="AU47" s="385"/>
      <c r="AV47" s="385"/>
      <c r="AW47" s="385"/>
      <c r="AX47" s="385"/>
    </row>
    <row r="48" spans="1:50" ht="10.8" hidden="1" thickTop="1" x14ac:dyDescent="0.2">
      <c r="A48" s="385"/>
      <c r="B48" s="385"/>
      <c r="C48" s="385"/>
      <c r="D48" s="385"/>
      <c r="E48" s="385"/>
      <c r="F48" s="385"/>
      <c r="G48" s="385"/>
      <c r="H48" s="385"/>
      <c r="I48" s="442"/>
      <c r="J48" s="442"/>
      <c r="K48" s="442"/>
      <c r="L48" s="442"/>
      <c r="M48" s="442"/>
      <c r="N48" s="442"/>
      <c r="O48" s="443"/>
      <c r="P48" s="385"/>
      <c r="Q48" s="385"/>
      <c r="R48" s="385"/>
      <c r="S48" s="385"/>
      <c r="T48" s="385"/>
      <c r="U48" s="385"/>
      <c r="V48" s="385"/>
      <c r="W48" s="385"/>
      <c r="X48" s="385"/>
      <c r="Y48" s="385"/>
      <c r="Z48" s="385"/>
      <c r="AA48" s="385"/>
      <c r="AB48" s="385"/>
      <c r="AC48" s="385"/>
      <c r="AD48" s="385"/>
      <c r="AE48" s="385"/>
      <c r="AF48" s="385"/>
      <c r="AG48" s="385"/>
      <c r="AH48" s="385"/>
      <c r="AI48" s="385"/>
      <c r="AJ48" s="385"/>
      <c r="AK48" s="385"/>
      <c r="AL48" s="385"/>
      <c r="AM48" s="385"/>
      <c r="AN48" s="385"/>
      <c r="AO48" s="385"/>
      <c r="AP48" s="385"/>
      <c r="AQ48" s="385"/>
      <c r="AR48" s="385"/>
      <c r="AS48" s="385"/>
      <c r="AT48" s="385"/>
      <c r="AU48" s="385"/>
      <c r="AV48" s="385"/>
      <c r="AW48" s="385"/>
      <c r="AX48" s="385"/>
    </row>
    <row r="49" spans="1:50" ht="10.8" hidden="1" thickTop="1" x14ac:dyDescent="0.2">
      <c r="A49" s="385"/>
      <c r="B49" s="385"/>
      <c r="C49" s="385"/>
      <c r="D49" s="385"/>
      <c r="E49" s="385"/>
      <c r="F49" s="385"/>
      <c r="G49" s="385"/>
      <c r="H49" s="385"/>
      <c r="I49" s="442"/>
      <c r="J49" s="442"/>
      <c r="K49" s="442"/>
      <c r="L49" s="442"/>
      <c r="M49" s="442"/>
      <c r="N49" s="442"/>
      <c r="O49" s="443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385"/>
      <c r="AC49" s="385"/>
      <c r="AD49" s="385"/>
      <c r="AE49" s="385"/>
      <c r="AF49" s="385"/>
      <c r="AG49" s="385"/>
      <c r="AH49" s="385"/>
      <c r="AI49" s="385"/>
      <c r="AJ49" s="385"/>
      <c r="AK49" s="385"/>
      <c r="AL49" s="385"/>
      <c r="AM49" s="385"/>
      <c r="AN49" s="385"/>
      <c r="AO49" s="385"/>
      <c r="AP49" s="385"/>
      <c r="AQ49" s="385"/>
      <c r="AR49" s="385"/>
      <c r="AS49" s="385"/>
      <c r="AT49" s="385"/>
      <c r="AU49" s="385"/>
      <c r="AV49" s="385"/>
      <c r="AW49" s="385"/>
      <c r="AX49" s="385"/>
    </row>
    <row r="50" spans="1:50" ht="10.8" hidden="1" thickTop="1" x14ac:dyDescent="0.2">
      <c r="A50" s="385"/>
      <c r="B50" s="385"/>
      <c r="C50" s="385"/>
      <c r="D50" s="385"/>
      <c r="E50" s="385"/>
      <c r="F50" s="385"/>
      <c r="G50" s="385"/>
      <c r="H50" s="385"/>
      <c r="I50" s="442"/>
      <c r="J50" s="442"/>
      <c r="K50" s="442"/>
      <c r="L50" s="442"/>
      <c r="M50" s="442"/>
      <c r="N50" s="442"/>
      <c r="O50" s="443"/>
      <c r="P50" s="385"/>
      <c r="Q50" s="385"/>
      <c r="R50" s="385"/>
      <c r="S50" s="385"/>
      <c r="T50" s="385"/>
      <c r="U50" s="385"/>
      <c r="V50" s="385"/>
      <c r="W50" s="385"/>
      <c r="X50" s="385"/>
      <c r="Y50" s="385"/>
      <c r="Z50" s="385"/>
      <c r="AA50" s="385"/>
      <c r="AB50" s="385"/>
      <c r="AC50" s="385"/>
      <c r="AD50" s="385"/>
      <c r="AE50" s="385"/>
      <c r="AF50" s="385"/>
      <c r="AG50" s="385"/>
      <c r="AH50" s="385"/>
      <c r="AI50" s="385"/>
      <c r="AJ50" s="385"/>
      <c r="AK50" s="385"/>
      <c r="AL50" s="385"/>
      <c r="AM50" s="385"/>
      <c r="AN50" s="385"/>
      <c r="AO50" s="385"/>
      <c r="AP50" s="385"/>
      <c r="AQ50" s="385"/>
      <c r="AR50" s="385"/>
      <c r="AS50" s="385"/>
      <c r="AT50" s="385"/>
      <c r="AU50" s="385"/>
      <c r="AV50" s="385"/>
      <c r="AW50" s="385"/>
      <c r="AX50" s="385"/>
    </row>
    <row r="51" spans="1:50" ht="10.8" hidden="1" thickTop="1" x14ac:dyDescent="0.2">
      <c r="A51" s="385"/>
      <c r="B51" s="385"/>
      <c r="C51" s="385"/>
      <c r="D51" s="385"/>
      <c r="E51" s="385"/>
      <c r="F51" s="385"/>
      <c r="G51" s="385"/>
      <c r="H51" s="385"/>
      <c r="I51" s="442"/>
      <c r="J51" s="442"/>
      <c r="K51" s="442"/>
      <c r="L51" s="442"/>
      <c r="M51" s="442"/>
      <c r="N51" s="442"/>
      <c r="O51" s="443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5"/>
    </row>
    <row r="52" spans="1:50" ht="10.8" hidden="1" thickTop="1" x14ac:dyDescent="0.2">
      <c r="A52" s="385"/>
      <c r="B52" s="385"/>
      <c r="C52" s="385"/>
      <c r="D52" s="385"/>
      <c r="E52" s="385"/>
      <c r="F52" s="385"/>
      <c r="G52" s="385"/>
      <c r="H52" s="385"/>
      <c r="I52" s="442"/>
      <c r="J52" s="442"/>
      <c r="K52" s="442"/>
      <c r="L52" s="442"/>
      <c r="M52" s="442"/>
      <c r="N52" s="442"/>
      <c r="O52" s="443"/>
      <c r="P52" s="385"/>
      <c r="Q52" s="385"/>
      <c r="R52" s="385"/>
      <c r="S52" s="385"/>
      <c r="T52" s="385"/>
      <c r="U52" s="385"/>
      <c r="V52" s="385"/>
      <c r="W52" s="385"/>
      <c r="X52" s="385"/>
      <c r="Y52" s="385"/>
      <c r="Z52" s="385"/>
      <c r="AA52" s="385"/>
      <c r="AB52" s="385"/>
      <c r="AC52" s="385"/>
      <c r="AD52" s="385"/>
      <c r="AE52" s="385"/>
      <c r="AF52" s="385"/>
      <c r="AG52" s="385"/>
      <c r="AH52" s="385"/>
      <c r="AI52" s="385"/>
      <c r="AJ52" s="385"/>
      <c r="AK52" s="385"/>
      <c r="AL52" s="385"/>
      <c r="AM52" s="385"/>
      <c r="AN52" s="385"/>
      <c r="AO52" s="385"/>
      <c r="AP52" s="385"/>
      <c r="AQ52" s="385"/>
      <c r="AR52" s="385"/>
      <c r="AS52" s="385"/>
      <c r="AT52" s="385"/>
      <c r="AU52" s="385"/>
      <c r="AV52" s="385"/>
      <c r="AW52" s="385"/>
      <c r="AX52" s="385"/>
    </row>
    <row r="53" spans="1:50" ht="10.8" hidden="1" thickTop="1" x14ac:dyDescent="0.2">
      <c r="A53" s="385"/>
      <c r="B53" s="385"/>
      <c r="C53" s="385"/>
      <c r="D53" s="385"/>
      <c r="E53" s="385"/>
      <c r="F53" s="385"/>
      <c r="G53" s="385"/>
      <c r="H53" s="385"/>
      <c r="I53" s="442"/>
      <c r="J53" s="442"/>
      <c r="K53" s="442"/>
      <c r="L53" s="442"/>
      <c r="M53" s="442"/>
      <c r="N53" s="442"/>
      <c r="O53" s="443"/>
      <c r="P53" s="385"/>
      <c r="Q53" s="385"/>
      <c r="R53" s="385"/>
      <c r="S53" s="385"/>
      <c r="T53" s="385"/>
      <c r="U53" s="385"/>
      <c r="V53" s="385"/>
      <c r="W53" s="385"/>
      <c r="X53" s="385"/>
      <c r="Y53" s="385"/>
      <c r="Z53" s="385"/>
      <c r="AA53" s="385"/>
      <c r="AB53" s="385"/>
      <c r="AC53" s="385"/>
      <c r="AD53" s="385"/>
      <c r="AE53" s="385"/>
      <c r="AF53" s="385"/>
      <c r="AG53" s="385"/>
      <c r="AH53" s="385"/>
      <c r="AI53" s="385"/>
      <c r="AJ53" s="385"/>
      <c r="AK53" s="385"/>
      <c r="AL53" s="385"/>
      <c r="AM53" s="385"/>
      <c r="AN53" s="385"/>
      <c r="AO53" s="385"/>
      <c r="AP53" s="385"/>
      <c r="AQ53" s="385"/>
      <c r="AR53" s="385"/>
      <c r="AS53" s="385"/>
      <c r="AT53" s="385"/>
      <c r="AU53" s="385"/>
      <c r="AV53" s="385"/>
      <c r="AW53" s="385"/>
      <c r="AX53" s="385"/>
    </row>
    <row r="54" spans="1:50" ht="10.8" hidden="1" thickTop="1" x14ac:dyDescent="0.2">
      <c r="A54" s="385"/>
      <c r="B54" s="444"/>
      <c r="C54" s="385"/>
      <c r="D54" s="385"/>
      <c r="E54" s="385"/>
      <c r="F54" s="385"/>
      <c r="G54" s="385"/>
      <c r="H54" s="385"/>
      <c r="I54" s="442"/>
      <c r="J54" s="442"/>
      <c r="K54" s="442"/>
      <c r="L54" s="442"/>
      <c r="M54" s="442"/>
      <c r="N54" s="442"/>
      <c r="O54" s="443"/>
      <c r="P54" s="385"/>
      <c r="Q54" s="385"/>
      <c r="R54" s="385"/>
      <c r="S54" s="385"/>
      <c r="T54" s="385"/>
      <c r="U54" s="385"/>
      <c r="V54" s="385"/>
      <c r="W54" s="385"/>
      <c r="X54" s="385"/>
      <c r="Y54" s="385"/>
      <c r="Z54" s="385"/>
      <c r="AA54" s="385"/>
      <c r="AB54" s="385"/>
      <c r="AC54" s="385"/>
      <c r="AD54" s="385"/>
      <c r="AE54" s="385"/>
      <c r="AF54" s="385"/>
      <c r="AG54" s="385"/>
      <c r="AH54" s="385"/>
      <c r="AI54" s="385"/>
      <c r="AJ54" s="385"/>
      <c r="AK54" s="385"/>
      <c r="AL54" s="385"/>
      <c r="AM54" s="385"/>
      <c r="AN54" s="385"/>
      <c r="AO54" s="385"/>
      <c r="AP54" s="385"/>
      <c r="AQ54" s="385"/>
      <c r="AR54" s="385"/>
      <c r="AS54" s="385"/>
      <c r="AT54" s="385"/>
      <c r="AU54" s="385"/>
      <c r="AV54" s="385"/>
      <c r="AW54" s="385"/>
      <c r="AX54" s="385"/>
    </row>
    <row r="55" spans="1:50" ht="10.8" hidden="1" thickTop="1" x14ac:dyDescent="0.2">
      <c r="A55" s="385"/>
      <c r="B55" s="385"/>
      <c r="C55" s="385"/>
      <c r="D55" s="385"/>
      <c r="E55" s="385"/>
      <c r="F55" s="385"/>
      <c r="G55" s="385"/>
      <c r="H55" s="385"/>
      <c r="I55" s="442"/>
      <c r="J55" s="442"/>
      <c r="K55" s="442"/>
      <c r="L55" s="442"/>
      <c r="M55" s="442"/>
      <c r="N55" s="442"/>
      <c r="O55" s="443"/>
      <c r="P55" s="385"/>
      <c r="Q55" s="385"/>
      <c r="R55" s="385"/>
      <c r="S55" s="385"/>
      <c r="T55" s="385"/>
      <c r="U55" s="385"/>
      <c r="V55" s="385"/>
      <c r="W55" s="385"/>
      <c r="X55" s="385"/>
      <c r="Y55" s="385"/>
      <c r="Z55" s="385"/>
      <c r="AA55" s="385"/>
      <c r="AB55" s="385"/>
      <c r="AC55" s="385"/>
      <c r="AD55" s="385"/>
      <c r="AE55" s="385"/>
      <c r="AF55" s="385"/>
      <c r="AG55" s="385"/>
      <c r="AH55" s="385"/>
      <c r="AI55" s="385"/>
      <c r="AJ55" s="385"/>
      <c r="AK55" s="385"/>
      <c r="AL55" s="385"/>
      <c r="AM55" s="385"/>
      <c r="AN55" s="385"/>
      <c r="AO55" s="385"/>
      <c r="AP55" s="385"/>
      <c r="AQ55" s="385"/>
      <c r="AR55" s="385"/>
      <c r="AS55" s="385"/>
      <c r="AT55" s="385"/>
      <c r="AU55" s="385"/>
      <c r="AV55" s="385"/>
      <c r="AW55" s="385"/>
      <c r="AX55" s="385"/>
    </row>
    <row r="56" spans="1:50" ht="10.8" hidden="1" thickTop="1" x14ac:dyDescent="0.2">
      <c r="A56" s="385"/>
      <c r="B56" s="385"/>
      <c r="C56" s="385"/>
      <c r="D56" s="445"/>
      <c r="E56" s="385"/>
      <c r="F56" s="385"/>
      <c r="G56" s="385"/>
      <c r="H56" s="385"/>
      <c r="I56" s="442"/>
      <c r="J56" s="442"/>
      <c r="K56" s="442"/>
      <c r="L56" s="442"/>
      <c r="M56" s="442"/>
      <c r="N56" s="442"/>
      <c r="O56" s="443"/>
      <c r="P56" s="385"/>
      <c r="Q56" s="385"/>
      <c r="R56" s="385"/>
      <c r="S56" s="385"/>
      <c r="T56" s="385"/>
      <c r="U56" s="385"/>
      <c r="V56" s="385"/>
      <c r="W56" s="385"/>
      <c r="X56" s="385"/>
      <c r="Y56" s="385"/>
      <c r="Z56" s="385"/>
      <c r="AA56" s="385"/>
      <c r="AB56" s="385"/>
      <c r="AC56" s="385"/>
      <c r="AD56" s="385"/>
      <c r="AE56" s="385"/>
      <c r="AF56" s="385"/>
      <c r="AG56" s="385"/>
      <c r="AH56" s="385"/>
      <c r="AI56" s="385"/>
      <c r="AJ56" s="385"/>
      <c r="AK56" s="385"/>
      <c r="AL56" s="385"/>
      <c r="AM56" s="385"/>
      <c r="AN56" s="385"/>
      <c r="AO56" s="385"/>
      <c r="AP56" s="385"/>
      <c r="AQ56" s="385"/>
      <c r="AR56" s="385"/>
      <c r="AS56" s="385"/>
      <c r="AT56" s="385"/>
      <c r="AU56" s="385"/>
      <c r="AV56" s="385"/>
      <c r="AW56" s="385"/>
      <c r="AX56" s="385"/>
    </row>
    <row r="57" spans="1:50" ht="10.8" hidden="1" thickTop="1" x14ac:dyDescent="0.2">
      <c r="A57" s="385"/>
      <c r="B57" s="385"/>
      <c r="C57" s="385"/>
      <c r="D57" s="445"/>
      <c r="E57" s="385"/>
      <c r="F57" s="385"/>
      <c r="G57" s="385"/>
      <c r="H57" s="385"/>
      <c r="I57" s="442"/>
      <c r="J57" s="442"/>
      <c r="K57" s="442"/>
      <c r="L57" s="442"/>
      <c r="M57" s="442"/>
      <c r="N57" s="442"/>
      <c r="O57" s="443"/>
      <c r="P57" s="385"/>
      <c r="Q57" s="385"/>
      <c r="R57" s="385"/>
      <c r="S57" s="385"/>
      <c r="T57" s="385"/>
      <c r="U57" s="385"/>
      <c r="V57" s="385"/>
      <c r="W57" s="385"/>
      <c r="X57" s="385"/>
      <c r="Y57" s="385"/>
      <c r="Z57" s="385"/>
      <c r="AA57" s="385"/>
      <c r="AB57" s="385"/>
      <c r="AC57" s="385"/>
      <c r="AD57" s="385"/>
      <c r="AE57" s="385"/>
      <c r="AF57" s="385"/>
      <c r="AG57" s="385"/>
      <c r="AH57" s="385"/>
      <c r="AI57" s="385"/>
      <c r="AJ57" s="385"/>
      <c r="AK57" s="385"/>
      <c r="AL57" s="385"/>
      <c r="AM57" s="385"/>
      <c r="AN57" s="385"/>
      <c r="AO57" s="385"/>
      <c r="AP57" s="385"/>
      <c r="AQ57" s="385"/>
      <c r="AR57" s="385"/>
      <c r="AS57" s="385"/>
      <c r="AT57" s="385"/>
      <c r="AU57" s="385"/>
      <c r="AV57" s="385"/>
      <c r="AW57" s="385"/>
      <c r="AX57" s="385"/>
    </row>
    <row r="58" spans="1:50" ht="10.8" hidden="1" thickTop="1" x14ac:dyDescent="0.2">
      <c r="A58" s="385"/>
      <c r="B58" s="385"/>
      <c r="C58" s="385"/>
      <c r="D58" s="445"/>
      <c r="E58" s="385"/>
      <c r="F58" s="385"/>
      <c r="G58" s="385"/>
      <c r="H58" s="385"/>
      <c r="I58" s="442"/>
      <c r="J58" s="442"/>
      <c r="K58" s="442"/>
      <c r="L58" s="442"/>
      <c r="M58" s="442"/>
      <c r="N58" s="442"/>
      <c r="O58" s="443"/>
      <c r="P58" s="385"/>
      <c r="Q58" s="385"/>
      <c r="R58" s="385"/>
      <c r="S58" s="385"/>
      <c r="T58" s="385"/>
      <c r="U58" s="385"/>
      <c r="V58" s="385"/>
      <c r="W58" s="385"/>
      <c r="X58" s="385"/>
      <c r="Y58" s="385"/>
      <c r="Z58" s="385"/>
      <c r="AA58" s="385"/>
      <c r="AB58" s="385"/>
      <c r="AC58" s="385"/>
      <c r="AD58" s="385"/>
      <c r="AE58" s="385"/>
      <c r="AF58" s="385"/>
      <c r="AG58" s="385"/>
      <c r="AH58" s="385"/>
      <c r="AI58" s="385"/>
      <c r="AJ58" s="385"/>
      <c r="AK58" s="385"/>
      <c r="AL58" s="385"/>
      <c r="AM58" s="385"/>
      <c r="AN58" s="385"/>
      <c r="AO58" s="385"/>
      <c r="AP58" s="385"/>
      <c r="AQ58" s="385"/>
      <c r="AR58" s="385"/>
      <c r="AS58" s="385"/>
      <c r="AT58" s="385"/>
      <c r="AU58" s="385"/>
      <c r="AV58" s="385"/>
      <c r="AW58" s="385"/>
      <c r="AX58" s="385"/>
    </row>
    <row r="59" spans="1:50" ht="10.8" hidden="1" thickTop="1" x14ac:dyDescent="0.2">
      <c r="A59" s="385"/>
      <c r="B59" s="385"/>
      <c r="C59" s="385"/>
      <c r="D59" s="445"/>
      <c r="E59" s="385"/>
      <c r="F59" s="385"/>
      <c r="G59" s="385"/>
      <c r="H59" s="385"/>
      <c r="I59" s="442"/>
      <c r="J59" s="442"/>
      <c r="K59" s="442"/>
      <c r="L59" s="442"/>
      <c r="M59" s="442"/>
      <c r="N59" s="442"/>
      <c r="O59" s="443"/>
      <c r="P59" s="385"/>
      <c r="Q59" s="385"/>
      <c r="R59" s="385"/>
      <c r="S59" s="385"/>
      <c r="T59" s="385"/>
      <c r="U59" s="385"/>
      <c r="V59" s="385"/>
      <c r="W59" s="385"/>
      <c r="X59" s="385"/>
      <c r="Y59" s="385"/>
      <c r="Z59" s="385"/>
      <c r="AA59" s="385"/>
      <c r="AB59" s="385"/>
      <c r="AC59" s="385"/>
      <c r="AD59" s="385"/>
      <c r="AE59" s="385"/>
      <c r="AF59" s="385"/>
      <c r="AG59" s="385"/>
      <c r="AH59" s="385"/>
      <c r="AI59" s="385"/>
      <c r="AJ59" s="385"/>
      <c r="AK59" s="385"/>
      <c r="AL59" s="385"/>
      <c r="AM59" s="385"/>
      <c r="AN59" s="385"/>
      <c r="AO59" s="385"/>
      <c r="AP59" s="385"/>
      <c r="AQ59" s="385"/>
      <c r="AR59" s="385"/>
      <c r="AS59" s="385"/>
      <c r="AT59" s="385"/>
      <c r="AU59" s="385"/>
      <c r="AV59" s="385"/>
      <c r="AW59" s="385"/>
      <c r="AX59" s="385"/>
    </row>
    <row r="60" spans="1:50" ht="10.8" hidden="1" thickTop="1" x14ac:dyDescent="0.2">
      <c r="A60" s="385"/>
      <c r="B60" s="385"/>
      <c r="C60" s="385"/>
      <c r="D60" s="445"/>
      <c r="E60" s="385"/>
      <c r="F60" s="385"/>
      <c r="G60" s="385"/>
      <c r="H60" s="385"/>
      <c r="I60" s="442"/>
      <c r="J60" s="442"/>
      <c r="K60" s="442"/>
      <c r="L60" s="442"/>
      <c r="M60" s="442"/>
      <c r="N60" s="442"/>
      <c r="O60" s="443"/>
      <c r="P60" s="385"/>
      <c r="Q60" s="385"/>
      <c r="R60" s="385"/>
      <c r="S60" s="385"/>
      <c r="T60" s="385"/>
      <c r="U60" s="385"/>
      <c r="V60" s="385"/>
      <c r="W60" s="385"/>
      <c r="X60" s="385"/>
      <c r="Y60" s="385"/>
      <c r="Z60" s="385"/>
      <c r="AA60" s="385"/>
      <c r="AB60" s="385"/>
      <c r="AC60" s="385"/>
      <c r="AD60" s="385"/>
      <c r="AE60" s="385"/>
      <c r="AF60" s="385"/>
      <c r="AG60" s="385"/>
      <c r="AH60" s="385"/>
      <c r="AI60" s="385"/>
      <c r="AJ60" s="385"/>
      <c r="AK60" s="385"/>
      <c r="AL60" s="385"/>
      <c r="AM60" s="385"/>
      <c r="AN60" s="385"/>
      <c r="AO60" s="385"/>
      <c r="AP60" s="385"/>
      <c r="AQ60" s="385"/>
      <c r="AR60" s="385"/>
      <c r="AS60" s="385"/>
      <c r="AT60" s="385"/>
      <c r="AU60" s="385"/>
      <c r="AV60" s="385"/>
      <c r="AW60" s="385"/>
      <c r="AX60" s="385"/>
    </row>
    <row r="61" spans="1:50" ht="10.8" hidden="1" thickTop="1" x14ac:dyDescent="0.2">
      <c r="A61" s="385"/>
      <c r="B61" s="385"/>
      <c r="C61" s="385"/>
      <c r="D61" s="445"/>
      <c r="E61" s="385"/>
      <c r="F61" s="385"/>
      <c r="G61" s="385"/>
      <c r="H61" s="385"/>
      <c r="I61" s="442"/>
      <c r="J61" s="442"/>
      <c r="K61" s="442"/>
      <c r="L61" s="442"/>
      <c r="M61" s="442"/>
      <c r="N61" s="442"/>
      <c r="O61" s="443"/>
      <c r="P61" s="385"/>
      <c r="Q61" s="385"/>
      <c r="R61" s="385"/>
      <c r="S61" s="385"/>
      <c r="T61" s="385"/>
      <c r="U61" s="385"/>
      <c r="V61" s="385"/>
      <c r="W61" s="385"/>
      <c r="X61" s="385"/>
      <c r="Y61" s="385"/>
      <c r="Z61" s="385"/>
      <c r="AA61" s="385"/>
      <c r="AB61" s="385"/>
      <c r="AC61" s="385"/>
      <c r="AD61" s="385"/>
      <c r="AE61" s="385"/>
      <c r="AF61" s="385"/>
      <c r="AG61" s="385"/>
      <c r="AH61" s="385"/>
      <c r="AI61" s="385"/>
      <c r="AJ61" s="385"/>
      <c r="AK61" s="385"/>
      <c r="AL61" s="385"/>
      <c r="AM61" s="385"/>
      <c r="AN61" s="385"/>
      <c r="AO61" s="385"/>
      <c r="AP61" s="385"/>
      <c r="AQ61" s="385"/>
      <c r="AR61" s="385"/>
      <c r="AS61" s="385"/>
      <c r="AT61" s="385"/>
      <c r="AU61" s="385"/>
      <c r="AV61" s="385"/>
      <c r="AW61" s="385"/>
      <c r="AX61" s="385"/>
    </row>
    <row r="62" spans="1:50" ht="10.8" hidden="1" thickTop="1" x14ac:dyDescent="0.2">
      <c r="A62" s="385"/>
      <c r="B62" s="385"/>
      <c r="C62" s="385"/>
      <c r="D62" s="445"/>
      <c r="E62" s="385"/>
      <c r="F62" s="385"/>
      <c r="G62" s="385"/>
      <c r="H62" s="385"/>
      <c r="I62" s="442"/>
      <c r="J62" s="442"/>
      <c r="K62" s="442"/>
      <c r="L62" s="442"/>
      <c r="M62" s="442"/>
      <c r="N62" s="442"/>
      <c r="O62" s="443"/>
      <c r="P62" s="385"/>
      <c r="Q62" s="385"/>
      <c r="R62" s="385"/>
      <c r="S62" s="385"/>
      <c r="T62" s="385"/>
      <c r="U62" s="385"/>
      <c r="V62" s="385"/>
      <c r="W62" s="385"/>
      <c r="X62" s="385"/>
      <c r="Y62" s="385"/>
      <c r="Z62" s="385"/>
      <c r="AA62" s="385"/>
      <c r="AB62" s="385"/>
      <c r="AC62" s="385"/>
      <c r="AD62" s="385"/>
      <c r="AE62" s="385"/>
      <c r="AF62" s="385"/>
      <c r="AG62" s="385"/>
      <c r="AH62" s="385"/>
      <c r="AI62" s="385"/>
      <c r="AJ62" s="385"/>
      <c r="AK62" s="385"/>
      <c r="AL62" s="385"/>
      <c r="AM62" s="385"/>
      <c r="AN62" s="385"/>
      <c r="AO62" s="385"/>
      <c r="AP62" s="385"/>
      <c r="AQ62" s="385"/>
      <c r="AR62" s="385"/>
      <c r="AS62" s="385"/>
      <c r="AT62" s="385"/>
      <c r="AU62" s="385"/>
      <c r="AV62" s="385"/>
      <c r="AW62" s="385"/>
      <c r="AX62" s="385"/>
    </row>
    <row r="63" spans="1:50" ht="10.8" hidden="1" thickTop="1" x14ac:dyDescent="0.2">
      <c r="A63" s="385"/>
      <c r="B63" s="385"/>
      <c r="C63" s="385"/>
      <c r="D63" s="445"/>
      <c r="E63" s="385"/>
      <c r="F63" s="385"/>
      <c r="G63" s="385"/>
      <c r="H63" s="385"/>
      <c r="I63" s="442"/>
      <c r="J63" s="442"/>
      <c r="K63" s="442"/>
      <c r="L63" s="442"/>
      <c r="M63" s="442"/>
      <c r="N63" s="442"/>
      <c r="O63" s="443"/>
      <c r="P63" s="385"/>
      <c r="Q63" s="385"/>
      <c r="R63" s="385"/>
      <c r="S63" s="385"/>
      <c r="T63" s="385"/>
      <c r="U63" s="385"/>
      <c r="V63" s="385"/>
      <c r="W63" s="385"/>
      <c r="X63" s="385"/>
      <c r="Y63" s="385"/>
      <c r="Z63" s="385"/>
      <c r="AA63" s="385"/>
      <c r="AB63" s="385"/>
      <c r="AC63" s="385"/>
      <c r="AD63" s="385"/>
      <c r="AE63" s="385"/>
      <c r="AF63" s="385"/>
      <c r="AG63" s="385"/>
      <c r="AH63" s="385"/>
      <c r="AI63" s="385"/>
      <c r="AJ63" s="385"/>
      <c r="AK63" s="385"/>
      <c r="AL63" s="385"/>
      <c r="AM63" s="385"/>
      <c r="AN63" s="385"/>
      <c r="AO63" s="385"/>
      <c r="AP63" s="385"/>
      <c r="AQ63" s="385"/>
      <c r="AR63" s="385"/>
      <c r="AS63" s="385"/>
      <c r="AT63" s="385"/>
      <c r="AU63" s="385"/>
      <c r="AV63" s="385"/>
      <c r="AW63" s="385"/>
      <c r="AX63" s="385"/>
    </row>
    <row r="64" spans="1:50" ht="10.8" hidden="1" thickTop="1" x14ac:dyDescent="0.2">
      <c r="A64" s="385"/>
      <c r="B64" s="385"/>
      <c r="C64" s="385"/>
      <c r="D64" s="445"/>
      <c r="E64" s="385"/>
      <c r="F64" s="385"/>
      <c r="G64" s="385"/>
      <c r="H64" s="385"/>
      <c r="I64" s="442"/>
      <c r="J64" s="442"/>
      <c r="K64" s="442"/>
      <c r="L64" s="442"/>
      <c r="M64" s="442"/>
      <c r="N64" s="442"/>
      <c r="O64" s="443"/>
      <c r="P64" s="385"/>
      <c r="Q64" s="385"/>
      <c r="R64" s="385"/>
      <c r="S64" s="385"/>
      <c r="T64" s="385"/>
      <c r="U64" s="385"/>
      <c r="V64" s="385"/>
      <c r="W64" s="385"/>
      <c r="X64" s="385"/>
      <c r="Y64" s="385"/>
      <c r="Z64" s="385"/>
      <c r="AA64" s="385"/>
      <c r="AB64" s="385"/>
      <c r="AC64" s="385"/>
      <c r="AD64" s="385"/>
      <c r="AE64" s="385"/>
      <c r="AF64" s="385"/>
      <c r="AG64" s="385"/>
      <c r="AH64" s="385"/>
      <c r="AI64" s="385"/>
      <c r="AJ64" s="385"/>
      <c r="AK64" s="385"/>
      <c r="AL64" s="385"/>
      <c r="AM64" s="385"/>
      <c r="AN64" s="385"/>
      <c r="AO64" s="385"/>
      <c r="AP64" s="385"/>
      <c r="AQ64" s="385"/>
      <c r="AR64" s="385"/>
      <c r="AS64" s="385"/>
      <c r="AT64" s="385"/>
      <c r="AU64" s="385"/>
      <c r="AV64" s="385"/>
      <c r="AW64" s="385"/>
      <c r="AX64" s="385"/>
    </row>
    <row r="65" spans="1:50" ht="12.75" hidden="1" customHeight="1" x14ac:dyDescent="0.2">
      <c r="A65" s="385"/>
      <c r="B65" s="444"/>
      <c r="C65" s="385"/>
      <c r="D65" s="445"/>
      <c r="E65" s="385"/>
      <c r="F65" s="385"/>
      <c r="G65" s="385"/>
      <c r="H65" s="385"/>
      <c r="I65" s="442"/>
      <c r="J65" s="442"/>
      <c r="K65" s="442"/>
      <c r="L65" s="442"/>
      <c r="M65" s="442"/>
      <c r="N65" s="442"/>
      <c r="O65" s="443"/>
      <c r="P65" s="385"/>
      <c r="Q65" s="385"/>
      <c r="R65" s="385"/>
      <c r="S65" s="385"/>
      <c r="T65" s="385"/>
      <c r="U65" s="385"/>
      <c r="V65" s="385"/>
      <c r="W65" s="385"/>
      <c r="X65" s="385"/>
      <c r="Y65" s="385"/>
      <c r="Z65" s="385"/>
      <c r="AA65" s="385"/>
      <c r="AB65" s="385"/>
      <c r="AC65" s="385"/>
      <c r="AD65" s="385"/>
      <c r="AE65" s="385"/>
      <c r="AF65" s="385"/>
      <c r="AG65" s="385"/>
      <c r="AH65" s="385"/>
      <c r="AI65" s="385"/>
      <c r="AJ65" s="385"/>
      <c r="AK65" s="385"/>
      <c r="AL65" s="385"/>
      <c r="AM65" s="385"/>
      <c r="AN65" s="385"/>
      <c r="AO65" s="385"/>
      <c r="AP65" s="385"/>
      <c r="AQ65" s="385"/>
      <c r="AR65" s="385"/>
      <c r="AS65" s="385"/>
      <c r="AT65" s="385"/>
      <c r="AU65" s="385"/>
      <c r="AV65" s="385"/>
      <c r="AW65" s="385"/>
      <c r="AX65" s="385"/>
    </row>
    <row r="66" spans="1:50" ht="10.8" hidden="1" thickTop="1" x14ac:dyDescent="0.2">
      <c r="A66" s="385"/>
      <c r="B66" s="385"/>
      <c r="C66" s="385"/>
      <c r="D66" s="385"/>
      <c r="E66" s="445"/>
      <c r="F66" s="385"/>
      <c r="G66" s="385"/>
      <c r="H66" s="385"/>
      <c r="I66" s="442"/>
      <c r="J66" s="442"/>
      <c r="K66" s="442"/>
      <c r="L66" s="442"/>
      <c r="M66" s="442"/>
      <c r="N66" s="442"/>
      <c r="O66" s="443"/>
      <c r="P66" s="385"/>
      <c r="Q66" s="385"/>
      <c r="R66" s="385"/>
      <c r="S66" s="385"/>
      <c r="T66" s="385"/>
      <c r="U66" s="385"/>
      <c r="V66" s="385"/>
      <c r="W66" s="385"/>
      <c r="X66" s="385"/>
      <c r="Y66" s="385"/>
      <c r="Z66" s="385"/>
      <c r="AA66" s="385"/>
      <c r="AB66" s="385"/>
      <c r="AC66" s="385"/>
      <c r="AD66" s="385"/>
      <c r="AE66" s="385"/>
      <c r="AF66" s="385"/>
      <c r="AG66" s="385"/>
      <c r="AH66" s="385"/>
      <c r="AI66" s="385"/>
      <c r="AJ66" s="385"/>
      <c r="AK66" s="385"/>
      <c r="AL66" s="385"/>
      <c r="AM66" s="385"/>
      <c r="AN66" s="385"/>
      <c r="AO66" s="385"/>
      <c r="AP66" s="385"/>
      <c r="AQ66" s="385"/>
      <c r="AR66" s="385"/>
      <c r="AS66" s="385"/>
      <c r="AT66" s="385"/>
      <c r="AU66" s="385"/>
      <c r="AV66" s="385"/>
      <c r="AW66" s="385"/>
      <c r="AX66" s="385"/>
    </row>
    <row r="67" spans="1:50" ht="10.8" hidden="1" thickTop="1" x14ac:dyDescent="0.2">
      <c r="A67" s="385"/>
      <c r="B67" s="385"/>
      <c r="C67" s="385"/>
      <c r="D67" s="445"/>
      <c r="E67" s="445"/>
      <c r="F67" s="385"/>
      <c r="G67" s="385"/>
      <c r="H67" s="385"/>
      <c r="I67" s="442"/>
      <c r="J67" s="442"/>
      <c r="K67" s="442"/>
      <c r="L67" s="442"/>
      <c r="M67" s="442"/>
      <c r="N67" s="442"/>
      <c r="O67" s="443"/>
      <c r="P67" s="385"/>
      <c r="Q67" s="385"/>
      <c r="R67" s="385"/>
      <c r="S67" s="385"/>
      <c r="T67" s="385"/>
      <c r="U67" s="385"/>
      <c r="V67" s="385"/>
      <c r="W67" s="385"/>
      <c r="X67" s="385"/>
      <c r="Y67" s="385"/>
      <c r="Z67" s="385"/>
      <c r="AA67" s="385"/>
      <c r="AB67" s="385"/>
      <c r="AC67" s="385"/>
      <c r="AD67" s="385"/>
      <c r="AE67" s="385"/>
      <c r="AF67" s="385"/>
      <c r="AG67" s="385"/>
      <c r="AH67" s="385"/>
      <c r="AI67" s="385"/>
      <c r="AJ67" s="385"/>
      <c r="AK67" s="385"/>
      <c r="AL67" s="385"/>
      <c r="AM67" s="385"/>
      <c r="AN67" s="385"/>
      <c r="AO67" s="385"/>
      <c r="AP67" s="385"/>
      <c r="AQ67" s="385"/>
      <c r="AR67" s="385"/>
      <c r="AS67" s="385"/>
      <c r="AT67" s="385"/>
      <c r="AU67" s="385"/>
      <c r="AV67" s="385"/>
      <c r="AW67" s="385"/>
      <c r="AX67" s="385"/>
    </row>
    <row r="68" spans="1:50" ht="10.8" hidden="1" thickTop="1" x14ac:dyDescent="0.2">
      <c r="A68" s="385"/>
      <c r="B68" s="385"/>
      <c r="C68" s="385"/>
      <c r="D68" s="445"/>
      <c r="E68" s="445"/>
      <c r="F68" s="385"/>
      <c r="G68" s="385"/>
      <c r="H68" s="385"/>
      <c r="I68" s="442"/>
      <c r="J68" s="442"/>
      <c r="K68" s="442"/>
      <c r="L68" s="442"/>
      <c r="M68" s="442"/>
      <c r="N68" s="442"/>
      <c r="O68" s="443"/>
      <c r="P68" s="385"/>
      <c r="Q68" s="385"/>
      <c r="R68" s="385"/>
      <c r="S68" s="385"/>
      <c r="T68" s="385"/>
      <c r="U68" s="385"/>
      <c r="V68" s="385"/>
      <c r="W68" s="385"/>
      <c r="X68" s="385"/>
      <c r="Y68" s="385"/>
      <c r="Z68" s="385"/>
      <c r="AA68" s="385"/>
      <c r="AB68" s="385"/>
      <c r="AC68" s="385"/>
      <c r="AD68" s="385"/>
      <c r="AE68" s="385"/>
      <c r="AF68" s="385"/>
      <c r="AG68" s="385"/>
      <c r="AH68" s="385"/>
      <c r="AI68" s="385"/>
      <c r="AJ68" s="385"/>
      <c r="AK68" s="385"/>
      <c r="AL68" s="385"/>
      <c r="AM68" s="385"/>
      <c r="AN68" s="385"/>
      <c r="AO68" s="385"/>
      <c r="AP68" s="385"/>
      <c r="AQ68" s="385"/>
      <c r="AR68" s="385"/>
      <c r="AS68" s="385"/>
      <c r="AT68" s="385"/>
      <c r="AU68" s="385"/>
      <c r="AV68" s="385"/>
      <c r="AW68" s="385"/>
      <c r="AX68" s="385"/>
    </row>
    <row r="69" spans="1:50" ht="10.8" hidden="1" thickTop="1" x14ac:dyDescent="0.2">
      <c r="A69" s="385"/>
      <c r="B69" s="385"/>
      <c r="C69" s="385"/>
      <c r="D69" s="445"/>
      <c r="E69" s="445"/>
      <c r="F69" s="385"/>
      <c r="G69" s="385"/>
      <c r="H69" s="385"/>
      <c r="I69" s="442"/>
      <c r="J69" s="442"/>
      <c r="K69" s="442"/>
      <c r="L69" s="442"/>
      <c r="M69" s="442"/>
      <c r="N69" s="442"/>
      <c r="O69" s="443"/>
      <c r="P69" s="385"/>
      <c r="Q69" s="385"/>
      <c r="R69" s="385"/>
      <c r="S69" s="385"/>
      <c r="T69" s="385"/>
      <c r="U69" s="385"/>
      <c r="V69" s="385"/>
      <c r="W69" s="385"/>
      <c r="X69" s="385"/>
      <c r="Y69" s="385"/>
      <c r="Z69" s="385"/>
      <c r="AA69" s="385"/>
      <c r="AB69" s="385"/>
      <c r="AC69" s="385"/>
      <c r="AD69" s="385"/>
      <c r="AE69" s="385"/>
      <c r="AF69" s="385"/>
      <c r="AG69" s="385"/>
      <c r="AH69" s="385"/>
      <c r="AI69" s="385"/>
      <c r="AJ69" s="385"/>
      <c r="AK69" s="385"/>
      <c r="AL69" s="385"/>
      <c r="AM69" s="385"/>
      <c r="AN69" s="385"/>
      <c r="AO69" s="385"/>
      <c r="AP69" s="385"/>
      <c r="AQ69" s="385"/>
      <c r="AR69" s="385"/>
      <c r="AS69" s="385"/>
      <c r="AT69" s="385"/>
      <c r="AU69" s="385"/>
      <c r="AV69" s="385"/>
      <c r="AW69" s="385"/>
      <c r="AX69" s="385"/>
    </row>
    <row r="70" spans="1:50" ht="10.8" hidden="1" thickTop="1" x14ac:dyDescent="0.2">
      <c r="A70" s="385"/>
      <c r="B70" s="385"/>
      <c r="C70" s="385"/>
      <c r="D70" s="445"/>
      <c r="E70" s="445"/>
      <c r="F70" s="385"/>
      <c r="G70" s="385"/>
      <c r="H70" s="385"/>
      <c r="I70" s="442"/>
      <c r="J70" s="442"/>
      <c r="K70" s="442"/>
      <c r="L70" s="442"/>
      <c r="M70" s="442"/>
      <c r="N70" s="442"/>
      <c r="O70" s="443"/>
      <c r="P70" s="385"/>
      <c r="Q70" s="385"/>
      <c r="R70" s="385"/>
      <c r="S70" s="385"/>
      <c r="T70" s="385"/>
      <c r="U70" s="385"/>
      <c r="V70" s="385"/>
      <c r="W70" s="385"/>
      <c r="X70" s="385"/>
      <c r="Y70" s="385"/>
      <c r="Z70" s="385"/>
      <c r="AA70" s="385"/>
      <c r="AB70" s="385"/>
      <c r="AC70" s="385"/>
      <c r="AD70" s="385"/>
      <c r="AE70" s="385"/>
      <c r="AF70" s="385"/>
      <c r="AG70" s="385"/>
      <c r="AH70" s="385"/>
      <c r="AI70" s="385"/>
      <c r="AJ70" s="385"/>
      <c r="AK70" s="385"/>
      <c r="AL70" s="385"/>
      <c r="AM70" s="385"/>
      <c r="AN70" s="385"/>
      <c r="AO70" s="385"/>
      <c r="AP70" s="385"/>
      <c r="AQ70" s="385"/>
      <c r="AR70" s="385"/>
      <c r="AS70" s="385"/>
      <c r="AT70" s="385"/>
      <c r="AU70" s="385"/>
      <c r="AV70" s="385"/>
      <c r="AW70" s="385"/>
      <c r="AX70" s="385"/>
    </row>
    <row r="71" spans="1:50" ht="10.8" hidden="1" thickTop="1" x14ac:dyDescent="0.2">
      <c r="A71" s="385"/>
      <c r="B71" s="385"/>
      <c r="C71" s="385"/>
      <c r="D71" s="445"/>
      <c r="E71" s="445"/>
      <c r="F71" s="385"/>
      <c r="G71" s="385"/>
      <c r="H71" s="385"/>
      <c r="I71" s="442"/>
      <c r="J71" s="442"/>
      <c r="K71" s="442"/>
      <c r="L71" s="442"/>
      <c r="M71" s="442"/>
      <c r="N71" s="442"/>
      <c r="O71" s="443"/>
      <c r="P71" s="385"/>
      <c r="Q71" s="385"/>
      <c r="R71" s="385"/>
      <c r="S71" s="385"/>
      <c r="T71" s="385"/>
      <c r="U71" s="385"/>
      <c r="V71" s="385"/>
      <c r="W71" s="385"/>
      <c r="X71" s="385"/>
      <c r="Y71" s="385"/>
      <c r="Z71" s="385"/>
      <c r="AA71" s="385"/>
      <c r="AB71" s="385"/>
      <c r="AC71" s="385"/>
      <c r="AD71" s="385"/>
      <c r="AE71" s="385"/>
      <c r="AF71" s="385"/>
      <c r="AG71" s="385"/>
      <c r="AH71" s="385"/>
      <c r="AI71" s="385"/>
      <c r="AJ71" s="385"/>
      <c r="AK71" s="385"/>
      <c r="AL71" s="385"/>
      <c r="AM71" s="385"/>
      <c r="AN71" s="385"/>
      <c r="AO71" s="385"/>
      <c r="AP71" s="385"/>
      <c r="AQ71" s="385"/>
      <c r="AR71" s="385"/>
      <c r="AS71" s="385"/>
      <c r="AT71" s="385"/>
      <c r="AU71" s="385"/>
      <c r="AV71" s="385"/>
      <c r="AW71" s="385"/>
      <c r="AX71" s="385"/>
    </row>
    <row r="72" spans="1:50" ht="10.8" hidden="1" thickTop="1" x14ac:dyDescent="0.2">
      <c r="A72" s="385"/>
      <c r="B72" s="444"/>
      <c r="C72" s="385"/>
      <c r="D72" s="445"/>
      <c r="E72" s="445"/>
      <c r="F72" s="385"/>
      <c r="G72" s="385"/>
      <c r="H72" s="385"/>
      <c r="I72" s="442"/>
      <c r="J72" s="442"/>
      <c r="K72" s="442"/>
      <c r="L72" s="442"/>
      <c r="M72" s="442"/>
      <c r="N72" s="442"/>
      <c r="O72" s="443"/>
      <c r="P72" s="385"/>
      <c r="Q72" s="385"/>
      <c r="R72" s="385"/>
      <c r="S72" s="385"/>
      <c r="T72" s="385"/>
      <c r="U72" s="385"/>
      <c r="V72" s="385"/>
      <c r="W72" s="385"/>
      <c r="X72" s="385"/>
      <c r="Y72" s="385"/>
      <c r="Z72" s="385"/>
      <c r="AA72" s="385"/>
      <c r="AB72" s="385"/>
      <c r="AC72" s="385"/>
      <c r="AD72" s="385"/>
      <c r="AE72" s="385"/>
      <c r="AF72" s="385"/>
      <c r="AG72" s="385"/>
      <c r="AH72" s="385"/>
      <c r="AI72" s="385"/>
      <c r="AJ72" s="385"/>
      <c r="AK72" s="385"/>
      <c r="AL72" s="385"/>
      <c r="AM72" s="385"/>
      <c r="AN72" s="385"/>
      <c r="AO72" s="385"/>
      <c r="AP72" s="385"/>
      <c r="AQ72" s="385"/>
      <c r="AR72" s="385"/>
      <c r="AS72" s="385"/>
      <c r="AT72" s="385"/>
      <c r="AU72" s="385"/>
      <c r="AV72" s="385"/>
      <c r="AW72" s="385"/>
      <c r="AX72" s="385"/>
    </row>
    <row r="73" spans="1:50" ht="10.8" hidden="1" thickTop="1" x14ac:dyDescent="0.2">
      <c r="A73" s="385"/>
      <c r="B73" s="385"/>
      <c r="C73" s="385"/>
      <c r="D73" s="385"/>
      <c r="E73" s="445"/>
      <c r="F73" s="385"/>
      <c r="G73" s="385"/>
      <c r="H73" s="385"/>
      <c r="I73" s="442"/>
      <c r="J73" s="442"/>
      <c r="K73" s="442"/>
      <c r="L73" s="442"/>
      <c r="M73" s="442"/>
      <c r="N73" s="442"/>
      <c r="O73" s="443"/>
      <c r="P73" s="385"/>
      <c r="Q73" s="385"/>
      <c r="R73" s="385"/>
      <c r="S73" s="385"/>
      <c r="T73" s="385"/>
      <c r="U73" s="385"/>
      <c r="V73" s="385"/>
      <c r="W73" s="385"/>
      <c r="X73" s="385"/>
      <c r="Y73" s="385"/>
      <c r="Z73" s="385"/>
      <c r="AA73" s="385"/>
      <c r="AB73" s="385"/>
      <c r="AC73" s="385"/>
      <c r="AD73" s="385"/>
      <c r="AE73" s="385"/>
      <c r="AF73" s="385"/>
      <c r="AG73" s="385"/>
      <c r="AH73" s="385"/>
      <c r="AI73" s="385"/>
      <c r="AJ73" s="385"/>
      <c r="AK73" s="385"/>
      <c r="AL73" s="385"/>
      <c r="AM73" s="385"/>
      <c r="AN73" s="385"/>
      <c r="AO73" s="385"/>
      <c r="AP73" s="385"/>
      <c r="AQ73" s="385"/>
      <c r="AR73" s="385"/>
      <c r="AS73" s="385"/>
      <c r="AT73" s="385"/>
      <c r="AU73" s="385"/>
      <c r="AV73" s="385"/>
      <c r="AW73" s="385"/>
      <c r="AX73" s="385"/>
    </row>
    <row r="74" spans="1:50" ht="10.8" hidden="1" thickTop="1" x14ac:dyDescent="0.2">
      <c r="A74" s="385"/>
      <c r="B74" s="385"/>
      <c r="C74" s="385"/>
      <c r="D74" s="445"/>
      <c r="E74" s="445"/>
      <c r="F74" s="385"/>
      <c r="G74" s="445"/>
      <c r="H74" s="385"/>
      <c r="I74" s="442"/>
      <c r="J74" s="442"/>
      <c r="K74" s="442"/>
      <c r="L74" s="442"/>
      <c r="M74" s="442"/>
      <c r="N74" s="442"/>
      <c r="O74" s="443"/>
      <c r="P74" s="385"/>
      <c r="Q74" s="385"/>
      <c r="R74" s="385"/>
      <c r="S74" s="385"/>
      <c r="T74" s="385"/>
      <c r="U74" s="385"/>
      <c r="V74" s="385"/>
      <c r="W74" s="385"/>
      <c r="X74" s="385"/>
      <c r="Y74" s="385"/>
      <c r="Z74" s="385"/>
      <c r="AA74" s="385"/>
      <c r="AB74" s="385"/>
      <c r="AC74" s="385"/>
      <c r="AD74" s="385"/>
      <c r="AE74" s="385"/>
      <c r="AF74" s="385"/>
      <c r="AG74" s="385"/>
      <c r="AH74" s="385"/>
      <c r="AI74" s="385"/>
      <c r="AJ74" s="385"/>
      <c r="AK74" s="385"/>
      <c r="AL74" s="385"/>
      <c r="AM74" s="385"/>
      <c r="AN74" s="385"/>
      <c r="AO74" s="385"/>
      <c r="AP74" s="385"/>
      <c r="AQ74" s="385"/>
      <c r="AR74" s="385"/>
      <c r="AS74" s="385"/>
      <c r="AT74" s="385"/>
      <c r="AU74" s="385"/>
      <c r="AV74" s="385"/>
      <c r="AW74" s="385"/>
      <c r="AX74" s="385"/>
    </row>
    <row r="75" spans="1:50" ht="10.8" hidden="1" thickTop="1" x14ac:dyDescent="0.2">
      <c r="A75" s="385"/>
      <c r="B75" s="385"/>
      <c r="C75" s="385"/>
      <c r="D75" s="385"/>
      <c r="E75" s="445"/>
      <c r="F75" s="385"/>
      <c r="G75" s="385"/>
      <c r="H75" s="385"/>
      <c r="I75" s="442"/>
      <c r="J75" s="442"/>
      <c r="K75" s="442"/>
      <c r="L75" s="442"/>
      <c r="M75" s="442"/>
      <c r="N75" s="442"/>
      <c r="O75" s="443"/>
      <c r="P75" s="385"/>
      <c r="Q75" s="385"/>
      <c r="R75" s="385"/>
      <c r="S75" s="385"/>
      <c r="T75" s="385"/>
      <c r="U75" s="385"/>
      <c r="V75" s="385"/>
      <c r="W75" s="385"/>
      <c r="X75" s="385"/>
      <c r="Y75" s="385"/>
      <c r="Z75" s="385"/>
      <c r="AA75" s="385"/>
      <c r="AB75" s="385"/>
      <c r="AC75" s="385"/>
      <c r="AD75" s="385"/>
      <c r="AE75" s="385"/>
      <c r="AF75" s="385"/>
      <c r="AG75" s="385"/>
      <c r="AH75" s="385"/>
      <c r="AI75" s="385"/>
      <c r="AJ75" s="385"/>
      <c r="AK75" s="385"/>
      <c r="AL75" s="385"/>
      <c r="AM75" s="385"/>
      <c r="AN75" s="385"/>
      <c r="AO75" s="385"/>
      <c r="AP75" s="385"/>
      <c r="AQ75" s="385"/>
      <c r="AR75" s="385"/>
      <c r="AS75" s="385"/>
      <c r="AT75" s="385"/>
      <c r="AU75" s="385"/>
      <c r="AV75" s="385"/>
      <c r="AW75" s="385"/>
      <c r="AX75" s="385"/>
    </row>
    <row r="76" spans="1:50" ht="10.8" hidden="1" thickTop="1" x14ac:dyDescent="0.2">
      <c r="A76" s="385"/>
      <c r="B76" s="385"/>
      <c r="C76" s="385"/>
      <c r="D76" s="445"/>
      <c r="E76" s="445"/>
      <c r="F76" s="385"/>
      <c r="G76" s="385"/>
      <c r="H76" s="385"/>
      <c r="I76" s="442"/>
      <c r="J76" s="442"/>
      <c r="K76" s="442"/>
      <c r="L76" s="442"/>
      <c r="M76" s="442"/>
      <c r="N76" s="442"/>
      <c r="O76" s="443"/>
      <c r="P76" s="385"/>
      <c r="Q76" s="385"/>
      <c r="R76" s="385"/>
      <c r="S76" s="385"/>
      <c r="T76" s="385"/>
      <c r="U76" s="385"/>
      <c r="V76" s="385"/>
      <c r="W76" s="385"/>
      <c r="X76" s="385"/>
      <c r="Y76" s="385"/>
      <c r="Z76" s="385"/>
      <c r="AA76" s="385"/>
      <c r="AB76" s="385"/>
      <c r="AC76" s="385"/>
      <c r="AD76" s="385"/>
      <c r="AE76" s="385"/>
      <c r="AF76" s="385"/>
      <c r="AG76" s="385"/>
      <c r="AH76" s="385"/>
      <c r="AI76" s="385"/>
      <c r="AJ76" s="385"/>
      <c r="AK76" s="385"/>
      <c r="AL76" s="385"/>
      <c r="AM76" s="385"/>
      <c r="AN76" s="385"/>
      <c r="AO76" s="385"/>
      <c r="AP76" s="385"/>
      <c r="AQ76" s="385"/>
      <c r="AR76" s="385"/>
      <c r="AS76" s="385"/>
      <c r="AT76" s="385"/>
      <c r="AU76" s="385"/>
      <c r="AV76" s="385"/>
      <c r="AW76" s="385"/>
      <c r="AX76" s="385"/>
    </row>
    <row r="77" spans="1:50" ht="10.8" hidden="1" thickTop="1" x14ac:dyDescent="0.2">
      <c r="A77" s="385"/>
      <c r="B77" s="385"/>
      <c r="C77" s="385"/>
      <c r="D77" s="445"/>
      <c r="E77" s="445"/>
      <c r="F77" s="385"/>
      <c r="G77" s="385"/>
      <c r="H77" s="385"/>
      <c r="I77" s="442"/>
      <c r="J77" s="442"/>
      <c r="K77" s="442"/>
      <c r="L77" s="442"/>
      <c r="M77" s="442"/>
      <c r="N77" s="442"/>
      <c r="O77" s="443"/>
      <c r="P77" s="385"/>
      <c r="Q77" s="385"/>
      <c r="R77" s="385"/>
      <c r="S77" s="385"/>
      <c r="T77" s="385"/>
      <c r="U77" s="385"/>
      <c r="V77" s="385"/>
      <c r="W77" s="385"/>
      <c r="X77" s="385"/>
      <c r="Y77" s="385"/>
      <c r="Z77" s="385"/>
      <c r="AA77" s="385"/>
      <c r="AB77" s="385"/>
      <c r="AC77" s="385"/>
      <c r="AD77" s="385"/>
      <c r="AE77" s="385"/>
      <c r="AF77" s="385"/>
      <c r="AG77" s="385"/>
      <c r="AH77" s="385"/>
      <c r="AI77" s="385"/>
      <c r="AJ77" s="385"/>
      <c r="AK77" s="385"/>
      <c r="AL77" s="385"/>
      <c r="AM77" s="385"/>
      <c r="AN77" s="385"/>
      <c r="AO77" s="385"/>
      <c r="AP77" s="385"/>
      <c r="AQ77" s="385"/>
      <c r="AR77" s="385"/>
      <c r="AS77" s="385"/>
      <c r="AT77" s="385"/>
      <c r="AU77" s="385"/>
      <c r="AV77" s="385"/>
      <c r="AW77" s="385"/>
      <c r="AX77" s="385"/>
    </row>
    <row r="78" spans="1:50" ht="10.8" hidden="1" thickTop="1" x14ac:dyDescent="0.2">
      <c r="A78" s="385"/>
      <c r="B78" s="385"/>
      <c r="C78" s="385"/>
      <c r="D78" s="445"/>
      <c r="E78" s="445"/>
      <c r="F78" s="385"/>
      <c r="G78" s="385"/>
      <c r="H78" s="385"/>
      <c r="I78" s="442"/>
      <c r="J78" s="442"/>
      <c r="K78" s="442"/>
      <c r="L78" s="442"/>
      <c r="M78" s="442"/>
      <c r="N78" s="442"/>
      <c r="O78" s="443"/>
      <c r="P78" s="385"/>
      <c r="Q78" s="385"/>
      <c r="R78" s="385"/>
      <c r="S78" s="385"/>
      <c r="T78" s="385"/>
      <c r="U78" s="385"/>
      <c r="V78" s="385"/>
      <c r="W78" s="385"/>
      <c r="X78" s="385"/>
      <c r="Y78" s="385"/>
      <c r="Z78" s="385"/>
      <c r="AA78" s="385"/>
      <c r="AB78" s="385"/>
      <c r="AC78" s="385"/>
      <c r="AD78" s="385"/>
      <c r="AE78" s="385"/>
      <c r="AF78" s="385"/>
      <c r="AG78" s="385"/>
      <c r="AH78" s="385"/>
      <c r="AI78" s="385"/>
      <c r="AJ78" s="385"/>
      <c r="AK78" s="385"/>
      <c r="AL78" s="385"/>
      <c r="AM78" s="385"/>
      <c r="AN78" s="385"/>
      <c r="AO78" s="385"/>
      <c r="AP78" s="385"/>
      <c r="AQ78" s="385"/>
      <c r="AR78" s="385"/>
      <c r="AS78" s="385"/>
      <c r="AT78" s="385"/>
      <c r="AU78" s="385"/>
      <c r="AV78" s="385"/>
      <c r="AW78" s="385"/>
      <c r="AX78" s="385"/>
    </row>
    <row r="79" spans="1:50" ht="10.8" hidden="1" thickTop="1" x14ac:dyDescent="0.2">
      <c r="A79" s="446"/>
      <c r="B79" s="385"/>
      <c r="C79" s="385"/>
      <c r="D79" s="385"/>
      <c r="E79" s="444"/>
      <c r="F79" s="385"/>
      <c r="G79" s="385"/>
      <c r="H79" s="385"/>
      <c r="I79" s="442"/>
      <c r="J79" s="442"/>
      <c r="K79" s="442"/>
      <c r="L79" s="442"/>
      <c r="M79" s="442"/>
      <c r="N79" s="442"/>
      <c r="O79" s="443"/>
      <c r="P79" s="385"/>
      <c r="Q79" s="385"/>
      <c r="R79" s="385"/>
      <c r="S79" s="385"/>
      <c r="T79" s="385"/>
      <c r="U79" s="385"/>
      <c r="V79" s="385"/>
      <c r="W79" s="385"/>
      <c r="X79" s="385"/>
      <c r="Y79" s="385"/>
      <c r="Z79" s="385"/>
      <c r="AA79" s="385"/>
      <c r="AB79" s="385"/>
      <c r="AC79" s="385"/>
      <c r="AD79" s="385"/>
      <c r="AE79" s="385"/>
      <c r="AF79" s="385"/>
      <c r="AG79" s="385"/>
      <c r="AH79" s="385"/>
      <c r="AI79" s="385"/>
      <c r="AJ79" s="385"/>
      <c r="AK79" s="385"/>
      <c r="AL79" s="385"/>
      <c r="AM79" s="385"/>
      <c r="AN79" s="385"/>
      <c r="AO79" s="385"/>
      <c r="AP79" s="385"/>
      <c r="AQ79" s="385"/>
      <c r="AR79" s="385"/>
      <c r="AS79" s="385"/>
      <c r="AT79" s="385"/>
      <c r="AU79" s="385"/>
      <c r="AV79" s="385"/>
      <c r="AW79" s="385"/>
      <c r="AX79" s="385"/>
    </row>
    <row r="80" spans="1:50" ht="10.8" hidden="1" thickTop="1" x14ac:dyDescent="0.2">
      <c r="A80" s="385"/>
      <c r="B80" s="444"/>
      <c r="C80" s="385"/>
      <c r="D80" s="385"/>
      <c r="E80" s="385"/>
      <c r="F80" s="385"/>
      <c r="G80" s="385"/>
      <c r="H80" s="385"/>
      <c r="I80" s="442"/>
      <c r="J80" s="442"/>
      <c r="K80" s="442"/>
      <c r="L80" s="442"/>
      <c r="M80" s="442"/>
      <c r="N80" s="442"/>
      <c r="O80" s="443"/>
      <c r="P80" s="385"/>
      <c r="Q80" s="385"/>
      <c r="R80" s="385"/>
      <c r="S80" s="385"/>
      <c r="T80" s="385"/>
      <c r="U80" s="385"/>
      <c r="V80" s="385"/>
      <c r="W80" s="385"/>
      <c r="X80" s="385"/>
      <c r="Y80" s="385"/>
      <c r="Z80" s="385"/>
      <c r="AA80" s="385"/>
      <c r="AB80" s="385"/>
      <c r="AC80" s="385"/>
      <c r="AD80" s="385"/>
      <c r="AE80" s="385"/>
      <c r="AF80" s="385"/>
      <c r="AG80" s="385"/>
      <c r="AH80" s="385"/>
      <c r="AI80" s="385"/>
      <c r="AJ80" s="385"/>
      <c r="AK80" s="385"/>
      <c r="AL80" s="385"/>
      <c r="AM80" s="385"/>
      <c r="AN80" s="385"/>
      <c r="AO80" s="385"/>
      <c r="AP80" s="385"/>
      <c r="AQ80" s="385"/>
      <c r="AR80" s="385"/>
      <c r="AS80" s="385"/>
      <c r="AT80" s="385"/>
      <c r="AU80" s="385"/>
      <c r="AV80" s="385"/>
      <c r="AW80" s="385"/>
      <c r="AX80" s="385"/>
    </row>
    <row r="81" spans="1:50" ht="10.8" hidden="1" thickTop="1" x14ac:dyDescent="0.2">
      <c r="A81" s="385"/>
      <c r="B81" s="385"/>
      <c r="C81" s="385"/>
      <c r="D81" s="385"/>
      <c r="E81" s="385"/>
      <c r="F81" s="385"/>
      <c r="G81" s="385"/>
      <c r="H81" s="385"/>
      <c r="I81" s="442"/>
      <c r="J81" s="442"/>
      <c r="K81" s="442"/>
      <c r="L81" s="442"/>
      <c r="M81" s="442"/>
      <c r="N81" s="442"/>
      <c r="O81" s="443"/>
      <c r="P81" s="385"/>
      <c r="Q81" s="385"/>
      <c r="R81" s="385"/>
      <c r="S81" s="385"/>
      <c r="T81" s="385"/>
      <c r="U81" s="385"/>
      <c r="V81" s="385"/>
      <c r="W81" s="385"/>
      <c r="X81" s="385"/>
      <c r="Y81" s="385"/>
      <c r="Z81" s="385"/>
      <c r="AA81" s="385"/>
      <c r="AB81" s="385"/>
      <c r="AC81" s="385"/>
      <c r="AD81" s="385"/>
      <c r="AE81" s="385"/>
      <c r="AF81" s="385"/>
      <c r="AG81" s="385"/>
      <c r="AH81" s="385"/>
      <c r="AI81" s="385"/>
      <c r="AJ81" s="385"/>
      <c r="AK81" s="385"/>
      <c r="AL81" s="385"/>
      <c r="AM81" s="385"/>
      <c r="AN81" s="385"/>
      <c r="AO81" s="385"/>
      <c r="AP81" s="385"/>
      <c r="AQ81" s="385"/>
      <c r="AR81" s="385"/>
      <c r="AS81" s="385"/>
      <c r="AT81" s="385"/>
      <c r="AU81" s="385"/>
      <c r="AV81" s="385"/>
      <c r="AW81" s="385"/>
      <c r="AX81" s="385"/>
    </row>
    <row r="82" spans="1:50" ht="10.8" hidden="1" thickTop="1" x14ac:dyDescent="0.2">
      <c r="A82" s="385"/>
      <c r="B82" s="444"/>
      <c r="C82" s="385"/>
      <c r="D82" s="445"/>
      <c r="E82" s="446"/>
      <c r="F82" s="385"/>
      <c r="G82" s="385"/>
      <c r="H82" s="385"/>
      <c r="I82" s="447"/>
      <c r="J82" s="442"/>
      <c r="K82" s="442"/>
      <c r="L82" s="442"/>
      <c r="M82" s="442"/>
      <c r="N82" s="442"/>
      <c r="O82" s="443"/>
      <c r="P82" s="385"/>
      <c r="Q82" s="385"/>
      <c r="R82" s="385"/>
      <c r="S82" s="385"/>
      <c r="T82" s="385"/>
      <c r="U82" s="385"/>
      <c r="V82" s="385"/>
      <c r="W82" s="385"/>
      <c r="X82" s="385"/>
      <c r="Y82" s="385"/>
      <c r="Z82" s="385"/>
      <c r="AA82" s="385"/>
      <c r="AB82" s="385"/>
      <c r="AC82" s="385"/>
      <c r="AD82" s="385"/>
      <c r="AE82" s="385"/>
      <c r="AF82" s="385"/>
      <c r="AG82" s="385"/>
      <c r="AH82" s="385"/>
      <c r="AI82" s="385"/>
      <c r="AJ82" s="385"/>
      <c r="AK82" s="385"/>
      <c r="AL82" s="385"/>
      <c r="AM82" s="385"/>
      <c r="AN82" s="385"/>
      <c r="AO82" s="385"/>
      <c r="AP82" s="385"/>
      <c r="AQ82" s="385"/>
      <c r="AR82" s="385"/>
      <c r="AS82" s="385"/>
      <c r="AT82" s="385"/>
      <c r="AU82" s="385"/>
      <c r="AV82" s="385"/>
      <c r="AW82" s="385"/>
      <c r="AX82" s="385"/>
    </row>
    <row r="83" spans="1:50" ht="10.8" hidden="1" thickTop="1" x14ac:dyDescent="0.2">
      <c r="A83" s="385"/>
      <c r="B83" s="385"/>
      <c r="C83" s="385"/>
      <c r="D83" s="385"/>
      <c r="E83" s="385"/>
      <c r="F83" s="385"/>
      <c r="G83" s="385"/>
      <c r="H83" s="385"/>
      <c r="I83" s="447"/>
      <c r="J83" s="442"/>
      <c r="K83" s="442"/>
      <c r="L83" s="442"/>
      <c r="M83" s="442"/>
      <c r="N83" s="442"/>
      <c r="O83" s="443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  <c r="AA83" s="385"/>
      <c r="AB83" s="385"/>
      <c r="AC83" s="385"/>
      <c r="AD83" s="385"/>
      <c r="AE83" s="385"/>
      <c r="AF83" s="385"/>
      <c r="AG83" s="385"/>
      <c r="AH83" s="385"/>
      <c r="AI83" s="385"/>
      <c r="AJ83" s="385"/>
      <c r="AK83" s="385"/>
      <c r="AL83" s="385"/>
      <c r="AM83" s="385"/>
      <c r="AN83" s="385"/>
      <c r="AO83" s="385"/>
      <c r="AP83" s="385"/>
      <c r="AQ83" s="385"/>
      <c r="AR83" s="385"/>
      <c r="AS83" s="385"/>
      <c r="AT83" s="385"/>
      <c r="AU83" s="385"/>
      <c r="AV83" s="385"/>
      <c r="AW83" s="385"/>
      <c r="AX83" s="385"/>
    </row>
    <row r="84" spans="1:50" ht="10.8" hidden="1" thickTop="1" x14ac:dyDescent="0.2">
      <c r="A84" s="385"/>
      <c r="B84" s="385"/>
      <c r="C84" s="385"/>
      <c r="D84" s="385"/>
      <c r="E84" s="385"/>
      <c r="F84" s="385"/>
      <c r="G84" s="385"/>
      <c r="H84" s="385"/>
      <c r="I84" s="447"/>
      <c r="J84" s="442"/>
      <c r="K84" s="442"/>
      <c r="L84" s="442"/>
      <c r="M84" s="442"/>
      <c r="N84" s="442"/>
      <c r="O84" s="443"/>
      <c r="P84" s="385"/>
      <c r="Q84" s="385"/>
      <c r="R84" s="385"/>
      <c r="S84" s="385"/>
      <c r="T84" s="385"/>
      <c r="U84" s="385"/>
      <c r="V84" s="385"/>
      <c r="W84" s="385"/>
      <c r="X84" s="385"/>
      <c r="Y84" s="385"/>
      <c r="Z84" s="385"/>
      <c r="AA84" s="385"/>
      <c r="AB84" s="385"/>
      <c r="AC84" s="385"/>
      <c r="AD84" s="385"/>
      <c r="AE84" s="385"/>
      <c r="AF84" s="385"/>
      <c r="AG84" s="385"/>
      <c r="AH84" s="385"/>
      <c r="AI84" s="385"/>
      <c r="AJ84" s="385"/>
      <c r="AK84" s="385"/>
      <c r="AL84" s="385"/>
      <c r="AM84" s="385"/>
      <c r="AN84" s="385"/>
      <c r="AO84" s="385"/>
      <c r="AP84" s="385"/>
      <c r="AQ84" s="385"/>
      <c r="AR84" s="385"/>
      <c r="AS84" s="385"/>
      <c r="AT84" s="385"/>
      <c r="AU84" s="385"/>
      <c r="AV84" s="385"/>
      <c r="AW84" s="385"/>
      <c r="AX84" s="385"/>
    </row>
    <row r="85" spans="1:50" ht="10.8" hidden="1" thickTop="1" x14ac:dyDescent="0.2">
      <c r="A85" s="385"/>
      <c r="B85" s="385"/>
      <c r="C85" s="385"/>
      <c r="D85" s="385"/>
      <c r="E85" s="385"/>
      <c r="F85" s="385"/>
      <c r="G85" s="385"/>
      <c r="H85" s="385"/>
      <c r="I85" s="447"/>
      <c r="J85" s="442"/>
      <c r="K85" s="442"/>
      <c r="L85" s="442"/>
      <c r="M85" s="442"/>
      <c r="N85" s="442"/>
      <c r="O85" s="443"/>
      <c r="P85" s="385"/>
      <c r="Q85" s="385"/>
      <c r="R85" s="385"/>
      <c r="S85" s="385"/>
      <c r="T85" s="385"/>
      <c r="U85" s="385"/>
      <c r="V85" s="385"/>
      <c r="W85" s="385"/>
      <c r="X85" s="385"/>
      <c r="Y85" s="385"/>
      <c r="Z85" s="385"/>
      <c r="AA85" s="385"/>
      <c r="AB85" s="385"/>
      <c r="AC85" s="385"/>
      <c r="AD85" s="385"/>
      <c r="AE85" s="385"/>
      <c r="AF85" s="385"/>
      <c r="AG85" s="385"/>
      <c r="AH85" s="385"/>
      <c r="AI85" s="385"/>
      <c r="AJ85" s="385"/>
      <c r="AK85" s="385"/>
      <c r="AL85" s="385"/>
      <c r="AM85" s="385"/>
      <c r="AN85" s="385"/>
      <c r="AO85" s="385"/>
      <c r="AP85" s="385"/>
      <c r="AQ85" s="385"/>
      <c r="AR85" s="385"/>
      <c r="AS85" s="385"/>
      <c r="AT85" s="385"/>
      <c r="AU85" s="385"/>
      <c r="AV85" s="385"/>
      <c r="AW85" s="385"/>
      <c r="AX85" s="385"/>
    </row>
    <row r="86" spans="1:50" ht="10.8" hidden="1" thickTop="1" x14ac:dyDescent="0.2">
      <c r="A86" s="385"/>
      <c r="B86" s="385"/>
      <c r="C86" s="385"/>
      <c r="D86" s="445"/>
      <c r="E86" s="446"/>
      <c r="F86" s="385"/>
      <c r="G86" s="385"/>
      <c r="H86" s="385"/>
      <c r="I86" s="447"/>
      <c r="J86" s="442"/>
      <c r="K86" s="442"/>
      <c r="L86" s="442"/>
      <c r="M86" s="442"/>
      <c r="N86" s="442"/>
      <c r="O86" s="443"/>
      <c r="P86" s="385"/>
      <c r="Q86" s="385"/>
      <c r="R86" s="385"/>
      <c r="S86" s="385"/>
      <c r="T86" s="385"/>
      <c r="U86" s="385"/>
      <c r="V86" s="385"/>
      <c r="W86" s="385"/>
      <c r="X86" s="385"/>
      <c r="Y86" s="385"/>
      <c r="Z86" s="385"/>
      <c r="AA86" s="385"/>
      <c r="AB86" s="385"/>
      <c r="AC86" s="385"/>
      <c r="AD86" s="385"/>
      <c r="AE86" s="385"/>
      <c r="AF86" s="385"/>
      <c r="AG86" s="385"/>
      <c r="AH86" s="385"/>
      <c r="AI86" s="385"/>
      <c r="AJ86" s="385"/>
      <c r="AK86" s="385"/>
      <c r="AL86" s="385"/>
      <c r="AM86" s="385"/>
      <c r="AN86" s="385"/>
      <c r="AO86" s="385"/>
      <c r="AP86" s="385"/>
      <c r="AQ86" s="385"/>
      <c r="AR86" s="385"/>
      <c r="AS86" s="385"/>
      <c r="AT86" s="385"/>
      <c r="AU86" s="385"/>
      <c r="AV86" s="385"/>
      <c r="AW86" s="385"/>
      <c r="AX86" s="385"/>
    </row>
    <row r="87" spans="1:50" ht="10.8" hidden="1" thickTop="1" x14ac:dyDescent="0.2">
      <c r="A87" s="385"/>
      <c r="B87" s="385"/>
      <c r="C87" s="385"/>
      <c r="D87" s="385"/>
      <c r="E87" s="385"/>
      <c r="F87" s="385"/>
      <c r="G87" s="385"/>
      <c r="H87" s="385"/>
      <c r="I87" s="447"/>
      <c r="J87" s="442"/>
      <c r="K87" s="442"/>
      <c r="L87" s="442"/>
      <c r="M87" s="442"/>
      <c r="N87" s="442"/>
      <c r="O87" s="443"/>
      <c r="P87" s="385"/>
      <c r="Q87" s="385"/>
      <c r="R87" s="385"/>
      <c r="S87" s="385"/>
      <c r="T87" s="385"/>
      <c r="U87" s="385"/>
      <c r="V87" s="385"/>
      <c r="W87" s="385"/>
      <c r="X87" s="385"/>
      <c r="Y87" s="385"/>
      <c r="Z87" s="385"/>
      <c r="AA87" s="385"/>
      <c r="AB87" s="385"/>
      <c r="AC87" s="385"/>
      <c r="AD87" s="385"/>
      <c r="AE87" s="385"/>
      <c r="AF87" s="385"/>
      <c r="AG87" s="385"/>
      <c r="AH87" s="385"/>
      <c r="AI87" s="385"/>
      <c r="AJ87" s="385"/>
      <c r="AK87" s="385"/>
      <c r="AL87" s="385"/>
      <c r="AM87" s="385"/>
      <c r="AN87" s="385"/>
      <c r="AO87" s="385"/>
      <c r="AP87" s="385"/>
      <c r="AQ87" s="385"/>
      <c r="AR87" s="385"/>
      <c r="AS87" s="385"/>
      <c r="AT87" s="385"/>
      <c r="AU87" s="385"/>
      <c r="AV87" s="385"/>
      <c r="AW87" s="385"/>
      <c r="AX87" s="385"/>
    </row>
    <row r="88" spans="1:50" ht="10.8" hidden="1" thickTop="1" x14ac:dyDescent="0.2">
      <c r="A88" s="385"/>
      <c r="B88" s="385"/>
      <c r="C88" s="385"/>
      <c r="D88" s="385"/>
      <c r="E88" s="448"/>
      <c r="F88" s="385"/>
      <c r="G88" s="385"/>
      <c r="H88" s="385"/>
      <c r="I88" s="447"/>
      <c r="J88" s="442"/>
      <c r="K88" s="442"/>
      <c r="L88" s="442"/>
      <c r="M88" s="442"/>
      <c r="N88" s="442"/>
      <c r="O88" s="443"/>
      <c r="P88" s="385"/>
      <c r="Q88" s="385"/>
      <c r="R88" s="385"/>
      <c r="S88" s="385"/>
      <c r="T88" s="385"/>
      <c r="U88" s="385"/>
      <c r="V88" s="385"/>
      <c r="W88" s="385"/>
      <c r="X88" s="385"/>
      <c r="Y88" s="385"/>
      <c r="Z88" s="385"/>
      <c r="AA88" s="385"/>
      <c r="AB88" s="385"/>
      <c r="AC88" s="385"/>
      <c r="AD88" s="385"/>
      <c r="AE88" s="385"/>
      <c r="AF88" s="385"/>
      <c r="AG88" s="385"/>
      <c r="AH88" s="385"/>
      <c r="AI88" s="385"/>
      <c r="AJ88" s="385"/>
      <c r="AK88" s="385"/>
      <c r="AL88" s="385"/>
      <c r="AM88" s="385"/>
      <c r="AN88" s="385"/>
      <c r="AO88" s="385"/>
      <c r="AP88" s="385"/>
      <c r="AQ88" s="385"/>
      <c r="AR88" s="385"/>
      <c r="AS88" s="385"/>
      <c r="AT88" s="385"/>
      <c r="AU88" s="385"/>
      <c r="AV88" s="385"/>
      <c r="AW88" s="385"/>
      <c r="AX88" s="385"/>
    </row>
    <row r="89" spans="1:50" ht="10.8" hidden="1" thickTop="1" x14ac:dyDescent="0.2">
      <c r="A89" s="385"/>
      <c r="B89" s="385"/>
      <c r="C89" s="385"/>
      <c r="D89" s="385"/>
      <c r="E89" s="385"/>
      <c r="F89" s="385"/>
      <c r="G89" s="385"/>
      <c r="H89" s="385"/>
      <c r="I89" s="447"/>
      <c r="J89" s="442"/>
      <c r="K89" s="442"/>
      <c r="L89" s="442"/>
      <c r="M89" s="442"/>
      <c r="N89" s="442"/>
      <c r="O89" s="443"/>
      <c r="P89" s="385"/>
      <c r="Q89" s="385"/>
      <c r="R89" s="385"/>
      <c r="S89" s="385"/>
      <c r="T89" s="385"/>
      <c r="U89" s="385"/>
      <c r="V89" s="385"/>
      <c r="W89" s="385"/>
      <c r="X89" s="385"/>
      <c r="Y89" s="385"/>
      <c r="Z89" s="385"/>
      <c r="AA89" s="385"/>
      <c r="AB89" s="385"/>
      <c r="AC89" s="385"/>
      <c r="AD89" s="385"/>
      <c r="AE89" s="385"/>
      <c r="AF89" s="385"/>
      <c r="AG89" s="385"/>
      <c r="AH89" s="385"/>
      <c r="AI89" s="385"/>
      <c r="AJ89" s="385"/>
      <c r="AK89" s="385"/>
      <c r="AL89" s="385"/>
      <c r="AM89" s="385"/>
      <c r="AN89" s="385"/>
      <c r="AO89" s="385"/>
      <c r="AP89" s="385"/>
      <c r="AQ89" s="385"/>
      <c r="AR89" s="385"/>
      <c r="AS89" s="385"/>
      <c r="AT89" s="385"/>
      <c r="AU89" s="385"/>
      <c r="AV89" s="385"/>
      <c r="AW89" s="385"/>
      <c r="AX89" s="385"/>
    </row>
    <row r="90" spans="1:50" ht="10.8" hidden="1" thickTop="1" x14ac:dyDescent="0.2">
      <c r="A90" s="385"/>
      <c r="B90" s="385"/>
      <c r="C90" s="385"/>
      <c r="D90" s="449"/>
      <c r="E90" s="445"/>
      <c r="F90" s="385"/>
      <c r="G90" s="385"/>
      <c r="H90" s="385"/>
      <c r="I90" s="447"/>
      <c r="J90" s="442"/>
      <c r="K90" s="442"/>
      <c r="L90" s="442"/>
      <c r="M90" s="442"/>
      <c r="N90" s="442"/>
      <c r="O90" s="443"/>
      <c r="P90" s="385"/>
      <c r="Q90" s="385"/>
      <c r="R90" s="385"/>
      <c r="S90" s="385"/>
      <c r="T90" s="385"/>
      <c r="U90" s="385"/>
      <c r="V90" s="385"/>
      <c r="W90" s="385"/>
      <c r="X90" s="385"/>
      <c r="Y90" s="385"/>
      <c r="Z90" s="385"/>
      <c r="AA90" s="385"/>
      <c r="AB90" s="385"/>
      <c r="AC90" s="385"/>
      <c r="AD90" s="385"/>
      <c r="AE90" s="385"/>
      <c r="AF90" s="385"/>
      <c r="AG90" s="385"/>
      <c r="AH90" s="385"/>
      <c r="AI90" s="385"/>
      <c r="AJ90" s="385"/>
      <c r="AK90" s="385"/>
      <c r="AL90" s="385"/>
      <c r="AM90" s="385"/>
      <c r="AN90" s="385"/>
      <c r="AO90" s="385"/>
      <c r="AP90" s="385"/>
      <c r="AQ90" s="385"/>
      <c r="AR90" s="385"/>
      <c r="AS90" s="385"/>
      <c r="AT90" s="385"/>
      <c r="AU90" s="385"/>
      <c r="AV90" s="385"/>
      <c r="AW90" s="385"/>
      <c r="AX90" s="385"/>
    </row>
    <row r="91" spans="1:50" ht="10.8" hidden="1" thickTop="1" x14ac:dyDescent="0.2">
      <c r="A91" s="385"/>
      <c r="B91" s="385"/>
      <c r="C91" s="385"/>
      <c r="D91" s="445"/>
      <c r="E91" s="385"/>
      <c r="F91" s="385"/>
      <c r="G91" s="385"/>
      <c r="H91" s="385"/>
      <c r="I91" s="447"/>
      <c r="J91" s="442"/>
      <c r="K91" s="442"/>
      <c r="L91" s="442"/>
      <c r="M91" s="442"/>
      <c r="N91" s="442"/>
      <c r="O91" s="443"/>
      <c r="P91" s="385"/>
      <c r="Q91" s="385"/>
      <c r="R91" s="385"/>
      <c r="S91" s="385"/>
      <c r="T91" s="385"/>
      <c r="U91" s="385"/>
      <c r="V91" s="385"/>
      <c r="W91" s="385"/>
      <c r="X91" s="385"/>
      <c r="Y91" s="385"/>
      <c r="Z91" s="385"/>
      <c r="AA91" s="385"/>
      <c r="AB91" s="385"/>
      <c r="AC91" s="385"/>
      <c r="AD91" s="385"/>
      <c r="AE91" s="385"/>
      <c r="AF91" s="385"/>
      <c r="AG91" s="385"/>
      <c r="AH91" s="385"/>
      <c r="AI91" s="385"/>
      <c r="AJ91" s="385"/>
      <c r="AK91" s="385"/>
      <c r="AL91" s="385"/>
      <c r="AM91" s="385"/>
      <c r="AN91" s="385"/>
      <c r="AO91" s="385"/>
      <c r="AP91" s="385"/>
      <c r="AQ91" s="385"/>
      <c r="AR91" s="385"/>
      <c r="AS91" s="385"/>
      <c r="AT91" s="385"/>
      <c r="AU91" s="385"/>
      <c r="AV91" s="385"/>
      <c r="AW91" s="385"/>
      <c r="AX91" s="385"/>
    </row>
    <row r="92" spans="1:50" ht="10.8" hidden="1" thickTop="1" x14ac:dyDescent="0.2">
      <c r="A92" s="385"/>
      <c r="B92" s="385"/>
      <c r="C92" s="385"/>
      <c r="D92" s="445"/>
      <c r="E92" s="385"/>
      <c r="F92" s="385"/>
      <c r="G92" s="385"/>
      <c r="H92" s="385"/>
      <c r="I92" s="447"/>
      <c r="J92" s="442"/>
      <c r="K92" s="442"/>
      <c r="L92" s="442"/>
      <c r="M92" s="442"/>
      <c r="N92" s="442"/>
      <c r="O92" s="443"/>
      <c r="P92" s="385"/>
      <c r="Q92" s="385"/>
      <c r="R92" s="385"/>
      <c r="S92" s="385"/>
      <c r="T92" s="385"/>
      <c r="U92" s="385"/>
      <c r="V92" s="385"/>
      <c r="W92" s="385"/>
      <c r="X92" s="385"/>
      <c r="Y92" s="385"/>
      <c r="Z92" s="385"/>
      <c r="AA92" s="385"/>
      <c r="AB92" s="385"/>
      <c r="AC92" s="385"/>
      <c r="AD92" s="385"/>
      <c r="AE92" s="385"/>
      <c r="AF92" s="385"/>
      <c r="AG92" s="385"/>
      <c r="AH92" s="385"/>
      <c r="AI92" s="385"/>
      <c r="AJ92" s="385"/>
      <c r="AK92" s="385"/>
      <c r="AL92" s="385"/>
      <c r="AM92" s="385"/>
      <c r="AN92" s="385"/>
      <c r="AO92" s="385"/>
      <c r="AP92" s="385"/>
      <c r="AQ92" s="385"/>
      <c r="AR92" s="385"/>
      <c r="AS92" s="385"/>
      <c r="AT92" s="385"/>
      <c r="AU92" s="385"/>
      <c r="AV92" s="385"/>
      <c r="AW92" s="385"/>
      <c r="AX92" s="385"/>
    </row>
    <row r="93" spans="1:50" ht="10.8" hidden="1" thickTop="1" x14ac:dyDescent="0.2">
      <c r="A93" s="385"/>
      <c r="B93" s="385"/>
      <c r="C93" s="385"/>
      <c r="D93" s="385"/>
      <c r="E93" s="385"/>
      <c r="F93" s="385"/>
      <c r="G93" s="385"/>
      <c r="H93" s="385"/>
      <c r="I93" s="447"/>
      <c r="J93" s="442"/>
      <c r="K93" s="442"/>
      <c r="L93" s="442"/>
      <c r="M93" s="442"/>
      <c r="N93" s="442"/>
      <c r="O93" s="443"/>
      <c r="P93" s="385"/>
      <c r="Q93" s="385"/>
      <c r="R93" s="385"/>
      <c r="S93" s="385"/>
      <c r="T93" s="385"/>
      <c r="U93" s="385"/>
      <c r="V93" s="385"/>
      <c r="W93" s="385"/>
      <c r="X93" s="385"/>
      <c r="Y93" s="385"/>
      <c r="Z93" s="385"/>
      <c r="AA93" s="385"/>
      <c r="AB93" s="385"/>
      <c r="AC93" s="385"/>
      <c r="AD93" s="385"/>
      <c r="AE93" s="385"/>
      <c r="AF93" s="385"/>
      <c r="AG93" s="385"/>
      <c r="AH93" s="385"/>
      <c r="AI93" s="385"/>
      <c r="AJ93" s="385"/>
      <c r="AK93" s="385"/>
      <c r="AL93" s="385"/>
      <c r="AM93" s="385"/>
      <c r="AN93" s="385"/>
      <c r="AO93" s="385"/>
      <c r="AP93" s="385"/>
      <c r="AQ93" s="385"/>
      <c r="AR93" s="385"/>
      <c r="AS93" s="385"/>
      <c r="AT93" s="385"/>
      <c r="AU93" s="385"/>
      <c r="AV93" s="385"/>
      <c r="AW93" s="385"/>
      <c r="AX93" s="385"/>
    </row>
    <row r="94" spans="1:50" ht="10.8" hidden="1" thickTop="1" x14ac:dyDescent="0.2">
      <c r="A94" s="385"/>
      <c r="B94" s="385"/>
      <c r="C94" s="385"/>
      <c r="D94" s="385"/>
      <c r="E94" s="385"/>
      <c r="F94" s="385"/>
      <c r="G94" s="385"/>
      <c r="H94" s="385"/>
      <c r="I94" s="447"/>
      <c r="J94" s="442"/>
      <c r="K94" s="442"/>
      <c r="L94" s="442"/>
      <c r="M94" s="442"/>
      <c r="N94" s="442"/>
      <c r="O94" s="443"/>
      <c r="P94" s="385"/>
      <c r="Q94" s="385"/>
      <c r="R94" s="385"/>
      <c r="S94" s="385"/>
      <c r="T94" s="385"/>
      <c r="U94" s="385"/>
      <c r="V94" s="385"/>
      <c r="W94" s="385"/>
      <c r="X94" s="385"/>
      <c r="Y94" s="385"/>
      <c r="Z94" s="385"/>
      <c r="AA94" s="385"/>
      <c r="AB94" s="385"/>
      <c r="AC94" s="385"/>
      <c r="AD94" s="385"/>
      <c r="AE94" s="385"/>
      <c r="AF94" s="385"/>
      <c r="AG94" s="385"/>
      <c r="AH94" s="385"/>
      <c r="AI94" s="385"/>
      <c r="AJ94" s="385"/>
      <c r="AK94" s="385"/>
      <c r="AL94" s="385"/>
      <c r="AM94" s="385"/>
      <c r="AN94" s="385"/>
      <c r="AO94" s="385"/>
      <c r="AP94" s="385"/>
      <c r="AQ94" s="385"/>
      <c r="AR94" s="385"/>
      <c r="AS94" s="385"/>
      <c r="AT94" s="385"/>
      <c r="AU94" s="385"/>
      <c r="AV94" s="385"/>
      <c r="AW94" s="385"/>
      <c r="AX94" s="385"/>
    </row>
    <row r="95" spans="1:50" ht="10.8" hidden="1" thickTop="1" x14ac:dyDescent="0.2">
      <c r="A95" s="385"/>
      <c r="B95" s="385"/>
      <c r="C95" s="385"/>
      <c r="D95" s="385"/>
      <c r="E95" s="385"/>
      <c r="F95" s="385"/>
      <c r="G95" s="385"/>
      <c r="H95" s="385"/>
      <c r="I95" s="447"/>
      <c r="J95" s="442"/>
      <c r="K95" s="442"/>
      <c r="L95" s="442"/>
      <c r="M95" s="442"/>
      <c r="N95" s="442"/>
      <c r="O95" s="443"/>
      <c r="P95" s="385"/>
      <c r="Q95" s="385"/>
      <c r="R95" s="385"/>
      <c r="S95" s="385"/>
      <c r="T95" s="385"/>
      <c r="U95" s="385"/>
      <c r="V95" s="385"/>
      <c r="W95" s="385"/>
      <c r="X95" s="385"/>
      <c r="Y95" s="385"/>
      <c r="Z95" s="385"/>
      <c r="AA95" s="385"/>
      <c r="AB95" s="385"/>
      <c r="AC95" s="385"/>
      <c r="AD95" s="385"/>
      <c r="AE95" s="385"/>
      <c r="AF95" s="385"/>
      <c r="AG95" s="385"/>
      <c r="AH95" s="385"/>
      <c r="AI95" s="385"/>
      <c r="AJ95" s="385"/>
      <c r="AK95" s="385"/>
      <c r="AL95" s="385"/>
      <c r="AM95" s="385"/>
      <c r="AN95" s="385"/>
      <c r="AO95" s="385"/>
      <c r="AP95" s="385"/>
      <c r="AQ95" s="385"/>
      <c r="AR95" s="385"/>
      <c r="AS95" s="385"/>
      <c r="AT95" s="385"/>
      <c r="AU95" s="385"/>
      <c r="AV95" s="385"/>
      <c r="AW95" s="385"/>
      <c r="AX95" s="385"/>
    </row>
    <row r="96" spans="1:50" ht="10.8" hidden="1" thickTop="1" x14ac:dyDescent="0.2">
      <c r="A96" s="385"/>
      <c r="B96" s="385"/>
      <c r="C96" s="385"/>
      <c r="D96" s="385"/>
      <c r="E96" s="385"/>
      <c r="F96" s="385"/>
      <c r="G96" s="385"/>
      <c r="H96" s="385"/>
      <c r="I96" s="447"/>
      <c r="J96" s="442"/>
      <c r="K96" s="442"/>
      <c r="L96" s="442"/>
      <c r="M96" s="442"/>
      <c r="N96" s="442"/>
      <c r="O96" s="443"/>
      <c r="P96" s="385"/>
      <c r="Q96" s="385"/>
      <c r="R96" s="385"/>
      <c r="S96" s="385"/>
      <c r="T96" s="385"/>
      <c r="U96" s="385"/>
      <c r="V96" s="385"/>
      <c r="W96" s="385"/>
      <c r="X96" s="385"/>
      <c r="Y96" s="385"/>
      <c r="Z96" s="385"/>
      <c r="AA96" s="385"/>
      <c r="AB96" s="385"/>
      <c r="AC96" s="385"/>
      <c r="AD96" s="385"/>
      <c r="AE96" s="385"/>
      <c r="AF96" s="385"/>
      <c r="AG96" s="385"/>
      <c r="AH96" s="385"/>
      <c r="AI96" s="385"/>
      <c r="AJ96" s="385"/>
      <c r="AK96" s="385"/>
      <c r="AL96" s="385"/>
      <c r="AM96" s="385"/>
      <c r="AN96" s="385"/>
      <c r="AO96" s="385"/>
      <c r="AP96" s="385"/>
      <c r="AQ96" s="385"/>
      <c r="AR96" s="385"/>
      <c r="AS96" s="385"/>
      <c r="AT96" s="385"/>
      <c r="AU96" s="385"/>
      <c r="AV96" s="385"/>
      <c r="AW96" s="385"/>
      <c r="AX96" s="385"/>
    </row>
    <row r="97" spans="1:50" ht="10.8" hidden="1" thickTop="1" x14ac:dyDescent="0.2">
      <c r="A97" s="385"/>
      <c r="B97" s="385"/>
      <c r="C97" s="385"/>
      <c r="D97" s="385"/>
      <c r="E97" s="385"/>
      <c r="F97" s="385"/>
      <c r="G97" s="385"/>
      <c r="H97" s="385"/>
      <c r="I97" s="447"/>
      <c r="J97" s="442"/>
      <c r="K97" s="442"/>
      <c r="L97" s="442"/>
      <c r="M97" s="442"/>
      <c r="N97" s="442"/>
      <c r="O97" s="443"/>
      <c r="P97" s="385"/>
      <c r="Q97" s="385"/>
      <c r="R97" s="385"/>
      <c r="S97" s="385"/>
      <c r="T97" s="385"/>
      <c r="U97" s="385"/>
      <c r="V97" s="385"/>
      <c r="W97" s="385"/>
      <c r="X97" s="385"/>
      <c r="Y97" s="385"/>
      <c r="Z97" s="385"/>
      <c r="AA97" s="385"/>
      <c r="AB97" s="385"/>
      <c r="AC97" s="385"/>
      <c r="AD97" s="385"/>
      <c r="AE97" s="385"/>
      <c r="AF97" s="385"/>
      <c r="AG97" s="385"/>
      <c r="AH97" s="385"/>
      <c r="AI97" s="385"/>
      <c r="AJ97" s="385"/>
      <c r="AK97" s="385"/>
      <c r="AL97" s="385"/>
      <c r="AM97" s="385"/>
      <c r="AN97" s="385"/>
      <c r="AO97" s="385"/>
      <c r="AP97" s="385"/>
      <c r="AQ97" s="385"/>
      <c r="AR97" s="385"/>
      <c r="AS97" s="385"/>
      <c r="AT97" s="385"/>
      <c r="AU97" s="385"/>
      <c r="AV97" s="385"/>
      <c r="AW97" s="385"/>
      <c r="AX97" s="385"/>
    </row>
    <row r="98" spans="1:50" ht="10.8" hidden="1" thickTop="1" x14ac:dyDescent="0.2">
      <c r="A98" s="385"/>
      <c r="B98" s="385"/>
      <c r="C98" s="385"/>
      <c r="D98" s="385"/>
      <c r="E98" s="385"/>
      <c r="F98" s="385"/>
      <c r="G98" s="385"/>
      <c r="H98" s="385"/>
      <c r="I98" s="447"/>
      <c r="J98" s="442"/>
      <c r="K98" s="442"/>
      <c r="L98" s="442"/>
      <c r="M98" s="442"/>
      <c r="N98" s="442"/>
      <c r="O98" s="443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5"/>
      <c r="AG98" s="385"/>
      <c r="AH98" s="385"/>
      <c r="AI98" s="385"/>
      <c r="AJ98" s="385"/>
      <c r="AK98" s="385"/>
      <c r="AL98" s="385"/>
      <c r="AM98" s="385"/>
      <c r="AN98" s="385"/>
      <c r="AO98" s="385"/>
      <c r="AP98" s="385"/>
      <c r="AQ98" s="385"/>
      <c r="AR98" s="385"/>
      <c r="AS98" s="385"/>
      <c r="AT98" s="385"/>
      <c r="AU98" s="385"/>
      <c r="AV98" s="385"/>
      <c r="AW98" s="385"/>
      <c r="AX98" s="385"/>
    </row>
    <row r="99" spans="1:50" ht="10.8" hidden="1" thickTop="1" x14ac:dyDescent="0.2">
      <c r="A99" s="385"/>
      <c r="B99" s="385"/>
      <c r="C99" s="385"/>
      <c r="D99" s="385"/>
      <c r="E99" s="385"/>
      <c r="F99" s="385"/>
      <c r="G99" s="385"/>
      <c r="H99" s="385"/>
      <c r="I99" s="447"/>
      <c r="J99" s="442"/>
      <c r="K99" s="442"/>
      <c r="L99" s="442"/>
      <c r="M99" s="442"/>
      <c r="N99" s="442"/>
      <c r="O99" s="443"/>
      <c r="P99" s="385"/>
      <c r="Q99" s="385"/>
      <c r="R99" s="385"/>
      <c r="S99" s="385"/>
      <c r="T99" s="385"/>
      <c r="U99" s="385"/>
      <c r="V99" s="385"/>
      <c r="W99" s="385"/>
      <c r="X99" s="385"/>
      <c r="Y99" s="385"/>
      <c r="Z99" s="385"/>
      <c r="AA99" s="385"/>
      <c r="AB99" s="385"/>
      <c r="AC99" s="385"/>
      <c r="AD99" s="385"/>
      <c r="AE99" s="385"/>
      <c r="AF99" s="385"/>
      <c r="AG99" s="385"/>
      <c r="AH99" s="385"/>
      <c r="AI99" s="385"/>
      <c r="AJ99" s="385"/>
      <c r="AK99" s="385"/>
      <c r="AL99" s="385"/>
      <c r="AM99" s="385"/>
      <c r="AN99" s="385"/>
      <c r="AO99" s="385"/>
      <c r="AP99" s="385"/>
      <c r="AQ99" s="385"/>
      <c r="AR99" s="385"/>
      <c r="AS99" s="385"/>
      <c r="AT99" s="385"/>
      <c r="AU99" s="385"/>
      <c r="AV99" s="385"/>
      <c r="AW99" s="385"/>
      <c r="AX99" s="385"/>
    </row>
    <row r="100" spans="1:50" ht="10.8" hidden="1" thickTop="1" x14ac:dyDescent="0.2">
      <c r="A100" s="385"/>
      <c r="B100" s="385"/>
      <c r="C100" s="385"/>
      <c r="D100" s="385"/>
      <c r="E100" s="385"/>
      <c r="F100" s="385"/>
      <c r="G100" s="385"/>
      <c r="H100" s="385"/>
      <c r="I100" s="447"/>
      <c r="J100" s="442"/>
      <c r="K100" s="442"/>
      <c r="L100" s="442"/>
      <c r="M100" s="442"/>
      <c r="N100" s="442"/>
      <c r="O100" s="443"/>
      <c r="P100" s="385"/>
      <c r="Q100" s="385"/>
      <c r="R100" s="385"/>
      <c r="S100" s="385"/>
      <c r="T100" s="385"/>
      <c r="U100" s="385"/>
      <c r="V100" s="385"/>
      <c r="W100" s="385"/>
      <c r="X100" s="385"/>
      <c r="Y100" s="385"/>
      <c r="Z100" s="385"/>
      <c r="AA100" s="385"/>
      <c r="AB100" s="385"/>
      <c r="AC100" s="385"/>
      <c r="AD100" s="385"/>
      <c r="AE100" s="385"/>
      <c r="AF100" s="385"/>
      <c r="AG100" s="385"/>
      <c r="AH100" s="385"/>
      <c r="AI100" s="385"/>
      <c r="AJ100" s="385"/>
      <c r="AK100" s="385"/>
      <c r="AL100" s="385"/>
      <c r="AM100" s="385"/>
      <c r="AN100" s="385"/>
      <c r="AO100" s="385"/>
      <c r="AP100" s="385"/>
      <c r="AQ100" s="385"/>
      <c r="AR100" s="385"/>
      <c r="AS100" s="385"/>
      <c r="AT100" s="385"/>
      <c r="AU100" s="385"/>
      <c r="AV100" s="385"/>
      <c r="AW100" s="385"/>
      <c r="AX100" s="385"/>
    </row>
    <row r="101" spans="1:50" ht="10.8" hidden="1" thickTop="1" x14ac:dyDescent="0.2">
      <c r="A101" s="385"/>
      <c r="B101" s="385"/>
      <c r="C101" s="385"/>
      <c r="D101" s="385"/>
      <c r="E101" s="385"/>
      <c r="F101" s="385"/>
      <c r="G101" s="385"/>
      <c r="H101" s="385"/>
      <c r="I101" s="447"/>
      <c r="J101" s="442"/>
      <c r="K101" s="442"/>
      <c r="L101" s="442"/>
      <c r="M101" s="442"/>
      <c r="N101" s="442"/>
      <c r="O101" s="443"/>
      <c r="P101" s="385"/>
      <c r="Q101" s="385"/>
      <c r="R101" s="385"/>
      <c r="S101" s="385"/>
      <c r="T101" s="385"/>
      <c r="U101" s="385"/>
      <c r="V101" s="385"/>
      <c r="W101" s="385"/>
      <c r="X101" s="385"/>
      <c r="Y101" s="385"/>
      <c r="Z101" s="385"/>
      <c r="AA101" s="385"/>
      <c r="AB101" s="385"/>
      <c r="AC101" s="385"/>
      <c r="AD101" s="385"/>
      <c r="AE101" s="385"/>
      <c r="AF101" s="385"/>
      <c r="AG101" s="385"/>
      <c r="AH101" s="385"/>
      <c r="AI101" s="385"/>
      <c r="AJ101" s="385"/>
      <c r="AK101" s="385"/>
      <c r="AL101" s="385"/>
      <c r="AM101" s="385"/>
      <c r="AN101" s="385"/>
      <c r="AO101" s="385"/>
      <c r="AP101" s="385"/>
      <c r="AQ101" s="385"/>
      <c r="AR101" s="385"/>
      <c r="AS101" s="385"/>
      <c r="AT101" s="385"/>
      <c r="AU101" s="385"/>
      <c r="AV101" s="385"/>
      <c r="AW101" s="385"/>
      <c r="AX101" s="385"/>
    </row>
    <row r="102" spans="1:50" ht="10.8" hidden="1" thickTop="1" x14ac:dyDescent="0.2">
      <c r="A102" s="385"/>
      <c r="B102" s="385"/>
      <c r="C102" s="385"/>
      <c r="D102" s="385"/>
      <c r="E102" s="385"/>
      <c r="F102" s="385"/>
      <c r="G102" s="385"/>
      <c r="H102" s="385"/>
      <c r="I102" s="447"/>
      <c r="J102" s="442"/>
      <c r="K102" s="442"/>
      <c r="L102" s="442"/>
      <c r="M102" s="442"/>
      <c r="N102" s="442"/>
      <c r="O102" s="443"/>
      <c r="P102" s="385"/>
      <c r="Q102" s="385"/>
      <c r="R102" s="385"/>
      <c r="S102" s="385"/>
      <c r="T102" s="385"/>
      <c r="U102" s="385"/>
      <c r="V102" s="385"/>
      <c r="W102" s="385"/>
      <c r="X102" s="385"/>
      <c r="Y102" s="385"/>
      <c r="Z102" s="385"/>
      <c r="AA102" s="385"/>
      <c r="AB102" s="385"/>
      <c r="AC102" s="385"/>
      <c r="AD102" s="385"/>
      <c r="AE102" s="385"/>
      <c r="AF102" s="385"/>
      <c r="AG102" s="385"/>
      <c r="AH102" s="385"/>
      <c r="AI102" s="385"/>
      <c r="AJ102" s="385"/>
      <c r="AK102" s="385"/>
      <c r="AL102" s="385"/>
      <c r="AM102" s="385"/>
      <c r="AN102" s="385"/>
      <c r="AO102" s="385"/>
      <c r="AP102" s="385"/>
      <c r="AQ102" s="385"/>
      <c r="AR102" s="385"/>
      <c r="AS102" s="385"/>
      <c r="AT102" s="385"/>
      <c r="AU102" s="385"/>
      <c r="AV102" s="385"/>
      <c r="AW102" s="385"/>
      <c r="AX102" s="385"/>
    </row>
    <row r="103" spans="1:50" ht="10.8" hidden="1" thickTop="1" x14ac:dyDescent="0.2">
      <c r="A103" s="385"/>
      <c r="B103" s="385"/>
      <c r="C103" s="385"/>
      <c r="D103" s="385"/>
      <c r="E103" s="385"/>
      <c r="F103" s="385"/>
      <c r="G103" s="385"/>
      <c r="H103" s="385"/>
      <c r="I103" s="447"/>
      <c r="J103" s="442"/>
      <c r="K103" s="442"/>
      <c r="L103" s="442"/>
      <c r="M103" s="442"/>
      <c r="N103" s="442"/>
      <c r="O103" s="443"/>
      <c r="P103" s="385"/>
      <c r="Q103" s="385"/>
      <c r="R103" s="385"/>
      <c r="S103" s="385"/>
      <c r="T103" s="385"/>
      <c r="U103" s="385"/>
      <c r="V103" s="385"/>
      <c r="W103" s="385"/>
      <c r="X103" s="385"/>
      <c r="Y103" s="385"/>
      <c r="Z103" s="385"/>
      <c r="AA103" s="385"/>
      <c r="AB103" s="385"/>
      <c r="AC103" s="385"/>
      <c r="AD103" s="385"/>
      <c r="AE103" s="385"/>
      <c r="AF103" s="385"/>
      <c r="AG103" s="385"/>
      <c r="AH103" s="385"/>
      <c r="AI103" s="385"/>
      <c r="AJ103" s="385"/>
      <c r="AK103" s="385"/>
      <c r="AL103" s="385"/>
      <c r="AM103" s="385"/>
      <c r="AN103" s="385"/>
      <c r="AO103" s="385"/>
      <c r="AP103" s="385"/>
      <c r="AQ103" s="385"/>
      <c r="AR103" s="385"/>
      <c r="AS103" s="385"/>
      <c r="AT103" s="385"/>
      <c r="AU103" s="385"/>
      <c r="AV103" s="385"/>
      <c r="AW103" s="385"/>
      <c r="AX103" s="385"/>
    </row>
    <row r="104" spans="1:50" ht="10.8" hidden="1" thickTop="1" x14ac:dyDescent="0.2">
      <c r="A104" s="385"/>
      <c r="B104" s="385"/>
      <c r="C104" s="385"/>
      <c r="D104" s="385"/>
      <c r="E104" s="385"/>
      <c r="F104" s="385"/>
      <c r="G104" s="385"/>
      <c r="H104" s="385"/>
      <c r="I104" s="447"/>
      <c r="J104" s="442"/>
      <c r="K104" s="442"/>
      <c r="L104" s="442"/>
      <c r="M104" s="442"/>
      <c r="N104" s="442"/>
      <c r="O104" s="443"/>
      <c r="P104" s="385"/>
      <c r="Q104" s="385"/>
      <c r="R104" s="385"/>
      <c r="S104" s="385"/>
      <c r="T104" s="385"/>
      <c r="U104" s="385"/>
      <c r="V104" s="385"/>
      <c r="W104" s="385"/>
      <c r="X104" s="385"/>
      <c r="Y104" s="385"/>
      <c r="Z104" s="385"/>
      <c r="AA104" s="385"/>
      <c r="AB104" s="385"/>
      <c r="AC104" s="385"/>
      <c r="AD104" s="385"/>
      <c r="AE104" s="385"/>
      <c r="AF104" s="385"/>
      <c r="AG104" s="385"/>
      <c r="AH104" s="385"/>
      <c r="AI104" s="385"/>
      <c r="AJ104" s="385"/>
      <c r="AK104" s="385"/>
      <c r="AL104" s="385"/>
      <c r="AM104" s="385"/>
      <c r="AN104" s="385"/>
      <c r="AO104" s="385"/>
      <c r="AP104" s="385"/>
      <c r="AQ104" s="385"/>
      <c r="AR104" s="385"/>
      <c r="AS104" s="385"/>
      <c r="AT104" s="385"/>
      <c r="AU104" s="385"/>
      <c r="AV104" s="385"/>
      <c r="AW104" s="385"/>
      <c r="AX104" s="385"/>
    </row>
    <row r="105" spans="1:50" ht="10.8" hidden="1" thickTop="1" x14ac:dyDescent="0.2">
      <c r="A105" s="385"/>
      <c r="B105" s="385"/>
      <c r="C105" s="385"/>
      <c r="D105" s="385"/>
      <c r="E105" s="385"/>
      <c r="F105" s="385"/>
      <c r="G105" s="385"/>
      <c r="H105" s="385"/>
      <c r="I105" s="447"/>
      <c r="J105" s="442"/>
      <c r="K105" s="442"/>
      <c r="L105" s="442"/>
      <c r="M105" s="442"/>
      <c r="N105" s="442"/>
      <c r="O105" s="443"/>
      <c r="P105" s="385"/>
      <c r="Q105" s="385"/>
      <c r="R105" s="385"/>
      <c r="S105" s="385"/>
      <c r="T105" s="385"/>
      <c r="U105" s="385"/>
      <c r="V105" s="385"/>
      <c r="W105" s="385"/>
      <c r="X105" s="385"/>
      <c r="Y105" s="385"/>
      <c r="Z105" s="385"/>
      <c r="AA105" s="385"/>
      <c r="AB105" s="385"/>
      <c r="AC105" s="385"/>
      <c r="AD105" s="385"/>
      <c r="AE105" s="385"/>
      <c r="AF105" s="385"/>
      <c r="AG105" s="385"/>
      <c r="AH105" s="385"/>
      <c r="AI105" s="385"/>
      <c r="AJ105" s="385"/>
      <c r="AK105" s="385"/>
      <c r="AL105" s="385"/>
      <c r="AM105" s="385"/>
      <c r="AN105" s="385"/>
      <c r="AO105" s="385"/>
      <c r="AP105" s="385"/>
      <c r="AQ105" s="385"/>
      <c r="AR105" s="385"/>
      <c r="AS105" s="385"/>
      <c r="AT105" s="385"/>
      <c r="AU105" s="385"/>
      <c r="AV105" s="385"/>
      <c r="AW105" s="385"/>
      <c r="AX105" s="385"/>
    </row>
    <row r="106" spans="1:50" ht="10.8" hidden="1" thickTop="1" x14ac:dyDescent="0.2">
      <c r="A106" s="385"/>
      <c r="B106" s="385"/>
      <c r="C106" s="385"/>
      <c r="D106" s="385"/>
      <c r="E106" s="385"/>
      <c r="F106" s="385"/>
      <c r="G106" s="385"/>
      <c r="H106" s="385"/>
      <c r="I106" s="447"/>
      <c r="J106" s="442"/>
      <c r="K106" s="442"/>
      <c r="L106" s="442"/>
      <c r="M106" s="442"/>
      <c r="N106" s="442"/>
      <c r="O106" s="443"/>
      <c r="P106" s="385"/>
      <c r="Q106" s="385"/>
      <c r="R106" s="385"/>
      <c r="S106" s="385"/>
      <c r="T106" s="385"/>
      <c r="U106" s="385"/>
      <c r="V106" s="385"/>
      <c r="W106" s="385"/>
      <c r="X106" s="385"/>
      <c r="Y106" s="385"/>
      <c r="Z106" s="385"/>
      <c r="AA106" s="385"/>
      <c r="AB106" s="385"/>
      <c r="AC106" s="385"/>
      <c r="AD106" s="385"/>
      <c r="AE106" s="385"/>
      <c r="AF106" s="385"/>
      <c r="AG106" s="385"/>
      <c r="AH106" s="385"/>
      <c r="AI106" s="385"/>
      <c r="AJ106" s="385"/>
      <c r="AK106" s="385"/>
      <c r="AL106" s="385"/>
      <c r="AM106" s="385"/>
      <c r="AN106" s="385"/>
      <c r="AO106" s="385"/>
      <c r="AP106" s="385"/>
      <c r="AQ106" s="385"/>
      <c r="AR106" s="385"/>
      <c r="AS106" s="385"/>
      <c r="AT106" s="385"/>
      <c r="AU106" s="385"/>
      <c r="AV106" s="385"/>
      <c r="AW106" s="385"/>
      <c r="AX106" s="385"/>
    </row>
    <row r="107" spans="1:50" ht="10.8" hidden="1" thickTop="1" x14ac:dyDescent="0.2">
      <c r="A107" s="385"/>
      <c r="B107" s="385"/>
      <c r="C107" s="385"/>
      <c r="D107" s="385"/>
      <c r="E107" s="385"/>
      <c r="F107" s="385"/>
      <c r="G107" s="385"/>
      <c r="H107" s="385"/>
      <c r="I107" s="447"/>
      <c r="J107" s="442"/>
      <c r="K107" s="442"/>
      <c r="L107" s="442"/>
      <c r="M107" s="442"/>
      <c r="N107" s="442"/>
      <c r="O107" s="443"/>
      <c r="P107" s="385"/>
      <c r="Q107" s="385"/>
      <c r="R107" s="385"/>
      <c r="S107" s="385"/>
      <c r="T107" s="385"/>
      <c r="U107" s="385"/>
      <c r="V107" s="385"/>
      <c r="W107" s="385"/>
      <c r="X107" s="385"/>
      <c r="Y107" s="385"/>
      <c r="Z107" s="385"/>
      <c r="AA107" s="385"/>
      <c r="AB107" s="385"/>
      <c r="AC107" s="385"/>
      <c r="AD107" s="385"/>
      <c r="AE107" s="385"/>
      <c r="AF107" s="385"/>
      <c r="AG107" s="385"/>
      <c r="AH107" s="385"/>
      <c r="AI107" s="385"/>
      <c r="AJ107" s="385"/>
      <c r="AK107" s="385"/>
      <c r="AL107" s="385"/>
      <c r="AM107" s="385"/>
      <c r="AN107" s="385"/>
      <c r="AO107" s="385"/>
      <c r="AP107" s="385"/>
      <c r="AQ107" s="385"/>
      <c r="AR107" s="385"/>
      <c r="AS107" s="385"/>
      <c r="AT107" s="385"/>
      <c r="AU107" s="385"/>
      <c r="AV107" s="385"/>
      <c r="AW107" s="385"/>
      <c r="AX107" s="385"/>
    </row>
    <row r="108" spans="1:50" ht="10.8" hidden="1" thickTop="1" x14ac:dyDescent="0.2">
      <c r="A108" s="385"/>
      <c r="B108" s="385"/>
      <c r="C108" s="385"/>
      <c r="D108" s="385"/>
      <c r="E108" s="385"/>
      <c r="F108" s="385"/>
      <c r="G108" s="385"/>
      <c r="H108" s="385"/>
      <c r="I108" s="447"/>
      <c r="J108" s="442"/>
      <c r="K108" s="442"/>
      <c r="L108" s="442"/>
      <c r="M108" s="442"/>
      <c r="N108" s="442"/>
      <c r="O108" s="443"/>
      <c r="P108" s="385"/>
      <c r="Q108" s="385"/>
      <c r="R108" s="385"/>
      <c r="S108" s="385"/>
      <c r="T108" s="385"/>
      <c r="U108" s="385"/>
      <c r="V108" s="385"/>
      <c r="W108" s="385"/>
      <c r="X108" s="385"/>
      <c r="Y108" s="385"/>
      <c r="Z108" s="385"/>
      <c r="AA108" s="385"/>
      <c r="AB108" s="385"/>
      <c r="AC108" s="385"/>
      <c r="AD108" s="385"/>
      <c r="AE108" s="385"/>
      <c r="AF108" s="385"/>
      <c r="AG108" s="385"/>
      <c r="AH108" s="385"/>
      <c r="AI108" s="385"/>
      <c r="AJ108" s="385"/>
      <c r="AK108" s="385"/>
      <c r="AL108" s="385"/>
      <c r="AM108" s="385"/>
      <c r="AN108" s="385"/>
      <c r="AO108" s="385"/>
      <c r="AP108" s="385"/>
      <c r="AQ108" s="385"/>
      <c r="AR108" s="385"/>
      <c r="AS108" s="385"/>
      <c r="AT108" s="385"/>
      <c r="AU108" s="385"/>
      <c r="AV108" s="385"/>
      <c r="AW108" s="385"/>
      <c r="AX108" s="385"/>
    </row>
    <row r="109" spans="1:50" ht="10.8" hidden="1" thickTop="1" x14ac:dyDescent="0.2">
      <c r="A109" s="385"/>
      <c r="B109" s="385"/>
      <c r="C109" s="385"/>
      <c r="D109" s="385"/>
      <c r="E109" s="385"/>
      <c r="F109" s="385"/>
      <c r="G109" s="385"/>
      <c r="H109" s="385"/>
      <c r="I109" s="447"/>
      <c r="J109" s="442"/>
      <c r="K109" s="442"/>
      <c r="L109" s="442"/>
      <c r="M109" s="442"/>
      <c r="N109" s="442"/>
      <c r="O109" s="443"/>
      <c r="P109" s="385"/>
      <c r="Q109" s="385"/>
      <c r="R109" s="385"/>
      <c r="S109" s="385"/>
      <c r="T109" s="385"/>
      <c r="U109" s="385"/>
      <c r="V109" s="385"/>
      <c r="W109" s="385"/>
      <c r="X109" s="385"/>
      <c r="Y109" s="385"/>
      <c r="Z109" s="385"/>
      <c r="AA109" s="385"/>
      <c r="AB109" s="385"/>
      <c r="AC109" s="385"/>
      <c r="AD109" s="385"/>
      <c r="AE109" s="385"/>
      <c r="AF109" s="385"/>
      <c r="AG109" s="385"/>
      <c r="AH109" s="385"/>
      <c r="AI109" s="385"/>
      <c r="AJ109" s="385"/>
      <c r="AK109" s="385"/>
      <c r="AL109" s="385"/>
      <c r="AM109" s="385"/>
      <c r="AN109" s="385"/>
      <c r="AO109" s="385"/>
      <c r="AP109" s="385"/>
      <c r="AQ109" s="385"/>
      <c r="AR109" s="385"/>
      <c r="AS109" s="385"/>
      <c r="AT109" s="385"/>
      <c r="AU109" s="385"/>
      <c r="AV109" s="385"/>
      <c r="AW109" s="385"/>
      <c r="AX109" s="385"/>
    </row>
    <row r="110" spans="1:50" ht="10.8" hidden="1" thickTop="1" x14ac:dyDescent="0.2">
      <c r="A110" s="385"/>
      <c r="B110" s="385"/>
      <c r="C110" s="385"/>
      <c r="D110" s="385"/>
      <c r="E110" s="385"/>
      <c r="F110" s="385"/>
      <c r="G110" s="385"/>
      <c r="H110" s="385"/>
      <c r="I110" s="447"/>
      <c r="J110" s="442"/>
      <c r="K110" s="442"/>
      <c r="L110" s="442"/>
      <c r="M110" s="442"/>
      <c r="N110" s="442"/>
      <c r="O110" s="443"/>
      <c r="P110" s="385"/>
      <c r="Q110" s="385"/>
      <c r="R110" s="385"/>
      <c r="S110" s="385"/>
      <c r="T110" s="385"/>
      <c r="U110" s="385"/>
      <c r="V110" s="385"/>
      <c r="W110" s="385"/>
      <c r="X110" s="385"/>
      <c r="Y110" s="385"/>
      <c r="Z110" s="385"/>
      <c r="AA110" s="385"/>
      <c r="AB110" s="385"/>
      <c r="AC110" s="385"/>
      <c r="AD110" s="385"/>
      <c r="AE110" s="385"/>
      <c r="AF110" s="385"/>
      <c r="AG110" s="385"/>
      <c r="AH110" s="385"/>
      <c r="AI110" s="385"/>
      <c r="AJ110" s="385"/>
      <c r="AK110" s="385"/>
      <c r="AL110" s="385"/>
      <c r="AM110" s="385"/>
      <c r="AN110" s="385"/>
      <c r="AO110" s="385"/>
      <c r="AP110" s="385"/>
      <c r="AQ110" s="385"/>
      <c r="AR110" s="385"/>
      <c r="AS110" s="385"/>
      <c r="AT110" s="385"/>
      <c r="AU110" s="385"/>
      <c r="AV110" s="385"/>
      <c r="AW110" s="385"/>
      <c r="AX110" s="385"/>
    </row>
    <row r="111" spans="1:50" ht="10.8" hidden="1" thickTop="1" x14ac:dyDescent="0.2">
      <c r="A111" s="385"/>
      <c r="B111" s="385"/>
      <c r="C111" s="385"/>
      <c r="D111" s="385"/>
      <c r="E111" s="385"/>
      <c r="F111" s="385"/>
      <c r="G111" s="385"/>
      <c r="H111" s="385"/>
      <c r="I111" s="447"/>
      <c r="J111" s="442"/>
      <c r="K111" s="442"/>
      <c r="L111" s="442"/>
      <c r="M111" s="442"/>
      <c r="N111" s="442"/>
      <c r="O111" s="443"/>
      <c r="P111" s="385"/>
      <c r="Q111" s="385"/>
      <c r="R111" s="385"/>
      <c r="S111" s="385"/>
      <c r="T111" s="385"/>
      <c r="U111" s="385"/>
      <c r="V111" s="385"/>
      <c r="W111" s="385"/>
      <c r="X111" s="385"/>
      <c r="Y111" s="385"/>
      <c r="Z111" s="385"/>
      <c r="AA111" s="385"/>
      <c r="AB111" s="385"/>
      <c r="AC111" s="385"/>
      <c r="AD111" s="385"/>
      <c r="AE111" s="385"/>
      <c r="AF111" s="385"/>
      <c r="AG111" s="385"/>
      <c r="AH111" s="385"/>
      <c r="AI111" s="385"/>
      <c r="AJ111" s="385"/>
      <c r="AK111" s="385"/>
      <c r="AL111" s="385"/>
      <c r="AM111" s="385"/>
      <c r="AN111" s="385"/>
      <c r="AO111" s="385"/>
      <c r="AP111" s="385"/>
      <c r="AQ111" s="385"/>
      <c r="AR111" s="385"/>
      <c r="AS111" s="385"/>
      <c r="AT111" s="385"/>
      <c r="AU111" s="385"/>
      <c r="AV111" s="385"/>
      <c r="AW111" s="385"/>
      <c r="AX111" s="385"/>
    </row>
    <row r="112" spans="1:50" ht="10.8" hidden="1" thickTop="1" x14ac:dyDescent="0.2">
      <c r="A112" s="385"/>
      <c r="B112" s="385"/>
      <c r="C112" s="385"/>
      <c r="D112" s="385"/>
      <c r="E112" s="385"/>
      <c r="F112" s="385"/>
      <c r="G112" s="385"/>
      <c r="H112" s="385"/>
      <c r="I112" s="447"/>
      <c r="J112" s="442"/>
      <c r="K112" s="442"/>
      <c r="L112" s="442"/>
      <c r="M112" s="442"/>
      <c r="N112" s="442"/>
      <c r="O112" s="443"/>
      <c r="P112" s="385"/>
      <c r="Q112" s="385"/>
      <c r="R112" s="385"/>
      <c r="S112" s="385"/>
      <c r="T112" s="385"/>
      <c r="U112" s="385"/>
      <c r="V112" s="385"/>
      <c r="W112" s="385"/>
      <c r="X112" s="385"/>
      <c r="Y112" s="385"/>
      <c r="Z112" s="385"/>
      <c r="AA112" s="385"/>
      <c r="AB112" s="385"/>
      <c r="AC112" s="385"/>
      <c r="AD112" s="385"/>
      <c r="AE112" s="385"/>
      <c r="AF112" s="385"/>
      <c r="AG112" s="385"/>
      <c r="AH112" s="385"/>
      <c r="AI112" s="385"/>
      <c r="AJ112" s="385"/>
      <c r="AK112" s="385"/>
      <c r="AL112" s="385"/>
      <c r="AM112" s="385"/>
      <c r="AN112" s="385"/>
      <c r="AO112" s="385"/>
      <c r="AP112" s="385"/>
      <c r="AQ112" s="385"/>
      <c r="AR112" s="385"/>
      <c r="AS112" s="385"/>
      <c r="AT112" s="385"/>
      <c r="AU112" s="385"/>
      <c r="AV112" s="385"/>
      <c r="AW112" s="385"/>
      <c r="AX112" s="385"/>
    </row>
    <row r="113" spans="1:50" ht="10.8" hidden="1" thickTop="1" x14ac:dyDescent="0.2">
      <c r="A113" s="385"/>
      <c r="B113" s="385"/>
      <c r="C113" s="385"/>
      <c r="D113" s="385"/>
      <c r="E113" s="385"/>
      <c r="F113" s="385"/>
      <c r="G113" s="385"/>
      <c r="H113" s="385"/>
      <c r="I113" s="447"/>
      <c r="J113" s="442"/>
      <c r="K113" s="442"/>
      <c r="L113" s="442"/>
      <c r="M113" s="442"/>
      <c r="N113" s="442"/>
      <c r="O113" s="443"/>
      <c r="P113" s="385"/>
      <c r="Q113" s="385"/>
      <c r="R113" s="385"/>
      <c r="S113" s="385"/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5"/>
      <c r="AG113" s="385"/>
      <c r="AH113" s="385"/>
      <c r="AI113" s="385"/>
      <c r="AJ113" s="385"/>
      <c r="AK113" s="385"/>
      <c r="AL113" s="385"/>
      <c r="AM113" s="385"/>
      <c r="AN113" s="385"/>
      <c r="AO113" s="385"/>
      <c r="AP113" s="385"/>
      <c r="AQ113" s="385"/>
      <c r="AR113" s="385"/>
      <c r="AS113" s="385"/>
      <c r="AT113" s="385"/>
      <c r="AU113" s="385"/>
      <c r="AV113" s="385"/>
      <c r="AW113" s="385"/>
      <c r="AX113" s="385"/>
    </row>
    <row r="114" spans="1:50" ht="10.8" hidden="1" thickTop="1" x14ac:dyDescent="0.2">
      <c r="A114" s="385"/>
      <c r="B114" s="385"/>
      <c r="C114" s="385"/>
      <c r="D114" s="385"/>
      <c r="E114" s="385"/>
      <c r="F114" s="385"/>
      <c r="G114" s="385"/>
      <c r="H114" s="385"/>
      <c r="I114" s="447"/>
      <c r="J114" s="442"/>
      <c r="K114" s="442"/>
      <c r="L114" s="442"/>
      <c r="M114" s="442"/>
      <c r="N114" s="442"/>
      <c r="O114" s="443"/>
      <c r="P114" s="385"/>
      <c r="Q114" s="385"/>
      <c r="R114" s="385"/>
      <c r="S114" s="385"/>
      <c r="T114" s="385"/>
      <c r="U114" s="385"/>
      <c r="V114" s="385"/>
      <c r="W114" s="385"/>
      <c r="X114" s="385"/>
      <c r="Y114" s="385"/>
      <c r="Z114" s="385"/>
      <c r="AA114" s="385"/>
      <c r="AB114" s="385"/>
      <c r="AC114" s="385"/>
      <c r="AD114" s="385"/>
      <c r="AE114" s="385"/>
      <c r="AF114" s="385"/>
      <c r="AG114" s="385"/>
      <c r="AH114" s="385"/>
      <c r="AI114" s="385"/>
      <c r="AJ114" s="385"/>
      <c r="AK114" s="385"/>
      <c r="AL114" s="385"/>
      <c r="AM114" s="385"/>
      <c r="AN114" s="385"/>
      <c r="AO114" s="385"/>
      <c r="AP114" s="385"/>
      <c r="AQ114" s="385"/>
      <c r="AR114" s="385"/>
      <c r="AS114" s="385"/>
      <c r="AT114" s="385"/>
      <c r="AU114" s="385"/>
      <c r="AV114" s="385"/>
      <c r="AW114" s="385"/>
      <c r="AX114" s="385"/>
    </row>
    <row r="115" spans="1:50" ht="10.8" hidden="1" thickTop="1" x14ac:dyDescent="0.2">
      <c r="A115" s="385"/>
      <c r="B115" s="385"/>
      <c r="C115" s="385"/>
      <c r="D115" s="385"/>
      <c r="E115" s="385"/>
      <c r="F115" s="385"/>
      <c r="G115" s="385"/>
      <c r="H115" s="385"/>
      <c r="I115" s="447"/>
      <c r="J115" s="442"/>
      <c r="K115" s="442"/>
      <c r="L115" s="442"/>
      <c r="M115" s="442"/>
      <c r="N115" s="442"/>
      <c r="O115" s="443"/>
      <c r="P115" s="385"/>
      <c r="Q115" s="385"/>
      <c r="R115" s="385"/>
      <c r="S115" s="385"/>
      <c r="T115" s="385"/>
      <c r="U115" s="385"/>
      <c r="V115" s="385"/>
      <c r="W115" s="385"/>
      <c r="X115" s="385"/>
      <c r="Y115" s="385"/>
      <c r="Z115" s="385"/>
      <c r="AA115" s="385"/>
      <c r="AB115" s="385"/>
      <c r="AC115" s="385"/>
      <c r="AD115" s="385"/>
      <c r="AE115" s="385"/>
      <c r="AF115" s="385"/>
      <c r="AG115" s="385"/>
      <c r="AH115" s="385"/>
      <c r="AI115" s="385"/>
      <c r="AJ115" s="385"/>
      <c r="AK115" s="385"/>
      <c r="AL115" s="385"/>
      <c r="AM115" s="385"/>
      <c r="AN115" s="385"/>
      <c r="AO115" s="385"/>
      <c r="AP115" s="385"/>
      <c r="AQ115" s="385"/>
      <c r="AR115" s="385"/>
      <c r="AS115" s="385"/>
      <c r="AT115" s="385"/>
      <c r="AU115" s="385"/>
      <c r="AV115" s="385"/>
      <c r="AW115" s="385"/>
      <c r="AX115" s="385"/>
    </row>
    <row r="116" spans="1:50" ht="10.8" hidden="1" thickTop="1" x14ac:dyDescent="0.2">
      <c r="A116" s="385"/>
      <c r="B116" s="385"/>
      <c r="C116" s="385"/>
      <c r="D116" s="385"/>
      <c r="E116" s="385"/>
      <c r="F116" s="385"/>
      <c r="G116" s="385"/>
      <c r="H116" s="385"/>
      <c r="I116" s="447"/>
      <c r="J116" s="442"/>
      <c r="K116" s="442"/>
      <c r="L116" s="442"/>
      <c r="M116" s="442"/>
      <c r="N116" s="442"/>
      <c r="O116" s="443"/>
      <c r="P116" s="385"/>
      <c r="Q116" s="385"/>
      <c r="R116" s="385"/>
      <c r="S116" s="385"/>
      <c r="T116" s="385"/>
      <c r="U116" s="385"/>
      <c r="V116" s="385"/>
      <c r="W116" s="385"/>
      <c r="X116" s="385"/>
      <c r="Y116" s="385"/>
      <c r="Z116" s="385"/>
      <c r="AA116" s="385"/>
      <c r="AB116" s="385"/>
      <c r="AC116" s="385"/>
      <c r="AD116" s="385"/>
      <c r="AE116" s="385"/>
      <c r="AF116" s="385"/>
      <c r="AG116" s="385"/>
      <c r="AH116" s="385"/>
      <c r="AI116" s="385"/>
      <c r="AJ116" s="385"/>
      <c r="AK116" s="385"/>
      <c r="AL116" s="385"/>
      <c r="AM116" s="385"/>
      <c r="AN116" s="385"/>
      <c r="AO116" s="385"/>
      <c r="AP116" s="385"/>
      <c r="AQ116" s="385"/>
      <c r="AR116" s="385"/>
      <c r="AS116" s="385"/>
      <c r="AT116" s="385"/>
      <c r="AU116" s="385"/>
      <c r="AV116" s="385"/>
      <c r="AW116" s="385"/>
      <c r="AX116" s="385"/>
    </row>
    <row r="117" spans="1:50" ht="10.8" hidden="1" thickTop="1" x14ac:dyDescent="0.2">
      <c r="A117" s="385"/>
      <c r="B117" s="385"/>
      <c r="C117" s="385"/>
      <c r="D117" s="385"/>
      <c r="E117" s="385"/>
      <c r="F117" s="385"/>
      <c r="G117" s="385"/>
      <c r="H117" s="385"/>
      <c r="I117" s="447"/>
      <c r="J117" s="442"/>
      <c r="K117" s="442"/>
      <c r="L117" s="442"/>
      <c r="M117" s="442"/>
      <c r="N117" s="442"/>
      <c r="O117" s="443"/>
      <c r="P117" s="385"/>
      <c r="Q117" s="385"/>
      <c r="R117" s="385"/>
      <c r="S117" s="385"/>
      <c r="T117" s="385"/>
      <c r="U117" s="385"/>
      <c r="V117" s="385"/>
      <c r="W117" s="385"/>
      <c r="X117" s="385"/>
      <c r="Y117" s="385"/>
      <c r="Z117" s="385"/>
      <c r="AA117" s="385"/>
      <c r="AB117" s="385"/>
      <c r="AC117" s="385"/>
      <c r="AD117" s="385"/>
      <c r="AE117" s="385"/>
      <c r="AF117" s="385"/>
      <c r="AG117" s="385"/>
      <c r="AH117" s="385"/>
      <c r="AI117" s="385"/>
      <c r="AJ117" s="385"/>
      <c r="AK117" s="385"/>
      <c r="AL117" s="385"/>
      <c r="AM117" s="385"/>
      <c r="AN117" s="385"/>
      <c r="AO117" s="385"/>
      <c r="AP117" s="385"/>
      <c r="AQ117" s="385"/>
      <c r="AR117" s="385"/>
      <c r="AS117" s="385"/>
      <c r="AT117" s="385"/>
      <c r="AU117" s="385"/>
      <c r="AV117" s="385"/>
      <c r="AW117" s="385"/>
      <c r="AX117" s="385"/>
    </row>
    <row r="118" spans="1:50" ht="10.8" hidden="1" thickTop="1" x14ac:dyDescent="0.2">
      <c r="A118" s="385"/>
      <c r="B118" s="385"/>
      <c r="C118" s="385"/>
      <c r="D118" s="385"/>
      <c r="E118" s="385"/>
      <c r="F118" s="385"/>
      <c r="G118" s="385"/>
      <c r="H118" s="385"/>
      <c r="I118" s="447"/>
      <c r="J118" s="442"/>
      <c r="K118" s="442"/>
      <c r="L118" s="442"/>
      <c r="M118" s="442"/>
      <c r="N118" s="442"/>
      <c r="O118" s="443"/>
      <c r="P118" s="385"/>
      <c r="Q118" s="385"/>
      <c r="R118" s="385"/>
      <c r="S118" s="385"/>
      <c r="T118" s="385"/>
      <c r="U118" s="385"/>
      <c r="V118" s="385"/>
      <c r="W118" s="385"/>
      <c r="X118" s="385"/>
      <c r="Y118" s="385"/>
      <c r="Z118" s="385"/>
      <c r="AA118" s="385"/>
      <c r="AB118" s="385"/>
      <c r="AC118" s="385"/>
      <c r="AD118" s="385"/>
      <c r="AE118" s="385"/>
      <c r="AF118" s="385"/>
      <c r="AG118" s="385"/>
      <c r="AH118" s="385"/>
      <c r="AI118" s="385"/>
      <c r="AJ118" s="385"/>
      <c r="AK118" s="385"/>
      <c r="AL118" s="385"/>
      <c r="AM118" s="385"/>
      <c r="AN118" s="385"/>
      <c r="AO118" s="385"/>
      <c r="AP118" s="385"/>
      <c r="AQ118" s="385"/>
      <c r="AR118" s="385"/>
      <c r="AS118" s="385"/>
      <c r="AT118" s="385"/>
      <c r="AU118" s="385"/>
      <c r="AV118" s="385"/>
      <c r="AW118" s="385"/>
      <c r="AX118" s="385"/>
    </row>
    <row r="119" spans="1:50" ht="10.8" hidden="1" thickTop="1" x14ac:dyDescent="0.2">
      <c r="A119" s="385"/>
      <c r="B119" s="385"/>
      <c r="C119" s="385"/>
      <c r="D119" s="385"/>
      <c r="E119" s="385"/>
      <c r="F119" s="385"/>
      <c r="G119" s="385"/>
      <c r="H119" s="385"/>
      <c r="I119" s="447"/>
      <c r="J119" s="442"/>
      <c r="K119" s="442"/>
      <c r="L119" s="442"/>
      <c r="M119" s="442"/>
      <c r="N119" s="442"/>
      <c r="O119" s="443"/>
      <c r="P119" s="385"/>
      <c r="Q119" s="385"/>
      <c r="R119" s="385"/>
      <c r="S119" s="385"/>
      <c r="T119" s="385"/>
      <c r="U119" s="385"/>
      <c r="V119" s="385"/>
      <c r="W119" s="385"/>
      <c r="X119" s="385"/>
      <c r="Y119" s="385"/>
      <c r="Z119" s="385"/>
      <c r="AA119" s="385"/>
      <c r="AB119" s="385"/>
      <c r="AC119" s="385"/>
      <c r="AD119" s="385"/>
      <c r="AE119" s="385"/>
      <c r="AF119" s="385"/>
      <c r="AG119" s="385"/>
      <c r="AH119" s="385"/>
      <c r="AI119" s="385"/>
      <c r="AJ119" s="385"/>
      <c r="AK119" s="385"/>
      <c r="AL119" s="385"/>
      <c r="AM119" s="385"/>
      <c r="AN119" s="385"/>
      <c r="AO119" s="385"/>
      <c r="AP119" s="385"/>
      <c r="AQ119" s="385"/>
      <c r="AR119" s="385"/>
      <c r="AS119" s="385"/>
      <c r="AT119" s="385"/>
      <c r="AU119" s="385"/>
      <c r="AV119" s="385"/>
      <c r="AW119" s="385"/>
      <c r="AX119" s="385"/>
    </row>
    <row r="120" spans="1:50" ht="10.8" hidden="1" thickTop="1" x14ac:dyDescent="0.2">
      <c r="A120" s="385"/>
      <c r="B120" s="385"/>
      <c r="C120" s="385"/>
      <c r="D120" s="385"/>
      <c r="E120" s="385"/>
      <c r="F120" s="385"/>
      <c r="G120" s="385"/>
      <c r="H120" s="385"/>
      <c r="I120" s="447"/>
      <c r="J120" s="442"/>
      <c r="K120" s="442"/>
      <c r="L120" s="442"/>
      <c r="M120" s="442"/>
      <c r="N120" s="442"/>
      <c r="O120" s="443"/>
      <c r="P120" s="385"/>
      <c r="Q120" s="385"/>
      <c r="R120" s="385"/>
      <c r="S120" s="385"/>
      <c r="T120" s="385"/>
      <c r="U120" s="385"/>
      <c r="V120" s="385"/>
      <c r="W120" s="385"/>
      <c r="X120" s="385"/>
      <c r="Y120" s="385"/>
      <c r="Z120" s="385"/>
      <c r="AA120" s="385"/>
      <c r="AB120" s="385"/>
      <c r="AC120" s="385"/>
      <c r="AD120" s="385"/>
      <c r="AE120" s="385"/>
      <c r="AF120" s="385"/>
      <c r="AG120" s="385"/>
      <c r="AH120" s="385"/>
      <c r="AI120" s="385"/>
      <c r="AJ120" s="385"/>
      <c r="AK120" s="385"/>
      <c r="AL120" s="385"/>
      <c r="AM120" s="385"/>
      <c r="AN120" s="385"/>
      <c r="AO120" s="385"/>
      <c r="AP120" s="385"/>
      <c r="AQ120" s="385"/>
      <c r="AR120" s="385"/>
      <c r="AS120" s="385"/>
      <c r="AT120" s="385"/>
      <c r="AU120" s="385"/>
      <c r="AV120" s="385"/>
      <c r="AW120" s="385"/>
      <c r="AX120" s="385"/>
    </row>
    <row r="121" spans="1:50" ht="10.8" hidden="1" thickTop="1" x14ac:dyDescent="0.2">
      <c r="A121" s="385"/>
      <c r="B121" s="385"/>
      <c r="C121" s="385"/>
      <c r="D121" s="385"/>
      <c r="E121" s="385"/>
      <c r="F121" s="385"/>
      <c r="G121" s="385"/>
      <c r="H121" s="385"/>
      <c r="I121" s="447"/>
      <c r="J121" s="442"/>
      <c r="K121" s="442"/>
      <c r="L121" s="442"/>
      <c r="M121" s="442"/>
      <c r="N121" s="442"/>
      <c r="O121" s="443"/>
      <c r="P121" s="385"/>
      <c r="Q121" s="385"/>
      <c r="R121" s="385"/>
      <c r="S121" s="385"/>
      <c r="T121" s="385"/>
      <c r="U121" s="385"/>
      <c r="V121" s="385"/>
      <c r="W121" s="385"/>
      <c r="X121" s="385"/>
      <c r="Y121" s="385"/>
      <c r="Z121" s="385"/>
      <c r="AA121" s="385"/>
      <c r="AB121" s="385"/>
      <c r="AC121" s="385"/>
      <c r="AD121" s="385"/>
      <c r="AE121" s="385"/>
      <c r="AF121" s="385"/>
      <c r="AG121" s="385"/>
      <c r="AH121" s="385"/>
      <c r="AI121" s="385"/>
      <c r="AJ121" s="385"/>
      <c r="AK121" s="385"/>
      <c r="AL121" s="385"/>
      <c r="AM121" s="385"/>
      <c r="AN121" s="385"/>
      <c r="AO121" s="385"/>
      <c r="AP121" s="385"/>
      <c r="AQ121" s="385"/>
      <c r="AR121" s="385"/>
      <c r="AS121" s="385"/>
      <c r="AT121" s="385"/>
      <c r="AU121" s="385"/>
      <c r="AV121" s="385"/>
      <c r="AW121" s="385"/>
      <c r="AX121" s="385"/>
    </row>
    <row r="122" spans="1:50" ht="10.8" hidden="1" thickTop="1" x14ac:dyDescent="0.2">
      <c r="A122" s="385"/>
      <c r="B122" s="385"/>
      <c r="C122" s="385"/>
      <c r="D122" s="385"/>
      <c r="E122" s="385"/>
      <c r="F122" s="385"/>
      <c r="G122" s="385"/>
      <c r="H122" s="385"/>
      <c r="I122" s="447"/>
      <c r="J122" s="442"/>
      <c r="K122" s="442"/>
      <c r="L122" s="442"/>
      <c r="M122" s="442"/>
      <c r="N122" s="442"/>
      <c r="O122" s="443"/>
      <c r="P122" s="385"/>
      <c r="Q122" s="385"/>
      <c r="R122" s="385"/>
      <c r="S122" s="385"/>
      <c r="T122" s="385"/>
      <c r="U122" s="385"/>
      <c r="V122" s="385"/>
      <c r="W122" s="385"/>
      <c r="X122" s="385"/>
      <c r="Y122" s="385"/>
      <c r="Z122" s="385"/>
      <c r="AA122" s="385"/>
      <c r="AB122" s="385"/>
      <c r="AC122" s="385"/>
      <c r="AD122" s="385"/>
      <c r="AE122" s="385"/>
      <c r="AF122" s="385"/>
      <c r="AG122" s="385"/>
      <c r="AH122" s="385"/>
      <c r="AI122" s="385"/>
      <c r="AJ122" s="385"/>
      <c r="AK122" s="385"/>
      <c r="AL122" s="385"/>
      <c r="AM122" s="385"/>
      <c r="AN122" s="385"/>
      <c r="AO122" s="385"/>
      <c r="AP122" s="385"/>
      <c r="AQ122" s="385"/>
      <c r="AR122" s="385"/>
      <c r="AS122" s="385"/>
      <c r="AT122" s="385"/>
      <c r="AU122" s="385"/>
      <c r="AV122" s="385"/>
      <c r="AW122" s="385"/>
      <c r="AX122" s="385"/>
    </row>
    <row r="123" spans="1:50" ht="10.8" hidden="1" thickTop="1" x14ac:dyDescent="0.2">
      <c r="A123" s="385"/>
      <c r="B123" s="385"/>
      <c r="C123" s="385"/>
      <c r="D123" s="385"/>
      <c r="E123" s="385"/>
      <c r="F123" s="385"/>
      <c r="G123" s="385"/>
      <c r="H123" s="385"/>
      <c r="I123" s="447"/>
      <c r="J123" s="442"/>
      <c r="K123" s="442"/>
      <c r="L123" s="442"/>
      <c r="M123" s="442"/>
      <c r="N123" s="442"/>
      <c r="O123" s="443"/>
      <c r="P123" s="385"/>
      <c r="Q123" s="385"/>
      <c r="R123" s="385"/>
      <c r="S123" s="385"/>
      <c r="T123" s="385"/>
      <c r="U123" s="385"/>
      <c r="V123" s="385"/>
      <c r="W123" s="385"/>
      <c r="X123" s="385"/>
      <c r="Y123" s="385"/>
      <c r="Z123" s="385"/>
      <c r="AA123" s="385"/>
      <c r="AB123" s="385"/>
      <c r="AC123" s="385"/>
      <c r="AD123" s="385"/>
      <c r="AE123" s="385"/>
      <c r="AF123" s="385"/>
      <c r="AG123" s="385"/>
      <c r="AH123" s="385"/>
      <c r="AI123" s="385"/>
      <c r="AJ123" s="385"/>
      <c r="AK123" s="385"/>
      <c r="AL123" s="385"/>
      <c r="AM123" s="385"/>
      <c r="AN123" s="385"/>
      <c r="AO123" s="385"/>
      <c r="AP123" s="385"/>
      <c r="AQ123" s="385"/>
      <c r="AR123" s="385"/>
      <c r="AS123" s="385"/>
      <c r="AT123" s="385"/>
      <c r="AU123" s="385"/>
      <c r="AV123" s="385"/>
      <c r="AW123" s="385"/>
      <c r="AX123" s="385"/>
    </row>
    <row r="124" spans="1:50" ht="10.8" hidden="1" thickTop="1" x14ac:dyDescent="0.2">
      <c r="A124" s="385"/>
      <c r="B124" s="385"/>
      <c r="C124" s="385"/>
      <c r="D124" s="385"/>
      <c r="E124" s="385"/>
      <c r="F124" s="385"/>
      <c r="G124" s="385"/>
      <c r="H124" s="385"/>
      <c r="I124" s="442"/>
      <c r="J124" s="442"/>
      <c r="K124" s="442"/>
      <c r="L124" s="442"/>
      <c r="M124" s="442"/>
      <c r="N124" s="442"/>
      <c r="O124" s="443"/>
      <c r="P124" s="385"/>
      <c r="Q124" s="385"/>
      <c r="R124" s="385"/>
      <c r="S124" s="385"/>
      <c r="T124" s="385"/>
      <c r="U124" s="385"/>
      <c r="V124" s="385"/>
      <c r="W124" s="385"/>
      <c r="X124" s="385"/>
      <c r="Y124" s="385"/>
      <c r="Z124" s="385"/>
      <c r="AA124" s="385"/>
      <c r="AB124" s="385"/>
      <c r="AC124" s="385"/>
      <c r="AD124" s="385"/>
      <c r="AE124" s="385"/>
      <c r="AF124" s="385"/>
      <c r="AG124" s="385"/>
      <c r="AH124" s="385"/>
      <c r="AI124" s="385"/>
      <c r="AJ124" s="385"/>
      <c r="AK124" s="385"/>
      <c r="AL124" s="385"/>
      <c r="AM124" s="385"/>
      <c r="AN124" s="385"/>
      <c r="AO124" s="385"/>
      <c r="AP124" s="385"/>
      <c r="AQ124" s="385"/>
      <c r="AR124" s="385"/>
      <c r="AS124" s="385"/>
      <c r="AT124" s="385"/>
      <c r="AU124" s="385"/>
      <c r="AV124" s="385"/>
      <c r="AW124" s="385"/>
      <c r="AX124" s="385"/>
    </row>
    <row r="125" spans="1:50" ht="10.8" hidden="1" thickTop="1" x14ac:dyDescent="0.2">
      <c r="A125" s="385"/>
      <c r="B125" s="385"/>
      <c r="C125" s="385"/>
      <c r="D125" s="385"/>
      <c r="E125" s="385"/>
      <c r="F125" s="385"/>
      <c r="G125" s="385"/>
      <c r="H125" s="385"/>
      <c r="I125" s="442"/>
      <c r="J125" s="442"/>
      <c r="K125" s="442"/>
      <c r="L125" s="442"/>
      <c r="M125" s="442"/>
      <c r="N125" s="442"/>
      <c r="O125" s="443"/>
      <c r="P125" s="385"/>
      <c r="Q125" s="385"/>
      <c r="R125" s="385"/>
      <c r="S125" s="385"/>
      <c r="T125" s="385"/>
      <c r="U125" s="385"/>
      <c r="V125" s="385"/>
      <c r="W125" s="385"/>
      <c r="X125" s="385"/>
      <c r="Y125" s="385"/>
      <c r="Z125" s="385"/>
      <c r="AA125" s="385"/>
      <c r="AB125" s="385"/>
      <c r="AC125" s="385"/>
      <c r="AD125" s="385"/>
      <c r="AE125" s="385"/>
      <c r="AF125" s="385"/>
      <c r="AG125" s="385"/>
      <c r="AH125" s="385"/>
      <c r="AI125" s="385"/>
      <c r="AJ125" s="385"/>
      <c r="AK125" s="385"/>
      <c r="AL125" s="385"/>
      <c r="AM125" s="385"/>
      <c r="AN125" s="385"/>
      <c r="AO125" s="385"/>
      <c r="AP125" s="385"/>
      <c r="AQ125" s="385"/>
      <c r="AR125" s="385"/>
      <c r="AS125" s="385"/>
      <c r="AT125" s="385"/>
      <c r="AU125" s="385"/>
      <c r="AV125" s="385"/>
      <c r="AW125" s="385"/>
      <c r="AX125" s="385"/>
    </row>
    <row r="126" spans="1:50" ht="10.8" hidden="1" thickTop="1" x14ac:dyDescent="0.2">
      <c r="A126" s="385"/>
      <c r="B126" s="385"/>
      <c r="C126" s="385"/>
      <c r="D126" s="385"/>
      <c r="E126" s="385"/>
      <c r="F126" s="385"/>
      <c r="G126" s="385"/>
      <c r="H126" s="385"/>
      <c r="I126" s="442"/>
      <c r="J126" s="442"/>
      <c r="K126" s="442"/>
      <c r="L126" s="442"/>
      <c r="M126" s="442"/>
      <c r="N126" s="442"/>
      <c r="O126" s="443"/>
      <c r="P126" s="385"/>
      <c r="Q126" s="385"/>
      <c r="R126" s="385"/>
      <c r="S126" s="385"/>
      <c r="T126" s="385"/>
      <c r="U126" s="385"/>
      <c r="V126" s="385"/>
      <c r="W126" s="385"/>
      <c r="X126" s="385"/>
      <c r="Y126" s="385"/>
      <c r="Z126" s="385"/>
      <c r="AA126" s="385"/>
      <c r="AB126" s="385"/>
      <c r="AC126" s="385"/>
      <c r="AD126" s="385"/>
      <c r="AE126" s="385"/>
      <c r="AF126" s="385"/>
      <c r="AG126" s="385"/>
      <c r="AH126" s="385"/>
      <c r="AI126" s="385"/>
      <c r="AJ126" s="385"/>
      <c r="AK126" s="385"/>
      <c r="AL126" s="385"/>
      <c r="AM126" s="385"/>
      <c r="AN126" s="385"/>
      <c r="AO126" s="385"/>
      <c r="AP126" s="385"/>
      <c r="AQ126" s="385"/>
      <c r="AR126" s="385"/>
      <c r="AS126" s="385"/>
      <c r="AT126" s="385"/>
      <c r="AU126" s="385"/>
      <c r="AV126" s="385"/>
      <c r="AW126" s="385"/>
      <c r="AX126" s="385"/>
    </row>
    <row r="127" spans="1:50" ht="10.8" hidden="1" thickTop="1" x14ac:dyDescent="0.2">
      <c r="A127" s="385"/>
      <c r="B127" s="385"/>
      <c r="C127" s="385"/>
      <c r="D127" s="385"/>
      <c r="E127" s="385"/>
      <c r="F127" s="385"/>
      <c r="G127" s="385"/>
      <c r="H127" s="385"/>
      <c r="I127" s="442"/>
      <c r="J127" s="442"/>
      <c r="K127" s="442"/>
      <c r="L127" s="442"/>
      <c r="M127" s="442"/>
      <c r="N127" s="442"/>
      <c r="O127" s="443"/>
      <c r="P127" s="385"/>
      <c r="Q127" s="385"/>
      <c r="R127" s="385"/>
      <c r="S127" s="385"/>
      <c r="T127" s="385"/>
      <c r="U127" s="385"/>
      <c r="V127" s="385"/>
      <c r="W127" s="385"/>
      <c r="X127" s="385"/>
      <c r="Y127" s="385"/>
      <c r="Z127" s="385"/>
      <c r="AA127" s="385"/>
      <c r="AB127" s="385"/>
      <c r="AC127" s="385"/>
      <c r="AD127" s="385"/>
      <c r="AE127" s="385"/>
      <c r="AF127" s="385"/>
      <c r="AG127" s="385"/>
      <c r="AH127" s="385"/>
      <c r="AI127" s="385"/>
      <c r="AJ127" s="385"/>
      <c r="AK127" s="385"/>
      <c r="AL127" s="385"/>
      <c r="AM127" s="385"/>
      <c r="AN127" s="385"/>
      <c r="AO127" s="385"/>
      <c r="AP127" s="385"/>
      <c r="AQ127" s="385"/>
      <c r="AR127" s="385"/>
      <c r="AS127" s="385"/>
      <c r="AT127" s="385"/>
      <c r="AU127" s="385"/>
      <c r="AV127" s="385"/>
      <c r="AW127" s="385"/>
      <c r="AX127" s="385"/>
    </row>
    <row r="128" spans="1:50" ht="10.8" hidden="1" thickTop="1" x14ac:dyDescent="0.2">
      <c r="A128" s="385"/>
      <c r="B128" s="385"/>
      <c r="C128" s="385"/>
      <c r="D128" s="385"/>
      <c r="E128" s="385"/>
      <c r="F128" s="385"/>
      <c r="G128" s="385"/>
      <c r="H128" s="385"/>
      <c r="I128" s="442"/>
      <c r="J128" s="442"/>
      <c r="K128" s="442"/>
      <c r="L128" s="442"/>
      <c r="M128" s="442"/>
      <c r="N128" s="442"/>
      <c r="O128" s="443"/>
      <c r="P128" s="385"/>
      <c r="Q128" s="385"/>
      <c r="R128" s="385"/>
      <c r="S128" s="385"/>
      <c r="T128" s="385"/>
      <c r="U128" s="385"/>
      <c r="V128" s="385"/>
      <c r="W128" s="385"/>
      <c r="X128" s="385"/>
      <c r="Y128" s="385"/>
      <c r="Z128" s="385"/>
      <c r="AA128" s="385"/>
      <c r="AB128" s="385"/>
      <c r="AC128" s="385"/>
      <c r="AD128" s="385"/>
      <c r="AE128" s="385"/>
      <c r="AF128" s="385"/>
      <c r="AG128" s="385"/>
      <c r="AH128" s="385"/>
      <c r="AI128" s="385"/>
      <c r="AJ128" s="385"/>
      <c r="AK128" s="385"/>
      <c r="AL128" s="385"/>
      <c r="AM128" s="385"/>
      <c r="AN128" s="385"/>
      <c r="AO128" s="385"/>
      <c r="AP128" s="385"/>
      <c r="AQ128" s="385"/>
      <c r="AR128" s="385"/>
      <c r="AS128" s="385"/>
      <c r="AT128" s="385"/>
      <c r="AU128" s="385"/>
      <c r="AV128" s="385"/>
      <c r="AW128" s="385"/>
      <c r="AX128" s="385"/>
    </row>
    <row r="129" spans="1:50" ht="10.8" hidden="1" thickTop="1" x14ac:dyDescent="0.2">
      <c r="A129" s="385"/>
      <c r="B129" s="385"/>
      <c r="C129" s="385"/>
      <c r="D129" s="385"/>
      <c r="E129" s="385"/>
      <c r="F129" s="385"/>
      <c r="G129" s="385"/>
      <c r="H129" s="385"/>
      <c r="I129" s="442"/>
      <c r="J129" s="442"/>
      <c r="K129" s="442"/>
      <c r="L129" s="442"/>
      <c r="M129" s="442"/>
      <c r="N129" s="442"/>
      <c r="O129" s="443"/>
      <c r="P129" s="385"/>
      <c r="Q129" s="385"/>
      <c r="R129" s="385"/>
      <c r="S129" s="385"/>
      <c r="T129" s="385"/>
      <c r="U129" s="385"/>
      <c r="V129" s="385"/>
      <c r="W129" s="385"/>
      <c r="X129" s="385"/>
      <c r="Y129" s="385"/>
      <c r="Z129" s="385"/>
      <c r="AA129" s="385"/>
      <c r="AB129" s="385"/>
      <c r="AC129" s="385"/>
      <c r="AD129" s="385"/>
      <c r="AE129" s="385"/>
      <c r="AF129" s="385"/>
      <c r="AG129" s="385"/>
      <c r="AH129" s="385"/>
      <c r="AI129" s="385"/>
      <c r="AJ129" s="385"/>
      <c r="AK129" s="385"/>
      <c r="AL129" s="385"/>
      <c r="AM129" s="385"/>
      <c r="AN129" s="385"/>
      <c r="AO129" s="385"/>
      <c r="AP129" s="385"/>
      <c r="AQ129" s="385"/>
      <c r="AR129" s="385"/>
      <c r="AS129" s="385"/>
      <c r="AT129" s="385"/>
      <c r="AU129" s="385"/>
      <c r="AV129" s="385"/>
      <c r="AW129" s="385"/>
      <c r="AX129" s="385"/>
    </row>
    <row r="130" spans="1:50" ht="10.8" hidden="1" thickTop="1" x14ac:dyDescent="0.2">
      <c r="A130" s="385"/>
      <c r="B130" s="385"/>
      <c r="C130" s="385"/>
      <c r="D130" s="385"/>
      <c r="E130" s="385"/>
      <c r="F130" s="385"/>
      <c r="G130" s="385"/>
      <c r="H130" s="385"/>
      <c r="I130" s="442"/>
      <c r="J130" s="442"/>
      <c r="K130" s="442"/>
      <c r="L130" s="442"/>
      <c r="M130" s="442"/>
      <c r="N130" s="442"/>
      <c r="O130" s="443"/>
      <c r="P130" s="385"/>
      <c r="Q130" s="385"/>
      <c r="R130" s="385"/>
      <c r="S130" s="385"/>
      <c r="T130" s="385"/>
      <c r="U130" s="385"/>
      <c r="V130" s="385"/>
      <c r="W130" s="385"/>
      <c r="X130" s="385"/>
      <c r="Y130" s="385"/>
      <c r="Z130" s="385"/>
      <c r="AA130" s="385"/>
      <c r="AB130" s="385"/>
      <c r="AC130" s="385"/>
      <c r="AD130" s="385"/>
      <c r="AE130" s="385"/>
      <c r="AF130" s="385"/>
      <c r="AG130" s="385"/>
      <c r="AH130" s="385"/>
      <c r="AI130" s="385"/>
      <c r="AJ130" s="385"/>
      <c r="AK130" s="385"/>
      <c r="AL130" s="385"/>
      <c r="AM130" s="385"/>
      <c r="AN130" s="385"/>
      <c r="AO130" s="385"/>
      <c r="AP130" s="385"/>
      <c r="AQ130" s="385"/>
      <c r="AR130" s="385"/>
      <c r="AS130" s="385"/>
      <c r="AT130" s="385"/>
      <c r="AU130" s="385"/>
      <c r="AV130" s="385"/>
      <c r="AW130" s="385"/>
      <c r="AX130" s="385"/>
    </row>
    <row r="131" spans="1:50" ht="10.8" hidden="1" thickTop="1" x14ac:dyDescent="0.2">
      <c r="A131" s="385"/>
      <c r="B131" s="385"/>
      <c r="C131" s="385"/>
      <c r="D131" s="385"/>
      <c r="E131" s="385"/>
      <c r="F131" s="385"/>
      <c r="G131" s="385"/>
      <c r="H131" s="385"/>
      <c r="I131" s="442"/>
      <c r="J131" s="442"/>
      <c r="K131" s="442"/>
      <c r="L131" s="442"/>
      <c r="M131" s="442"/>
      <c r="N131" s="442"/>
      <c r="O131" s="443"/>
      <c r="P131" s="385"/>
      <c r="Q131" s="385"/>
      <c r="R131" s="385"/>
      <c r="S131" s="385"/>
      <c r="T131" s="385"/>
      <c r="U131" s="385"/>
      <c r="V131" s="385"/>
      <c r="W131" s="385"/>
      <c r="X131" s="385"/>
      <c r="Y131" s="385"/>
      <c r="Z131" s="385"/>
      <c r="AA131" s="385"/>
      <c r="AB131" s="385"/>
      <c r="AC131" s="385"/>
      <c r="AD131" s="385"/>
      <c r="AE131" s="385"/>
      <c r="AF131" s="385"/>
      <c r="AG131" s="385"/>
      <c r="AH131" s="385"/>
      <c r="AI131" s="385"/>
      <c r="AJ131" s="385"/>
      <c r="AK131" s="385"/>
      <c r="AL131" s="385"/>
      <c r="AM131" s="385"/>
      <c r="AN131" s="385"/>
      <c r="AO131" s="385"/>
      <c r="AP131" s="385"/>
      <c r="AQ131" s="385"/>
      <c r="AR131" s="385"/>
      <c r="AS131" s="385"/>
      <c r="AT131" s="385"/>
      <c r="AU131" s="385"/>
      <c r="AV131" s="385"/>
      <c r="AW131" s="385"/>
      <c r="AX131" s="385"/>
    </row>
    <row r="132" spans="1:50" ht="10.8" hidden="1" thickTop="1" x14ac:dyDescent="0.2">
      <c r="A132" s="385"/>
      <c r="B132" s="385"/>
      <c r="C132" s="385"/>
      <c r="D132" s="385"/>
      <c r="E132" s="385"/>
      <c r="F132" s="385"/>
      <c r="G132" s="385"/>
      <c r="H132" s="385"/>
      <c r="I132" s="442"/>
      <c r="J132" s="442"/>
      <c r="K132" s="442"/>
      <c r="L132" s="442"/>
      <c r="M132" s="442"/>
      <c r="N132" s="442"/>
      <c r="O132" s="443"/>
      <c r="P132" s="385"/>
      <c r="Q132" s="385"/>
      <c r="R132" s="385"/>
      <c r="S132" s="385"/>
      <c r="T132" s="385"/>
      <c r="U132" s="385"/>
      <c r="V132" s="385"/>
      <c r="W132" s="385"/>
      <c r="X132" s="385"/>
      <c r="Y132" s="385"/>
      <c r="Z132" s="385"/>
      <c r="AA132" s="385"/>
      <c r="AB132" s="385"/>
      <c r="AC132" s="385"/>
      <c r="AD132" s="385"/>
      <c r="AE132" s="385"/>
      <c r="AF132" s="385"/>
      <c r="AG132" s="385"/>
      <c r="AH132" s="385"/>
      <c r="AI132" s="385"/>
      <c r="AJ132" s="385"/>
      <c r="AK132" s="385"/>
      <c r="AL132" s="385"/>
      <c r="AM132" s="385"/>
      <c r="AN132" s="385"/>
      <c r="AO132" s="385"/>
      <c r="AP132" s="385"/>
      <c r="AQ132" s="385"/>
      <c r="AR132" s="385"/>
      <c r="AS132" s="385"/>
      <c r="AT132" s="385"/>
      <c r="AU132" s="385"/>
      <c r="AV132" s="385"/>
      <c r="AW132" s="385"/>
      <c r="AX132" s="385"/>
    </row>
    <row r="133" spans="1:50" ht="10.8" hidden="1" thickTop="1" x14ac:dyDescent="0.2">
      <c r="A133" s="385"/>
      <c r="B133" s="385"/>
      <c r="C133" s="385"/>
      <c r="D133" s="385"/>
      <c r="E133" s="385"/>
      <c r="F133" s="385"/>
      <c r="G133" s="385"/>
      <c r="H133" s="385"/>
      <c r="I133" s="442"/>
      <c r="J133" s="442"/>
      <c r="K133" s="442"/>
      <c r="L133" s="442"/>
      <c r="M133" s="442"/>
      <c r="N133" s="442"/>
      <c r="O133" s="443"/>
      <c r="P133" s="385"/>
      <c r="Q133" s="385"/>
      <c r="R133" s="385"/>
      <c r="S133" s="385"/>
      <c r="T133" s="385"/>
      <c r="U133" s="385"/>
      <c r="V133" s="385"/>
      <c r="W133" s="385"/>
      <c r="X133" s="385"/>
      <c r="Y133" s="385"/>
      <c r="Z133" s="385"/>
      <c r="AA133" s="385"/>
      <c r="AB133" s="385"/>
      <c r="AC133" s="385"/>
      <c r="AD133" s="385"/>
      <c r="AE133" s="385"/>
      <c r="AF133" s="385"/>
      <c r="AG133" s="385"/>
      <c r="AH133" s="385"/>
      <c r="AI133" s="385"/>
      <c r="AJ133" s="385"/>
      <c r="AK133" s="385"/>
      <c r="AL133" s="385"/>
      <c r="AM133" s="385"/>
      <c r="AN133" s="385"/>
      <c r="AO133" s="385"/>
      <c r="AP133" s="385"/>
      <c r="AQ133" s="385"/>
      <c r="AR133" s="385"/>
      <c r="AS133" s="385"/>
      <c r="AT133" s="385"/>
      <c r="AU133" s="385"/>
      <c r="AV133" s="385"/>
      <c r="AW133" s="385"/>
      <c r="AX133" s="385"/>
    </row>
    <row r="134" spans="1:50" ht="10.8" hidden="1" thickTop="1" x14ac:dyDescent="0.2">
      <c r="A134" s="385"/>
      <c r="B134" s="385"/>
      <c r="C134" s="385"/>
      <c r="D134" s="385"/>
      <c r="E134" s="385"/>
      <c r="F134" s="385"/>
      <c r="G134" s="385"/>
      <c r="H134" s="385"/>
      <c r="I134" s="442"/>
      <c r="J134" s="442"/>
      <c r="K134" s="442"/>
      <c r="L134" s="442"/>
      <c r="M134" s="442"/>
      <c r="N134" s="442"/>
      <c r="O134" s="443"/>
      <c r="P134" s="385"/>
      <c r="Q134" s="385"/>
      <c r="R134" s="385"/>
      <c r="S134" s="385"/>
      <c r="T134" s="385"/>
      <c r="U134" s="385"/>
      <c r="V134" s="385"/>
      <c r="W134" s="385"/>
      <c r="X134" s="385"/>
      <c r="Y134" s="385"/>
      <c r="Z134" s="385"/>
      <c r="AA134" s="385"/>
      <c r="AB134" s="385"/>
      <c r="AC134" s="385"/>
      <c r="AD134" s="385"/>
      <c r="AE134" s="385"/>
      <c r="AF134" s="385"/>
      <c r="AG134" s="385"/>
      <c r="AH134" s="385"/>
      <c r="AI134" s="385"/>
      <c r="AJ134" s="385"/>
      <c r="AK134" s="385"/>
      <c r="AL134" s="385"/>
      <c r="AM134" s="385"/>
      <c r="AN134" s="385"/>
      <c r="AO134" s="385"/>
      <c r="AP134" s="385"/>
      <c r="AQ134" s="385"/>
      <c r="AR134" s="385"/>
      <c r="AS134" s="385"/>
      <c r="AT134" s="385"/>
      <c r="AU134" s="385"/>
      <c r="AV134" s="385"/>
      <c r="AW134" s="385"/>
      <c r="AX134" s="385"/>
    </row>
    <row r="135" spans="1:50" ht="10.8" hidden="1" thickTop="1" x14ac:dyDescent="0.2">
      <c r="A135" s="385"/>
      <c r="B135" s="385"/>
      <c r="C135" s="385"/>
      <c r="D135" s="385"/>
      <c r="E135" s="385"/>
      <c r="F135" s="385"/>
      <c r="G135" s="385"/>
      <c r="H135" s="385"/>
      <c r="I135" s="442"/>
      <c r="J135" s="442"/>
      <c r="K135" s="442"/>
      <c r="L135" s="442"/>
      <c r="M135" s="442"/>
      <c r="N135" s="442"/>
      <c r="O135" s="443"/>
      <c r="P135" s="385"/>
      <c r="Q135" s="385"/>
      <c r="R135" s="385"/>
      <c r="S135" s="385"/>
      <c r="T135" s="385"/>
      <c r="U135" s="385"/>
      <c r="V135" s="385"/>
      <c r="W135" s="385"/>
      <c r="X135" s="385"/>
      <c r="Y135" s="385"/>
      <c r="Z135" s="385"/>
      <c r="AA135" s="385"/>
      <c r="AB135" s="385"/>
      <c r="AC135" s="385"/>
      <c r="AD135" s="385"/>
      <c r="AE135" s="385"/>
      <c r="AF135" s="385"/>
      <c r="AG135" s="385"/>
      <c r="AH135" s="385"/>
      <c r="AI135" s="385"/>
      <c r="AJ135" s="385"/>
      <c r="AK135" s="385"/>
      <c r="AL135" s="385"/>
      <c r="AM135" s="385"/>
      <c r="AN135" s="385"/>
      <c r="AO135" s="385"/>
      <c r="AP135" s="385"/>
      <c r="AQ135" s="385"/>
      <c r="AR135" s="385"/>
      <c r="AS135" s="385"/>
      <c r="AT135" s="385"/>
      <c r="AU135" s="385"/>
      <c r="AV135" s="385"/>
      <c r="AW135" s="385"/>
      <c r="AX135" s="385"/>
    </row>
    <row r="136" spans="1:50" ht="10.8" hidden="1" thickTop="1" x14ac:dyDescent="0.2">
      <c r="A136" s="385"/>
      <c r="B136" s="385"/>
      <c r="C136" s="385"/>
      <c r="D136" s="385"/>
      <c r="E136" s="385"/>
      <c r="F136" s="385"/>
      <c r="G136" s="385"/>
      <c r="H136" s="385"/>
      <c r="I136" s="442"/>
      <c r="J136" s="442"/>
      <c r="K136" s="442"/>
      <c r="L136" s="442"/>
      <c r="M136" s="442"/>
      <c r="N136" s="442"/>
      <c r="O136" s="443"/>
      <c r="P136" s="385"/>
      <c r="Q136" s="385"/>
      <c r="R136" s="385"/>
      <c r="S136" s="385"/>
      <c r="T136" s="385"/>
      <c r="U136" s="385"/>
      <c r="V136" s="385"/>
      <c r="W136" s="385"/>
      <c r="X136" s="385"/>
      <c r="Y136" s="385"/>
      <c r="Z136" s="385"/>
      <c r="AA136" s="385"/>
      <c r="AB136" s="385"/>
      <c r="AC136" s="385"/>
      <c r="AD136" s="385"/>
      <c r="AE136" s="385"/>
      <c r="AF136" s="385"/>
      <c r="AG136" s="385"/>
      <c r="AH136" s="385"/>
      <c r="AI136" s="385"/>
      <c r="AJ136" s="385"/>
      <c r="AK136" s="385"/>
      <c r="AL136" s="385"/>
      <c r="AM136" s="385"/>
      <c r="AN136" s="385"/>
      <c r="AO136" s="385"/>
      <c r="AP136" s="385"/>
      <c r="AQ136" s="385"/>
      <c r="AR136" s="385"/>
      <c r="AS136" s="385"/>
      <c r="AT136" s="385"/>
      <c r="AU136" s="385"/>
      <c r="AV136" s="385"/>
      <c r="AW136" s="385"/>
      <c r="AX136" s="385"/>
    </row>
    <row r="137" spans="1:50" ht="10.8" hidden="1" thickTop="1" x14ac:dyDescent="0.2">
      <c r="A137" s="385"/>
      <c r="B137" s="385"/>
      <c r="C137" s="385"/>
      <c r="D137" s="385"/>
      <c r="E137" s="385"/>
      <c r="F137" s="385"/>
      <c r="G137" s="385"/>
      <c r="H137" s="385"/>
      <c r="I137" s="442"/>
      <c r="J137" s="442"/>
      <c r="K137" s="442"/>
      <c r="L137" s="442"/>
      <c r="M137" s="442"/>
      <c r="N137" s="442"/>
      <c r="O137" s="443"/>
      <c r="P137" s="385"/>
      <c r="Q137" s="385"/>
      <c r="R137" s="385"/>
      <c r="S137" s="385"/>
      <c r="T137" s="385"/>
      <c r="U137" s="385"/>
      <c r="V137" s="385"/>
      <c r="W137" s="385"/>
      <c r="X137" s="385"/>
      <c r="Y137" s="385"/>
      <c r="Z137" s="385"/>
      <c r="AA137" s="385"/>
      <c r="AB137" s="385"/>
      <c r="AC137" s="385"/>
      <c r="AD137" s="385"/>
      <c r="AE137" s="385"/>
      <c r="AF137" s="385"/>
      <c r="AG137" s="385"/>
      <c r="AH137" s="385"/>
      <c r="AI137" s="385"/>
      <c r="AJ137" s="385"/>
      <c r="AK137" s="385"/>
      <c r="AL137" s="385"/>
      <c r="AM137" s="385"/>
      <c r="AN137" s="385"/>
      <c r="AO137" s="385"/>
      <c r="AP137" s="385"/>
      <c r="AQ137" s="385"/>
      <c r="AR137" s="385"/>
      <c r="AS137" s="385"/>
      <c r="AT137" s="385"/>
      <c r="AU137" s="385"/>
      <c r="AV137" s="385"/>
      <c r="AW137" s="385"/>
      <c r="AX137" s="385"/>
    </row>
    <row r="138" spans="1:50" ht="10.8" hidden="1" thickTop="1" x14ac:dyDescent="0.2">
      <c r="A138" s="385"/>
      <c r="B138" s="385"/>
      <c r="C138" s="385"/>
      <c r="D138" s="385"/>
      <c r="E138" s="385"/>
      <c r="F138" s="385"/>
      <c r="G138" s="385"/>
      <c r="H138" s="385"/>
      <c r="I138" s="442"/>
      <c r="J138" s="442"/>
      <c r="K138" s="442"/>
      <c r="L138" s="442"/>
      <c r="M138" s="442"/>
      <c r="N138" s="442"/>
      <c r="O138" s="443"/>
      <c r="P138" s="385"/>
      <c r="Q138" s="385"/>
      <c r="R138" s="385"/>
      <c r="S138" s="385"/>
      <c r="T138" s="385"/>
      <c r="U138" s="385"/>
      <c r="V138" s="385"/>
      <c r="W138" s="385"/>
      <c r="X138" s="385"/>
      <c r="Y138" s="385"/>
      <c r="Z138" s="385"/>
      <c r="AA138" s="385"/>
      <c r="AB138" s="385"/>
      <c r="AC138" s="385"/>
      <c r="AD138" s="385"/>
      <c r="AE138" s="385"/>
      <c r="AF138" s="385"/>
      <c r="AG138" s="385"/>
      <c r="AH138" s="385"/>
      <c r="AI138" s="385"/>
      <c r="AJ138" s="385"/>
      <c r="AK138" s="385"/>
      <c r="AL138" s="385"/>
      <c r="AM138" s="385"/>
      <c r="AN138" s="385"/>
      <c r="AO138" s="385"/>
      <c r="AP138" s="385"/>
      <c r="AQ138" s="385"/>
      <c r="AR138" s="385"/>
      <c r="AS138" s="385"/>
      <c r="AT138" s="385"/>
      <c r="AU138" s="385"/>
      <c r="AV138" s="385"/>
      <c r="AW138" s="385"/>
      <c r="AX138" s="385"/>
    </row>
    <row r="139" spans="1:50" ht="10.8" hidden="1" thickTop="1" x14ac:dyDescent="0.2">
      <c r="A139" s="385"/>
      <c r="B139" s="385"/>
      <c r="C139" s="385"/>
      <c r="D139" s="385"/>
      <c r="E139" s="385"/>
      <c r="F139" s="385"/>
      <c r="G139" s="385"/>
      <c r="H139" s="385"/>
      <c r="I139" s="442"/>
      <c r="J139" s="442"/>
      <c r="K139" s="442"/>
      <c r="L139" s="442"/>
      <c r="M139" s="442"/>
      <c r="N139" s="442"/>
      <c r="O139" s="443"/>
      <c r="P139" s="385"/>
      <c r="Q139" s="385"/>
      <c r="R139" s="385"/>
      <c r="S139" s="385"/>
      <c r="T139" s="385"/>
      <c r="U139" s="385"/>
      <c r="V139" s="385"/>
      <c r="W139" s="385"/>
      <c r="X139" s="385"/>
      <c r="Y139" s="385"/>
      <c r="Z139" s="385"/>
      <c r="AA139" s="385"/>
      <c r="AB139" s="385"/>
      <c r="AC139" s="385"/>
      <c r="AD139" s="385"/>
      <c r="AE139" s="385"/>
      <c r="AF139" s="385"/>
      <c r="AG139" s="385"/>
      <c r="AH139" s="385"/>
      <c r="AI139" s="385"/>
      <c r="AJ139" s="385"/>
      <c r="AK139" s="385"/>
      <c r="AL139" s="385"/>
      <c r="AM139" s="385"/>
      <c r="AN139" s="385"/>
      <c r="AO139" s="385"/>
      <c r="AP139" s="385"/>
      <c r="AQ139" s="385"/>
      <c r="AR139" s="385"/>
      <c r="AS139" s="385"/>
      <c r="AT139" s="385"/>
      <c r="AU139" s="385"/>
      <c r="AV139" s="385"/>
      <c r="AW139" s="385"/>
      <c r="AX139" s="385"/>
    </row>
    <row r="140" spans="1:50" ht="10.8" hidden="1" thickTop="1" x14ac:dyDescent="0.2">
      <c r="A140" s="385"/>
      <c r="B140" s="385"/>
      <c r="C140" s="385"/>
      <c r="D140" s="385"/>
      <c r="E140" s="385"/>
      <c r="F140" s="385"/>
      <c r="G140" s="385"/>
      <c r="H140" s="385"/>
      <c r="I140" s="442"/>
      <c r="J140" s="442"/>
      <c r="K140" s="442"/>
      <c r="L140" s="442"/>
      <c r="M140" s="442"/>
      <c r="N140" s="442"/>
      <c r="O140" s="443"/>
      <c r="P140" s="385"/>
      <c r="Q140" s="385"/>
      <c r="R140" s="385"/>
      <c r="S140" s="385"/>
      <c r="T140" s="385"/>
      <c r="U140" s="385"/>
      <c r="V140" s="385"/>
      <c r="W140" s="385"/>
      <c r="X140" s="385"/>
      <c r="Y140" s="385"/>
      <c r="Z140" s="385"/>
      <c r="AA140" s="385"/>
      <c r="AB140" s="385"/>
      <c r="AC140" s="385"/>
      <c r="AD140" s="385"/>
      <c r="AE140" s="385"/>
      <c r="AF140" s="385"/>
      <c r="AG140" s="385"/>
      <c r="AH140" s="385"/>
      <c r="AI140" s="385"/>
      <c r="AJ140" s="385"/>
      <c r="AK140" s="385"/>
      <c r="AL140" s="385"/>
      <c r="AM140" s="385"/>
      <c r="AN140" s="385"/>
      <c r="AO140" s="385"/>
      <c r="AP140" s="385"/>
      <c r="AQ140" s="385"/>
      <c r="AR140" s="385"/>
      <c r="AS140" s="385"/>
      <c r="AT140" s="385"/>
      <c r="AU140" s="385"/>
      <c r="AV140" s="385"/>
      <c r="AW140" s="385"/>
      <c r="AX140" s="385"/>
    </row>
    <row r="141" spans="1:50" ht="10.8" hidden="1" thickTop="1" x14ac:dyDescent="0.2">
      <c r="A141" s="385"/>
      <c r="B141" s="385"/>
      <c r="C141" s="385"/>
      <c r="D141" s="385"/>
      <c r="E141" s="385"/>
      <c r="F141" s="385"/>
      <c r="G141" s="385"/>
      <c r="H141" s="385"/>
      <c r="I141" s="442"/>
      <c r="J141" s="442"/>
      <c r="K141" s="442"/>
      <c r="L141" s="442"/>
      <c r="M141" s="442"/>
      <c r="N141" s="442"/>
      <c r="O141" s="443"/>
      <c r="P141" s="385"/>
      <c r="Q141" s="385"/>
      <c r="R141" s="385"/>
      <c r="S141" s="385"/>
      <c r="T141" s="385"/>
      <c r="U141" s="385"/>
      <c r="V141" s="385"/>
      <c r="W141" s="385"/>
      <c r="X141" s="385"/>
      <c r="Y141" s="385"/>
      <c r="Z141" s="385"/>
      <c r="AA141" s="385"/>
      <c r="AB141" s="385"/>
      <c r="AC141" s="385"/>
      <c r="AD141" s="385"/>
      <c r="AE141" s="385"/>
      <c r="AF141" s="385"/>
      <c r="AG141" s="385"/>
      <c r="AH141" s="385"/>
      <c r="AI141" s="385"/>
      <c r="AJ141" s="385"/>
      <c r="AK141" s="385"/>
      <c r="AL141" s="385"/>
      <c r="AM141" s="385"/>
      <c r="AN141" s="385"/>
      <c r="AO141" s="385"/>
      <c r="AP141" s="385"/>
      <c r="AQ141" s="385"/>
      <c r="AR141" s="385"/>
      <c r="AS141" s="385"/>
      <c r="AT141" s="385"/>
      <c r="AU141" s="385"/>
      <c r="AV141" s="385"/>
      <c r="AW141" s="385"/>
      <c r="AX141" s="385"/>
    </row>
    <row r="142" spans="1:50" ht="10.8" hidden="1" thickTop="1" x14ac:dyDescent="0.2">
      <c r="A142" s="385"/>
      <c r="B142" s="385"/>
      <c r="C142" s="385"/>
      <c r="D142" s="385"/>
      <c r="E142" s="385"/>
      <c r="F142" s="385"/>
      <c r="G142" s="385"/>
      <c r="H142" s="385"/>
      <c r="I142" s="442"/>
      <c r="J142" s="442"/>
      <c r="K142" s="442"/>
      <c r="L142" s="442"/>
      <c r="M142" s="442"/>
      <c r="N142" s="442"/>
      <c r="O142" s="443"/>
      <c r="P142" s="385"/>
      <c r="Q142" s="385"/>
      <c r="R142" s="385"/>
      <c r="S142" s="385"/>
      <c r="T142" s="385"/>
      <c r="U142" s="385"/>
      <c r="V142" s="385"/>
      <c r="W142" s="385"/>
      <c r="X142" s="385"/>
      <c r="Y142" s="385"/>
      <c r="Z142" s="385"/>
      <c r="AA142" s="385"/>
      <c r="AB142" s="385"/>
      <c r="AC142" s="385"/>
      <c r="AD142" s="385"/>
      <c r="AE142" s="385"/>
      <c r="AF142" s="385"/>
      <c r="AG142" s="385"/>
      <c r="AH142" s="385"/>
      <c r="AI142" s="385"/>
      <c r="AJ142" s="385"/>
      <c r="AK142" s="385"/>
      <c r="AL142" s="385"/>
      <c r="AM142" s="385"/>
      <c r="AN142" s="385"/>
      <c r="AO142" s="385"/>
      <c r="AP142" s="385"/>
      <c r="AQ142" s="385"/>
      <c r="AR142" s="385"/>
      <c r="AS142" s="385"/>
      <c r="AT142" s="385"/>
      <c r="AU142" s="385"/>
      <c r="AV142" s="385"/>
      <c r="AW142" s="385"/>
      <c r="AX142" s="385"/>
    </row>
    <row r="143" spans="1:50" ht="10.8" hidden="1" thickTop="1" x14ac:dyDescent="0.2">
      <c r="A143" s="385"/>
      <c r="B143" s="385"/>
      <c r="C143" s="385"/>
      <c r="D143" s="385"/>
      <c r="E143" s="385"/>
      <c r="F143" s="385"/>
      <c r="G143" s="385"/>
      <c r="H143" s="385"/>
      <c r="I143" s="442"/>
      <c r="J143" s="442"/>
      <c r="K143" s="442"/>
      <c r="L143" s="442"/>
      <c r="M143" s="442"/>
      <c r="N143" s="442"/>
      <c r="O143" s="443"/>
      <c r="P143" s="385"/>
      <c r="Q143" s="385"/>
      <c r="R143" s="385"/>
      <c r="S143" s="385"/>
      <c r="T143" s="385"/>
      <c r="U143" s="385"/>
      <c r="V143" s="385"/>
      <c r="W143" s="385"/>
      <c r="X143" s="385"/>
      <c r="Y143" s="385"/>
      <c r="Z143" s="385"/>
      <c r="AA143" s="385"/>
      <c r="AB143" s="385"/>
      <c r="AC143" s="385"/>
      <c r="AD143" s="385"/>
      <c r="AE143" s="385"/>
      <c r="AF143" s="385"/>
      <c r="AG143" s="385"/>
      <c r="AH143" s="385"/>
      <c r="AI143" s="385"/>
      <c r="AJ143" s="385"/>
      <c r="AK143" s="385"/>
      <c r="AL143" s="385"/>
      <c r="AM143" s="385"/>
      <c r="AN143" s="385"/>
      <c r="AO143" s="385"/>
      <c r="AP143" s="385"/>
      <c r="AQ143" s="385"/>
      <c r="AR143" s="385"/>
      <c r="AS143" s="385"/>
      <c r="AT143" s="385"/>
      <c r="AU143" s="385"/>
      <c r="AV143" s="385"/>
      <c r="AW143" s="385"/>
      <c r="AX143" s="385"/>
    </row>
    <row r="144" spans="1:50" ht="10.8" hidden="1" thickTop="1" x14ac:dyDescent="0.2">
      <c r="A144" s="385"/>
      <c r="B144" s="385"/>
      <c r="C144" s="385"/>
      <c r="D144" s="385"/>
      <c r="E144" s="385"/>
      <c r="F144" s="385"/>
      <c r="G144" s="385"/>
      <c r="H144" s="385"/>
      <c r="I144" s="442"/>
      <c r="J144" s="442"/>
      <c r="K144" s="442"/>
      <c r="L144" s="442"/>
      <c r="M144" s="442"/>
      <c r="N144" s="442"/>
      <c r="O144" s="443"/>
      <c r="P144" s="385"/>
      <c r="Q144" s="385"/>
      <c r="R144" s="385"/>
      <c r="S144" s="385"/>
      <c r="T144" s="385"/>
      <c r="U144" s="385"/>
      <c r="V144" s="385"/>
      <c r="W144" s="385"/>
      <c r="X144" s="385"/>
      <c r="Y144" s="385"/>
      <c r="Z144" s="385"/>
      <c r="AA144" s="385"/>
      <c r="AB144" s="385"/>
      <c r="AC144" s="385"/>
      <c r="AD144" s="385"/>
      <c r="AE144" s="385"/>
      <c r="AF144" s="385"/>
      <c r="AG144" s="385"/>
      <c r="AH144" s="385"/>
      <c r="AI144" s="385"/>
      <c r="AJ144" s="385"/>
      <c r="AK144" s="385"/>
      <c r="AL144" s="385"/>
      <c r="AM144" s="385"/>
      <c r="AN144" s="385"/>
      <c r="AO144" s="385"/>
      <c r="AP144" s="385"/>
      <c r="AQ144" s="385"/>
      <c r="AR144" s="385"/>
      <c r="AS144" s="385"/>
      <c r="AT144" s="385"/>
      <c r="AU144" s="385"/>
      <c r="AV144" s="385"/>
      <c r="AW144" s="385"/>
      <c r="AX144" s="385"/>
    </row>
    <row r="145" spans="1:50" ht="10.8" hidden="1" thickTop="1" x14ac:dyDescent="0.2">
      <c r="A145" s="385"/>
      <c r="B145" s="385"/>
      <c r="C145" s="385"/>
      <c r="D145" s="385"/>
      <c r="E145" s="385"/>
      <c r="F145" s="385"/>
      <c r="G145" s="385"/>
      <c r="H145" s="385"/>
      <c r="I145" s="442"/>
      <c r="J145" s="442"/>
      <c r="K145" s="442"/>
      <c r="L145" s="442"/>
      <c r="M145" s="442"/>
      <c r="N145" s="442"/>
      <c r="O145" s="443"/>
      <c r="P145" s="385"/>
      <c r="Q145" s="385"/>
      <c r="R145" s="385"/>
      <c r="S145" s="385"/>
      <c r="T145" s="385"/>
      <c r="U145" s="385"/>
      <c r="V145" s="385"/>
      <c r="W145" s="385"/>
      <c r="X145" s="385"/>
      <c r="Y145" s="385"/>
      <c r="Z145" s="385"/>
      <c r="AA145" s="385"/>
      <c r="AB145" s="385"/>
      <c r="AC145" s="385"/>
      <c r="AD145" s="385"/>
      <c r="AE145" s="385"/>
      <c r="AF145" s="385"/>
      <c r="AG145" s="385"/>
      <c r="AH145" s="385"/>
      <c r="AI145" s="385"/>
      <c r="AJ145" s="385"/>
      <c r="AK145" s="385"/>
      <c r="AL145" s="385"/>
      <c r="AM145" s="385"/>
      <c r="AN145" s="385"/>
      <c r="AO145" s="385"/>
      <c r="AP145" s="385"/>
      <c r="AQ145" s="385"/>
      <c r="AR145" s="385"/>
      <c r="AS145" s="385"/>
      <c r="AT145" s="385"/>
      <c r="AU145" s="385"/>
      <c r="AV145" s="385"/>
      <c r="AW145" s="385"/>
      <c r="AX145" s="385"/>
    </row>
    <row r="146" spans="1:50" ht="10.8" hidden="1" thickTop="1" x14ac:dyDescent="0.2">
      <c r="A146" s="385"/>
      <c r="B146" s="444"/>
      <c r="C146" s="385"/>
      <c r="D146" s="385"/>
      <c r="E146" s="385"/>
      <c r="F146" s="385"/>
      <c r="G146" s="385"/>
      <c r="H146" s="385"/>
      <c r="I146" s="442"/>
      <c r="J146" s="442"/>
      <c r="K146" s="442"/>
      <c r="L146" s="442"/>
      <c r="M146" s="442"/>
      <c r="N146" s="442"/>
      <c r="O146" s="443"/>
      <c r="P146" s="385"/>
      <c r="Q146" s="385"/>
      <c r="R146" s="385"/>
      <c r="S146" s="385"/>
      <c r="T146" s="385"/>
      <c r="U146" s="385"/>
      <c r="V146" s="385"/>
      <c r="W146" s="385"/>
      <c r="X146" s="385"/>
      <c r="Y146" s="385"/>
      <c r="Z146" s="385"/>
      <c r="AA146" s="385"/>
      <c r="AB146" s="385"/>
      <c r="AC146" s="385"/>
      <c r="AD146" s="385"/>
      <c r="AE146" s="385"/>
      <c r="AF146" s="385"/>
      <c r="AG146" s="385"/>
      <c r="AH146" s="385"/>
      <c r="AI146" s="385"/>
      <c r="AJ146" s="385"/>
      <c r="AK146" s="385"/>
      <c r="AL146" s="385"/>
      <c r="AM146" s="385"/>
      <c r="AN146" s="385"/>
      <c r="AO146" s="385"/>
      <c r="AP146" s="385"/>
      <c r="AQ146" s="385"/>
      <c r="AR146" s="385"/>
      <c r="AS146" s="385"/>
      <c r="AT146" s="385"/>
      <c r="AU146" s="385"/>
      <c r="AV146" s="385"/>
      <c r="AW146" s="385"/>
      <c r="AX146" s="385"/>
    </row>
    <row r="147" spans="1:50" ht="10.8" hidden="1" thickTop="1" x14ac:dyDescent="0.2">
      <c r="A147" s="385"/>
      <c r="B147" s="385"/>
      <c r="C147" s="385"/>
      <c r="D147" s="385"/>
      <c r="E147" s="385"/>
      <c r="F147" s="385"/>
      <c r="G147" s="385"/>
      <c r="H147" s="385"/>
      <c r="I147" s="442"/>
      <c r="J147" s="442"/>
      <c r="K147" s="442"/>
      <c r="L147" s="442"/>
      <c r="M147" s="442"/>
      <c r="N147" s="442"/>
      <c r="O147" s="443"/>
      <c r="P147" s="385"/>
      <c r="Q147" s="385"/>
      <c r="R147" s="385"/>
      <c r="S147" s="385"/>
      <c r="T147" s="385"/>
      <c r="U147" s="385"/>
      <c r="V147" s="385"/>
      <c r="W147" s="385"/>
      <c r="X147" s="385"/>
      <c r="Y147" s="385"/>
      <c r="Z147" s="385"/>
      <c r="AA147" s="385"/>
      <c r="AB147" s="385"/>
      <c r="AC147" s="385"/>
      <c r="AD147" s="385"/>
      <c r="AE147" s="385"/>
      <c r="AF147" s="385"/>
      <c r="AG147" s="385"/>
      <c r="AH147" s="385"/>
      <c r="AI147" s="385"/>
      <c r="AJ147" s="385"/>
      <c r="AK147" s="385"/>
      <c r="AL147" s="385"/>
      <c r="AM147" s="385"/>
      <c r="AN147" s="385"/>
      <c r="AO147" s="385"/>
      <c r="AP147" s="385"/>
      <c r="AQ147" s="385"/>
      <c r="AR147" s="385"/>
      <c r="AS147" s="385"/>
      <c r="AT147" s="385"/>
      <c r="AU147" s="385"/>
      <c r="AV147" s="385"/>
      <c r="AW147" s="385"/>
      <c r="AX147" s="385"/>
    </row>
    <row r="148" spans="1:50" ht="10.8" hidden="1" thickTop="1" x14ac:dyDescent="0.2">
      <c r="A148" s="385"/>
      <c r="B148" s="385"/>
      <c r="C148" s="385"/>
      <c r="D148" s="445"/>
      <c r="E148" s="385"/>
      <c r="F148" s="385"/>
      <c r="G148" s="445"/>
      <c r="H148" s="385"/>
      <c r="I148" s="442"/>
      <c r="J148" s="442"/>
      <c r="K148" s="442"/>
      <c r="L148" s="442"/>
      <c r="M148" s="442"/>
      <c r="N148" s="442"/>
      <c r="O148" s="443"/>
      <c r="P148" s="385"/>
      <c r="Q148" s="385"/>
      <c r="R148" s="385"/>
      <c r="S148" s="385"/>
      <c r="T148" s="385"/>
      <c r="U148" s="385"/>
      <c r="V148" s="385"/>
      <c r="W148" s="385"/>
      <c r="X148" s="385"/>
      <c r="Y148" s="385"/>
      <c r="Z148" s="385"/>
      <c r="AA148" s="385"/>
      <c r="AB148" s="385"/>
      <c r="AC148" s="385"/>
      <c r="AD148" s="385"/>
      <c r="AE148" s="385"/>
      <c r="AF148" s="385"/>
      <c r="AG148" s="385"/>
      <c r="AH148" s="385"/>
      <c r="AI148" s="385"/>
      <c r="AJ148" s="385"/>
      <c r="AK148" s="385"/>
      <c r="AL148" s="385"/>
      <c r="AM148" s="385"/>
      <c r="AN148" s="385"/>
      <c r="AO148" s="385"/>
      <c r="AP148" s="385"/>
      <c r="AQ148" s="385"/>
      <c r="AR148" s="385"/>
      <c r="AS148" s="385"/>
      <c r="AT148" s="385"/>
      <c r="AU148" s="385"/>
      <c r="AV148" s="385"/>
      <c r="AW148" s="385"/>
      <c r="AX148" s="385"/>
    </row>
    <row r="149" spans="1:50" ht="10.8" hidden="1" thickTop="1" x14ac:dyDescent="0.2">
      <c r="A149" s="385"/>
      <c r="B149" s="385"/>
      <c r="C149" s="385"/>
      <c r="D149" s="385"/>
      <c r="E149" s="446"/>
      <c r="F149" s="446"/>
      <c r="G149" s="446"/>
      <c r="H149" s="385"/>
      <c r="I149" s="442"/>
      <c r="J149" s="442"/>
      <c r="K149" s="442"/>
      <c r="L149" s="442"/>
      <c r="M149" s="442"/>
      <c r="N149" s="442"/>
      <c r="O149" s="443"/>
      <c r="P149" s="385"/>
      <c r="Q149" s="385"/>
      <c r="R149" s="385"/>
      <c r="S149" s="385"/>
      <c r="T149" s="385"/>
      <c r="U149" s="385"/>
      <c r="V149" s="385"/>
      <c r="W149" s="385"/>
      <c r="X149" s="385"/>
      <c r="Y149" s="385"/>
      <c r="Z149" s="385"/>
      <c r="AA149" s="385"/>
      <c r="AB149" s="385"/>
      <c r="AC149" s="385"/>
      <c r="AD149" s="385"/>
      <c r="AE149" s="385"/>
      <c r="AF149" s="385"/>
      <c r="AG149" s="385"/>
      <c r="AH149" s="385"/>
      <c r="AI149" s="385"/>
      <c r="AJ149" s="385"/>
      <c r="AK149" s="385"/>
      <c r="AL149" s="385"/>
      <c r="AM149" s="385"/>
      <c r="AN149" s="385"/>
      <c r="AO149" s="385"/>
      <c r="AP149" s="385"/>
      <c r="AQ149" s="385"/>
      <c r="AR149" s="385"/>
      <c r="AS149" s="385"/>
      <c r="AT149" s="385"/>
      <c r="AU149" s="385"/>
      <c r="AV149" s="385"/>
      <c r="AW149" s="385"/>
      <c r="AX149" s="385"/>
    </row>
    <row r="150" spans="1:50" ht="10.8" hidden="1" thickTop="1" x14ac:dyDescent="0.2">
      <c r="A150" s="385"/>
      <c r="B150" s="385"/>
      <c r="C150" s="385"/>
      <c r="D150" s="385"/>
      <c r="E150" s="385"/>
      <c r="F150" s="385"/>
      <c r="G150" s="385"/>
      <c r="H150" s="385"/>
      <c r="I150" s="442"/>
      <c r="J150" s="442"/>
      <c r="K150" s="442"/>
      <c r="L150" s="442"/>
      <c r="M150" s="442"/>
      <c r="N150" s="442"/>
      <c r="O150" s="443"/>
      <c r="P150" s="385"/>
      <c r="Q150" s="385"/>
      <c r="R150" s="385"/>
      <c r="S150" s="385"/>
      <c r="T150" s="385"/>
      <c r="U150" s="385"/>
      <c r="V150" s="385"/>
      <c r="W150" s="385"/>
      <c r="X150" s="385"/>
      <c r="Y150" s="385"/>
      <c r="Z150" s="385"/>
      <c r="AA150" s="385"/>
      <c r="AB150" s="385"/>
      <c r="AC150" s="385"/>
      <c r="AD150" s="385"/>
      <c r="AE150" s="385"/>
      <c r="AF150" s="385"/>
      <c r="AG150" s="385"/>
      <c r="AH150" s="385"/>
      <c r="AI150" s="385"/>
      <c r="AJ150" s="385"/>
      <c r="AK150" s="385"/>
      <c r="AL150" s="385"/>
      <c r="AM150" s="385"/>
      <c r="AN150" s="385"/>
      <c r="AO150" s="385"/>
      <c r="AP150" s="385"/>
      <c r="AQ150" s="385"/>
      <c r="AR150" s="385"/>
      <c r="AS150" s="385"/>
      <c r="AT150" s="385"/>
      <c r="AU150" s="385"/>
      <c r="AV150" s="385"/>
      <c r="AW150" s="385"/>
      <c r="AX150" s="385"/>
    </row>
    <row r="151" spans="1:50" ht="10.8" hidden="1" thickTop="1" x14ac:dyDescent="0.2">
      <c r="A151" s="385"/>
      <c r="B151" s="385"/>
      <c r="C151" s="385"/>
      <c r="D151" s="385"/>
      <c r="E151" s="385"/>
      <c r="F151" s="385"/>
      <c r="G151" s="385"/>
      <c r="H151" s="385"/>
      <c r="I151" s="442"/>
      <c r="J151" s="442"/>
      <c r="K151" s="442"/>
      <c r="L151" s="442"/>
      <c r="M151" s="442"/>
      <c r="N151" s="442"/>
      <c r="O151" s="443"/>
      <c r="P151" s="385"/>
      <c r="Q151" s="385"/>
      <c r="R151" s="385"/>
      <c r="S151" s="385"/>
      <c r="T151" s="385"/>
      <c r="U151" s="385"/>
      <c r="V151" s="385"/>
      <c r="W151" s="385"/>
      <c r="X151" s="385"/>
      <c r="Y151" s="385"/>
      <c r="Z151" s="385"/>
      <c r="AA151" s="385"/>
      <c r="AB151" s="385"/>
      <c r="AC151" s="385"/>
      <c r="AD151" s="385"/>
      <c r="AE151" s="385"/>
      <c r="AF151" s="385"/>
      <c r="AG151" s="385"/>
      <c r="AH151" s="385"/>
      <c r="AI151" s="385"/>
      <c r="AJ151" s="385"/>
      <c r="AK151" s="385"/>
      <c r="AL151" s="385"/>
      <c r="AM151" s="385"/>
      <c r="AN151" s="385"/>
      <c r="AO151" s="385"/>
      <c r="AP151" s="385"/>
      <c r="AQ151" s="385"/>
      <c r="AR151" s="385"/>
      <c r="AS151" s="385"/>
      <c r="AT151" s="385"/>
      <c r="AU151" s="385"/>
      <c r="AV151" s="385"/>
      <c r="AW151" s="385"/>
      <c r="AX151" s="385"/>
    </row>
    <row r="152" spans="1:50" ht="10.8" hidden="1" thickTop="1" x14ac:dyDescent="0.2">
      <c r="A152" s="385"/>
      <c r="B152" s="385"/>
      <c r="C152" s="385"/>
      <c r="D152" s="445"/>
      <c r="E152" s="385"/>
      <c r="F152" s="385"/>
      <c r="G152" s="385"/>
      <c r="H152" s="385"/>
      <c r="I152" s="442"/>
      <c r="J152" s="442"/>
      <c r="K152" s="442"/>
      <c r="L152" s="442"/>
      <c r="M152" s="442"/>
      <c r="N152" s="442"/>
      <c r="O152" s="443"/>
      <c r="P152" s="385"/>
      <c r="Q152" s="385"/>
      <c r="R152" s="385"/>
      <c r="S152" s="385"/>
      <c r="T152" s="385"/>
      <c r="U152" s="385"/>
      <c r="V152" s="385"/>
      <c r="W152" s="385"/>
      <c r="X152" s="385"/>
      <c r="Y152" s="385"/>
      <c r="Z152" s="385"/>
      <c r="AA152" s="385"/>
      <c r="AB152" s="385"/>
      <c r="AC152" s="385"/>
      <c r="AD152" s="385"/>
      <c r="AE152" s="385"/>
      <c r="AF152" s="385"/>
      <c r="AG152" s="385"/>
      <c r="AH152" s="385"/>
      <c r="AI152" s="385"/>
      <c r="AJ152" s="385"/>
      <c r="AK152" s="385"/>
      <c r="AL152" s="385"/>
      <c r="AM152" s="385"/>
      <c r="AN152" s="385"/>
      <c r="AO152" s="385"/>
      <c r="AP152" s="385"/>
      <c r="AQ152" s="385"/>
      <c r="AR152" s="385"/>
      <c r="AS152" s="385"/>
      <c r="AT152" s="385"/>
      <c r="AU152" s="385"/>
      <c r="AV152" s="385"/>
      <c r="AW152" s="385"/>
      <c r="AX152" s="385"/>
    </row>
    <row r="153" spans="1:50" ht="10.8" hidden="1" thickTop="1" x14ac:dyDescent="0.2">
      <c r="A153" s="385"/>
      <c r="B153" s="385"/>
      <c r="C153" s="385"/>
      <c r="D153" s="445"/>
      <c r="E153" s="385"/>
      <c r="F153" s="385"/>
      <c r="G153" s="385"/>
      <c r="H153" s="385"/>
      <c r="I153" s="442"/>
      <c r="J153" s="442"/>
      <c r="K153" s="442"/>
      <c r="L153" s="442"/>
      <c r="M153" s="442"/>
      <c r="N153" s="442"/>
      <c r="O153" s="443"/>
      <c r="P153" s="385"/>
      <c r="Q153" s="385"/>
      <c r="R153" s="385"/>
      <c r="S153" s="385"/>
      <c r="T153" s="385"/>
      <c r="U153" s="385"/>
      <c r="V153" s="385"/>
      <c r="W153" s="385"/>
      <c r="X153" s="385"/>
      <c r="Y153" s="385"/>
      <c r="Z153" s="385"/>
      <c r="AA153" s="385"/>
      <c r="AB153" s="385"/>
      <c r="AC153" s="385"/>
      <c r="AD153" s="385"/>
      <c r="AE153" s="385"/>
      <c r="AF153" s="385"/>
      <c r="AG153" s="385"/>
      <c r="AH153" s="385"/>
      <c r="AI153" s="385"/>
      <c r="AJ153" s="385"/>
      <c r="AK153" s="385"/>
      <c r="AL153" s="385"/>
      <c r="AM153" s="385"/>
      <c r="AN153" s="385"/>
      <c r="AO153" s="385"/>
      <c r="AP153" s="385"/>
      <c r="AQ153" s="385"/>
      <c r="AR153" s="385"/>
      <c r="AS153" s="385"/>
      <c r="AT153" s="385"/>
      <c r="AU153" s="385"/>
      <c r="AV153" s="385"/>
      <c r="AW153" s="385"/>
      <c r="AX153" s="385"/>
    </row>
    <row r="154" spans="1:50" ht="10.8" hidden="1" thickTop="1" x14ac:dyDescent="0.2">
      <c r="A154" s="385"/>
      <c r="B154" s="385"/>
      <c r="C154" s="385"/>
      <c r="D154" s="445"/>
      <c r="E154" s="385"/>
      <c r="F154" s="385"/>
      <c r="G154" s="385"/>
      <c r="H154" s="385"/>
      <c r="I154" s="442"/>
      <c r="J154" s="442"/>
      <c r="K154" s="442"/>
      <c r="L154" s="442"/>
      <c r="M154" s="442"/>
      <c r="N154" s="442"/>
      <c r="O154" s="443"/>
      <c r="P154" s="385"/>
      <c r="Q154" s="385"/>
      <c r="R154" s="385"/>
      <c r="S154" s="385"/>
      <c r="T154" s="385"/>
      <c r="U154" s="385"/>
      <c r="V154" s="385"/>
      <c r="W154" s="385"/>
      <c r="X154" s="385"/>
      <c r="Y154" s="385"/>
      <c r="Z154" s="385"/>
      <c r="AA154" s="385"/>
      <c r="AB154" s="385"/>
      <c r="AC154" s="385"/>
      <c r="AD154" s="385"/>
      <c r="AE154" s="385"/>
      <c r="AF154" s="385"/>
      <c r="AG154" s="385"/>
      <c r="AH154" s="385"/>
      <c r="AI154" s="385"/>
      <c r="AJ154" s="385"/>
      <c r="AK154" s="385"/>
      <c r="AL154" s="385"/>
      <c r="AM154" s="385"/>
      <c r="AN154" s="385"/>
      <c r="AO154" s="385"/>
      <c r="AP154" s="385"/>
      <c r="AQ154" s="385"/>
      <c r="AR154" s="385"/>
      <c r="AS154" s="385"/>
      <c r="AT154" s="385"/>
      <c r="AU154" s="385"/>
      <c r="AV154" s="385"/>
      <c r="AW154" s="385"/>
      <c r="AX154" s="385"/>
    </row>
    <row r="155" spans="1:50" ht="10.8" hidden="1" thickTop="1" x14ac:dyDescent="0.2">
      <c r="A155" s="385"/>
      <c r="B155" s="385"/>
      <c r="C155" s="385"/>
      <c r="D155" s="445"/>
      <c r="E155" s="385"/>
      <c r="F155" s="385"/>
      <c r="G155" s="385"/>
      <c r="H155" s="385"/>
      <c r="I155" s="442"/>
      <c r="J155" s="442"/>
      <c r="K155" s="442"/>
      <c r="L155" s="442"/>
      <c r="M155" s="442"/>
      <c r="N155" s="442"/>
      <c r="O155" s="443"/>
      <c r="P155" s="385"/>
      <c r="Q155" s="385"/>
      <c r="R155" s="385"/>
      <c r="S155" s="385"/>
      <c r="T155" s="385"/>
      <c r="U155" s="385"/>
      <c r="V155" s="385"/>
      <c r="W155" s="385"/>
      <c r="X155" s="385"/>
      <c r="Y155" s="385"/>
      <c r="Z155" s="385"/>
      <c r="AA155" s="385"/>
      <c r="AB155" s="385"/>
      <c r="AC155" s="385"/>
      <c r="AD155" s="385"/>
      <c r="AE155" s="385"/>
      <c r="AF155" s="385"/>
      <c r="AG155" s="385"/>
      <c r="AH155" s="385"/>
      <c r="AI155" s="385"/>
      <c r="AJ155" s="385"/>
      <c r="AK155" s="385"/>
      <c r="AL155" s="385"/>
      <c r="AM155" s="385"/>
      <c r="AN155" s="385"/>
      <c r="AO155" s="385"/>
      <c r="AP155" s="385"/>
      <c r="AQ155" s="385"/>
      <c r="AR155" s="385"/>
      <c r="AS155" s="385"/>
      <c r="AT155" s="385"/>
      <c r="AU155" s="385"/>
      <c r="AV155" s="385"/>
      <c r="AW155" s="385"/>
      <c r="AX155" s="385"/>
    </row>
    <row r="156" spans="1:50" ht="10.8" hidden="1" thickTop="1" x14ac:dyDescent="0.2">
      <c r="A156" s="385"/>
      <c r="B156" s="385"/>
      <c r="C156" s="385"/>
      <c r="D156" s="445"/>
      <c r="E156" s="385"/>
      <c r="F156" s="385"/>
      <c r="G156" s="385"/>
      <c r="H156" s="385"/>
      <c r="I156" s="442"/>
      <c r="J156" s="442"/>
      <c r="K156" s="442"/>
      <c r="L156" s="442"/>
      <c r="M156" s="442"/>
      <c r="N156" s="442"/>
      <c r="O156" s="443"/>
      <c r="P156" s="385"/>
      <c r="Q156" s="385"/>
      <c r="R156" s="385"/>
      <c r="S156" s="385"/>
      <c r="T156" s="385"/>
      <c r="U156" s="385"/>
      <c r="V156" s="385"/>
      <c r="W156" s="385"/>
      <c r="X156" s="385"/>
      <c r="Y156" s="385"/>
      <c r="Z156" s="385"/>
      <c r="AA156" s="385"/>
      <c r="AB156" s="385"/>
      <c r="AC156" s="385"/>
      <c r="AD156" s="385"/>
      <c r="AE156" s="385"/>
      <c r="AF156" s="385"/>
      <c r="AG156" s="385"/>
      <c r="AH156" s="385"/>
      <c r="AI156" s="385"/>
      <c r="AJ156" s="385"/>
      <c r="AK156" s="385"/>
      <c r="AL156" s="385"/>
      <c r="AM156" s="385"/>
      <c r="AN156" s="385"/>
      <c r="AO156" s="385"/>
      <c r="AP156" s="385"/>
      <c r="AQ156" s="385"/>
      <c r="AR156" s="385"/>
      <c r="AS156" s="385"/>
      <c r="AT156" s="385"/>
      <c r="AU156" s="385"/>
      <c r="AV156" s="385"/>
      <c r="AW156" s="385"/>
      <c r="AX156" s="385"/>
    </row>
    <row r="157" spans="1:50" ht="10.8" hidden="1" thickTop="1" x14ac:dyDescent="0.2">
      <c r="A157" s="385"/>
      <c r="B157" s="385"/>
      <c r="C157" s="385"/>
      <c r="D157" s="385"/>
      <c r="E157" s="385"/>
      <c r="F157" s="385"/>
      <c r="G157" s="385"/>
      <c r="H157" s="385"/>
      <c r="I157" s="442"/>
      <c r="J157" s="442"/>
      <c r="K157" s="442"/>
      <c r="L157" s="442"/>
      <c r="M157" s="442"/>
      <c r="N157" s="442"/>
      <c r="O157" s="443"/>
      <c r="P157" s="385"/>
      <c r="Q157" s="385"/>
      <c r="R157" s="385"/>
      <c r="S157" s="385"/>
      <c r="T157" s="385"/>
      <c r="U157" s="385"/>
      <c r="V157" s="385"/>
      <c r="W157" s="385"/>
      <c r="X157" s="385"/>
      <c r="Y157" s="385"/>
      <c r="Z157" s="385"/>
      <c r="AA157" s="385"/>
      <c r="AB157" s="385"/>
      <c r="AC157" s="385"/>
      <c r="AD157" s="385"/>
      <c r="AE157" s="385"/>
      <c r="AF157" s="385"/>
      <c r="AG157" s="385"/>
      <c r="AH157" s="385"/>
      <c r="AI157" s="385"/>
      <c r="AJ157" s="385"/>
      <c r="AK157" s="385"/>
      <c r="AL157" s="385"/>
      <c r="AM157" s="385"/>
      <c r="AN157" s="385"/>
      <c r="AO157" s="385"/>
      <c r="AP157" s="385"/>
      <c r="AQ157" s="385"/>
      <c r="AR157" s="385"/>
      <c r="AS157" s="385"/>
      <c r="AT157" s="385"/>
      <c r="AU157" s="385"/>
      <c r="AV157" s="385"/>
      <c r="AW157" s="385"/>
      <c r="AX157" s="385"/>
    </row>
    <row r="158" spans="1:50" ht="10.8" hidden="1" thickTop="1" x14ac:dyDescent="0.2">
      <c r="A158" s="385"/>
      <c r="B158" s="385"/>
      <c r="C158" s="385"/>
      <c r="D158" s="385"/>
      <c r="E158" s="385"/>
      <c r="F158" s="385"/>
      <c r="G158" s="385"/>
      <c r="H158" s="385"/>
      <c r="I158" s="442"/>
      <c r="J158" s="442"/>
      <c r="K158" s="442"/>
      <c r="L158" s="442"/>
      <c r="M158" s="442"/>
      <c r="N158" s="442"/>
      <c r="O158" s="443"/>
      <c r="P158" s="385"/>
      <c r="Q158" s="385"/>
      <c r="R158" s="385"/>
      <c r="S158" s="385"/>
      <c r="T158" s="385"/>
      <c r="U158" s="385"/>
      <c r="V158" s="385"/>
      <c r="W158" s="385"/>
      <c r="X158" s="385"/>
      <c r="Y158" s="385"/>
      <c r="Z158" s="385"/>
      <c r="AA158" s="385"/>
      <c r="AB158" s="385"/>
      <c r="AC158" s="385"/>
      <c r="AD158" s="385"/>
      <c r="AE158" s="385"/>
      <c r="AF158" s="385"/>
      <c r="AG158" s="385"/>
      <c r="AH158" s="385"/>
      <c r="AI158" s="385"/>
      <c r="AJ158" s="385"/>
      <c r="AK158" s="385"/>
      <c r="AL158" s="385"/>
      <c r="AM158" s="385"/>
      <c r="AN158" s="385"/>
      <c r="AO158" s="385"/>
      <c r="AP158" s="385"/>
      <c r="AQ158" s="385"/>
      <c r="AR158" s="385"/>
      <c r="AS158" s="385"/>
      <c r="AT158" s="385"/>
      <c r="AU158" s="385"/>
      <c r="AV158" s="385"/>
      <c r="AW158" s="385"/>
      <c r="AX158" s="385"/>
    </row>
    <row r="159" spans="1:50" ht="10.8" hidden="1" thickTop="1" x14ac:dyDescent="0.2">
      <c r="A159" s="385"/>
      <c r="B159" s="385"/>
      <c r="C159" s="385"/>
      <c r="D159" s="385"/>
      <c r="E159" s="385"/>
      <c r="F159" s="385"/>
      <c r="G159" s="385"/>
      <c r="H159" s="385"/>
      <c r="I159" s="442"/>
      <c r="J159" s="442"/>
      <c r="K159" s="442"/>
      <c r="L159" s="442"/>
      <c r="M159" s="442"/>
      <c r="N159" s="442"/>
      <c r="O159" s="443"/>
      <c r="P159" s="385"/>
      <c r="Q159" s="385"/>
      <c r="R159" s="385"/>
      <c r="S159" s="385"/>
      <c r="T159" s="385"/>
      <c r="U159" s="385"/>
      <c r="V159" s="385"/>
      <c r="W159" s="385"/>
      <c r="X159" s="385"/>
      <c r="Y159" s="385"/>
      <c r="Z159" s="385"/>
      <c r="AA159" s="385"/>
      <c r="AB159" s="385"/>
      <c r="AC159" s="385"/>
      <c r="AD159" s="385"/>
      <c r="AE159" s="385"/>
      <c r="AF159" s="385"/>
      <c r="AG159" s="385"/>
      <c r="AH159" s="385"/>
      <c r="AI159" s="385"/>
      <c r="AJ159" s="385"/>
      <c r="AK159" s="385"/>
      <c r="AL159" s="385"/>
      <c r="AM159" s="385"/>
      <c r="AN159" s="385"/>
      <c r="AO159" s="385"/>
      <c r="AP159" s="385"/>
      <c r="AQ159" s="385"/>
      <c r="AR159" s="385"/>
      <c r="AS159" s="385"/>
      <c r="AT159" s="385"/>
      <c r="AU159" s="385"/>
      <c r="AV159" s="385"/>
      <c r="AW159" s="385"/>
      <c r="AX159" s="385"/>
    </row>
    <row r="160" spans="1:50" ht="10.8" hidden="1" thickTop="1" x14ac:dyDescent="0.2">
      <c r="A160" s="385"/>
      <c r="B160" s="385"/>
      <c r="C160" s="385"/>
      <c r="D160" s="445"/>
      <c r="E160" s="385"/>
      <c r="F160" s="385"/>
      <c r="G160" s="385"/>
      <c r="H160" s="446"/>
      <c r="I160" s="442"/>
      <c r="J160" s="442"/>
      <c r="K160" s="442"/>
      <c r="L160" s="442"/>
      <c r="M160" s="442"/>
      <c r="N160" s="442"/>
      <c r="O160" s="443"/>
      <c r="P160" s="385"/>
      <c r="Q160" s="385"/>
      <c r="R160" s="385"/>
      <c r="S160" s="385"/>
      <c r="T160" s="385"/>
      <c r="U160" s="385"/>
      <c r="V160" s="385"/>
      <c r="W160" s="385"/>
      <c r="X160" s="385"/>
      <c r="Y160" s="385"/>
      <c r="Z160" s="385"/>
      <c r="AA160" s="385"/>
      <c r="AB160" s="385"/>
      <c r="AC160" s="385"/>
      <c r="AD160" s="385"/>
      <c r="AE160" s="385"/>
      <c r="AF160" s="385"/>
      <c r="AG160" s="385"/>
      <c r="AH160" s="385"/>
      <c r="AI160" s="385"/>
      <c r="AJ160" s="385"/>
      <c r="AK160" s="385"/>
      <c r="AL160" s="385"/>
      <c r="AM160" s="385"/>
      <c r="AN160" s="385"/>
      <c r="AO160" s="385"/>
      <c r="AP160" s="385"/>
      <c r="AQ160" s="385"/>
      <c r="AR160" s="385"/>
      <c r="AS160" s="385"/>
      <c r="AT160" s="385"/>
      <c r="AU160" s="385"/>
      <c r="AV160" s="385"/>
      <c r="AW160" s="385"/>
      <c r="AX160" s="385"/>
    </row>
    <row r="161" spans="1:50" ht="10.8" hidden="1" thickTop="1" x14ac:dyDescent="0.2">
      <c r="A161" s="385"/>
      <c r="B161" s="385"/>
      <c r="C161" s="385"/>
      <c r="D161" s="445"/>
      <c r="E161" s="385"/>
      <c r="F161" s="385"/>
      <c r="G161" s="385"/>
      <c r="H161" s="446"/>
      <c r="I161" s="442"/>
      <c r="J161" s="442"/>
      <c r="K161" s="442"/>
      <c r="L161" s="442"/>
      <c r="M161" s="442"/>
      <c r="N161" s="442"/>
      <c r="O161" s="443"/>
      <c r="P161" s="385"/>
      <c r="Q161" s="385"/>
      <c r="R161" s="385"/>
      <c r="S161" s="385"/>
      <c r="T161" s="385"/>
      <c r="U161" s="385"/>
      <c r="V161" s="385"/>
      <c r="W161" s="385"/>
      <c r="X161" s="385"/>
      <c r="Y161" s="385"/>
      <c r="Z161" s="385"/>
      <c r="AA161" s="385"/>
      <c r="AB161" s="385"/>
      <c r="AC161" s="385"/>
      <c r="AD161" s="385"/>
      <c r="AE161" s="385"/>
      <c r="AF161" s="385"/>
      <c r="AG161" s="385"/>
      <c r="AH161" s="385"/>
      <c r="AI161" s="385"/>
      <c r="AJ161" s="385"/>
      <c r="AK161" s="385"/>
      <c r="AL161" s="385"/>
      <c r="AM161" s="385"/>
      <c r="AN161" s="385"/>
      <c r="AO161" s="385"/>
      <c r="AP161" s="385"/>
      <c r="AQ161" s="385"/>
      <c r="AR161" s="385"/>
      <c r="AS161" s="385"/>
      <c r="AT161" s="385"/>
      <c r="AU161" s="385"/>
      <c r="AV161" s="385"/>
      <c r="AW161" s="385"/>
      <c r="AX161" s="385"/>
    </row>
    <row r="162" spans="1:50" ht="10.8" hidden="1" thickTop="1" x14ac:dyDescent="0.2">
      <c r="A162" s="385"/>
      <c r="B162" s="385"/>
      <c r="C162" s="385"/>
      <c r="D162" s="445"/>
      <c r="E162" s="385"/>
      <c r="F162" s="385"/>
      <c r="G162" s="385"/>
      <c r="H162" s="446"/>
      <c r="I162" s="442"/>
      <c r="J162" s="442"/>
      <c r="K162" s="442"/>
      <c r="L162" s="442"/>
      <c r="M162" s="442"/>
      <c r="N162" s="442"/>
      <c r="O162" s="443"/>
      <c r="P162" s="385"/>
      <c r="Q162" s="385"/>
      <c r="R162" s="385"/>
      <c r="S162" s="385"/>
      <c r="T162" s="385"/>
      <c r="U162" s="385"/>
      <c r="V162" s="385"/>
      <c r="W162" s="385"/>
      <c r="X162" s="385"/>
      <c r="Y162" s="385"/>
      <c r="Z162" s="385"/>
      <c r="AA162" s="385"/>
      <c r="AB162" s="385"/>
      <c r="AC162" s="385"/>
      <c r="AD162" s="385"/>
      <c r="AE162" s="385"/>
      <c r="AF162" s="385"/>
      <c r="AG162" s="385"/>
      <c r="AH162" s="385"/>
      <c r="AI162" s="385"/>
      <c r="AJ162" s="385"/>
      <c r="AK162" s="385"/>
      <c r="AL162" s="385"/>
      <c r="AM162" s="385"/>
      <c r="AN162" s="385"/>
      <c r="AO162" s="385"/>
      <c r="AP162" s="385"/>
      <c r="AQ162" s="385"/>
      <c r="AR162" s="385"/>
      <c r="AS162" s="385"/>
      <c r="AT162" s="385"/>
      <c r="AU162" s="385"/>
      <c r="AV162" s="385"/>
      <c r="AW162" s="385"/>
      <c r="AX162" s="385"/>
    </row>
    <row r="163" spans="1:50" ht="10.8" hidden="1" thickTop="1" x14ac:dyDescent="0.2">
      <c r="A163" s="385"/>
      <c r="B163" s="385"/>
      <c r="C163" s="385"/>
      <c r="D163" s="445"/>
      <c r="E163" s="385"/>
      <c r="F163" s="385"/>
      <c r="G163" s="385"/>
      <c r="H163" s="446"/>
      <c r="I163" s="442"/>
      <c r="J163" s="442"/>
      <c r="K163" s="442"/>
      <c r="L163" s="442"/>
      <c r="M163" s="442"/>
      <c r="N163" s="442"/>
      <c r="O163" s="443"/>
      <c r="P163" s="385"/>
      <c r="Q163" s="385"/>
      <c r="R163" s="385"/>
      <c r="S163" s="385"/>
      <c r="T163" s="385"/>
      <c r="U163" s="385"/>
      <c r="V163" s="385"/>
      <c r="W163" s="385"/>
      <c r="X163" s="385"/>
      <c r="Y163" s="385"/>
      <c r="Z163" s="385"/>
      <c r="AA163" s="385"/>
      <c r="AB163" s="385"/>
      <c r="AC163" s="385"/>
      <c r="AD163" s="385"/>
      <c r="AE163" s="385"/>
      <c r="AF163" s="385"/>
      <c r="AG163" s="385"/>
      <c r="AH163" s="385"/>
      <c r="AI163" s="385"/>
      <c r="AJ163" s="385"/>
      <c r="AK163" s="385"/>
      <c r="AL163" s="385"/>
      <c r="AM163" s="385"/>
      <c r="AN163" s="385"/>
      <c r="AO163" s="385"/>
      <c r="AP163" s="385"/>
      <c r="AQ163" s="385"/>
      <c r="AR163" s="385"/>
      <c r="AS163" s="385"/>
      <c r="AT163" s="385"/>
      <c r="AU163" s="385"/>
      <c r="AV163" s="385"/>
      <c r="AW163" s="385"/>
      <c r="AX163" s="385"/>
    </row>
    <row r="164" spans="1:50" ht="10.8" hidden="1" thickTop="1" x14ac:dyDescent="0.2">
      <c r="A164" s="385"/>
      <c r="B164" s="385"/>
      <c r="C164" s="385"/>
      <c r="D164" s="385"/>
      <c r="E164" s="385"/>
      <c r="F164" s="385"/>
      <c r="G164" s="385"/>
      <c r="H164" s="385"/>
      <c r="I164" s="442"/>
      <c r="J164" s="442"/>
      <c r="K164" s="442"/>
      <c r="L164" s="442"/>
      <c r="M164" s="442"/>
      <c r="N164" s="442"/>
      <c r="O164" s="443"/>
      <c r="P164" s="385"/>
      <c r="Q164" s="385"/>
      <c r="R164" s="385"/>
      <c r="S164" s="385"/>
      <c r="T164" s="385"/>
      <c r="U164" s="385"/>
      <c r="V164" s="385"/>
      <c r="W164" s="385"/>
      <c r="X164" s="385"/>
      <c r="Y164" s="385"/>
      <c r="Z164" s="385"/>
      <c r="AA164" s="385"/>
      <c r="AB164" s="385"/>
      <c r="AC164" s="385"/>
      <c r="AD164" s="385"/>
      <c r="AE164" s="385"/>
      <c r="AF164" s="385"/>
      <c r="AG164" s="385"/>
      <c r="AH164" s="385"/>
      <c r="AI164" s="385"/>
      <c r="AJ164" s="385"/>
      <c r="AK164" s="385"/>
      <c r="AL164" s="385"/>
      <c r="AM164" s="385"/>
      <c r="AN164" s="385"/>
      <c r="AO164" s="385"/>
      <c r="AP164" s="385"/>
      <c r="AQ164" s="385"/>
      <c r="AR164" s="385"/>
      <c r="AS164" s="385"/>
      <c r="AT164" s="385"/>
      <c r="AU164" s="385"/>
      <c r="AV164" s="385"/>
      <c r="AW164" s="385"/>
      <c r="AX164" s="385"/>
    </row>
    <row r="165" spans="1:50" ht="10.8" hidden="1" thickTop="1" x14ac:dyDescent="0.2">
      <c r="A165" s="385"/>
      <c r="B165" s="385"/>
      <c r="C165" s="385"/>
      <c r="D165" s="385"/>
      <c r="E165" s="385"/>
      <c r="F165" s="385"/>
      <c r="G165" s="385"/>
      <c r="H165" s="385"/>
      <c r="I165" s="442"/>
      <c r="J165" s="442"/>
      <c r="K165" s="442"/>
      <c r="L165" s="442"/>
      <c r="M165" s="442"/>
      <c r="N165" s="442"/>
      <c r="O165" s="443"/>
      <c r="P165" s="385"/>
      <c r="Q165" s="385"/>
      <c r="R165" s="385"/>
      <c r="S165" s="385"/>
      <c r="T165" s="385"/>
      <c r="U165" s="385"/>
      <c r="V165" s="385"/>
      <c r="W165" s="385"/>
      <c r="X165" s="385"/>
      <c r="Y165" s="385"/>
      <c r="Z165" s="385"/>
      <c r="AA165" s="385"/>
      <c r="AB165" s="385"/>
      <c r="AC165" s="385"/>
      <c r="AD165" s="385"/>
      <c r="AE165" s="385"/>
      <c r="AF165" s="385"/>
      <c r="AG165" s="385"/>
      <c r="AH165" s="385"/>
      <c r="AI165" s="385"/>
      <c r="AJ165" s="385"/>
      <c r="AK165" s="385"/>
      <c r="AL165" s="385"/>
      <c r="AM165" s="385"/>
      <c r="AN165" s="385"/>
      <c r="AO165" s="385"/>
      <c r="AP165" s="385"/>
      <c r="AQ165" s="385"/>
      <c r="AR165" s="385"/>
      <c r="AS165" s="385"/>
      <c r="AT165" s="385"/>
      <c r="AU165" s="385"/>
      <c r="AV165" s="385"/>
      <c r="AW165" s="385"/>
      <c r="AX165" s="385"/>
    </row>
    <row r="166" spans="1:50" ht="10.8" hidden="1" thickTop="1" x14ac:dyDescent="0.2">
      <c r="A166" s="385"/>
      <c r="B166" s="385"/>
      <c r="C166" s="385"/>
      <c r="D166" s="385"/>
      <c r="E166" s="385"/>
      <c r="F166" s="385"/>
      <c r="G166" s="385"/>
      <c r="H166" s="385"/>
      <c r="I166" s="442"/>
      <c r="J166" s="442"/>
      <c r="K166" s="442"/>
      <c r="L166" s="442"/>
      <c r="M166" s="442"/>
      <c r="N166" s="442"/>
      <c r="O166" s="443"/>
      <c r="P166" s="385"/>
      <c r="Q166" s="385"/>
      <c r="R166" s="385"/>
      <c r="S166" s="385"/>
      <c r="T166" s="385"/>
      <c r="U166" s="385"/>
      <c r="V166" s="385"/>
      <c r="W166" s="385"/>
      <c r="X166" s="385"/>
      <c r="Y166" s="385"/>
      <c r="Z166" s="385"/>
      <c r="AA166" s="385"/>
      <c r="AB166" s="385"/>
      <c r="AC166" s="385"/>
      <c r="AD166" s="385"/>
      <c r="AE166" s="385"/>
      <c r="AF166" s="385"/>
      <c r="AG166" s="385"/>
      <c r="AH166" s="385"/>
      <c r="AI166" s="385"/>
      <c r="AJ166" s="385"/>
      <c r="AK166" s="385"/>
      <c r="AL166" s="385"/>
      <c r="AM166" s="385"/>
      <c r="AN166" s="385"/>
      <c r="AO166" s="385"/>
      <c r="AP166" s="385"/>
      <c r="AQ166" s="385"/>
      <c r="AR166" s="385"/>
      <c r="AS166" s="385"/>
      <c r="AT166" s="385"/>
      <c r="AU166" s="385"/>
      <c r="AV166" s="385"/>
      <c r="AW166" s="385"/>
      <c r="AX166" s="385"/>
    </row>
    <row r="167" spans="1:50" ht="10.8" hidden="1" thickTop="1" x14ac:dyDescent="0.2">
      <c r="A167" s="385"/>
      <c r="B167" s="385"/>
      <c r="C167" s="385"/>
      <c r="D167" s="385"/>
      <c r="E167" s="385"/>
      <c r="F167" s="385"/>
      <c r="G167" s="385"/>
      <c r="H167" s="385"/>
      <c r="I167" s="442"/>
      <c r="J167" s="442"/>
      <c r="K167" s="442"/>
      <c r="L167" s="442"/>
      <c r="M167" s="442"/>
      <c r="N167" s="442"/>
      <c r="O167" s="443"/>
      <c r="P167" s="385"/>
      <c r="Q167" s="385"/>
      <c r="R167" s="385"/>
      <c r="S167" s="385"/>
      <c r="T167" s="385"/>
      <c r="U167" s="385"/>
      <c r="V167" s="385"/>
      <c r="W167" s="385"/>
      <c r="X167" s="385"/>
      <c r="Y167" s="385"/>
      <c r="Z167" s="385"/>
      <c r="AA167" s="385"/>
      <c r="AB167" s="385"/>
      <c r="AC167" s="385"/>
      <c r="AD167" s="385"/>
      <c r="AE167" s="385"/>
      <c r="AF167" s="385"/>
      <c r="AG167" s="385"/>
      <c r="AH167" s="385"/>
      <c r="AI167" s="385"/>
      <c r="AJ167" s="385"/>
      <c r="AK167" s="385"/>
      <c r="AL167" s="385"/>
      <c r="AM167" s="385"/>
      <c r="AN167" s="385"/>
      <c r="AO167" s="385"/>
      <c r="AP167" s="385"/>
      <c r="AQ167" s="385"/>
      <c r="AR167" s="385"/>
      <c r="AS167" s="385"/>
      <c r="AT167" s="385"/>
      <c r="AU167" s="385"/>
      <c r="AV167" s="385"/>
      <c r="AW167" s="385"/>
      <c r="AX167" s="385"/>
    </row>
    <row r="168" spans="1:50" ht="10.8" hidden="1" thickTop="1" x14ac:dyDescent="0.2">
      <c r="A168" s="385"/>
      <c r="B168" s="385"/>
      <c r="C168" s="385"/>
      <c r="D168" s="385"/>
      <c r="E168" s="385"/>
      <c r="F168" s="385"/>
      <c r="G168" s="385"/>
      <c r="H168" s="385"/>
      <c r="I168" s="442"/>
      <c r="J168" s="442"/>
      <c r="K168" s="442"/>
      <c r="L168" s="442"/>
      <c r="M168" s="442"/>
      <c r="N168" s="442"/>
      <c r="O168" s="443"/>
      <c r="P168" s="385"/>
      <c r="Q168" s="385"/>
      <c r="R168" s="385"/>
      <c r="S168" s="385"/>
      <c r="T168" s="385"/>
      <c r="U168" s="385"/>
      <c r="V168" s="385"/>
      <c r="W168" s="385"/>
      <c r="X168" s="385"/>
      <c r="Y168" s="385"/>
      <c r="Z168" s="385"/>
      <c r="AA168" s="385"/>
      <c r="AB168" s="385"/>
      <c r="AC168" s="385"/>
      <c r="AD168" s="385"/>
      <c r="AE168" s="385"/>
      <c r="AF168" s="385"/>
      <c r="AG168" s="385"/>
      <c r="AH168" s="385"/>
      <c r="AI168" s="385"/>
      <c r="AJ168" s="385"/>
      <c r="AK168" s="385"/>
      <c r="AL168" s="385"/>
      <c r="AM168" s="385"/>
      <c r="AN168" s="385"/>
      <c r="AO168" s="385"/>
      <c r="AP168" s="385"/>
      <c r="AQ168" s="385"/>
      <c r="AR168" s="385"/>
      <c r="AS168" s="385"/>
      <c r="AT168" s="385"/>
      <c r="AU168" s="385"/>
      <c r="AV168" s="385"/>
      <c r="AW168" s="385"/>
      <c r="AX168" s="385"/>
    </row>
    <row r="169" spans="1:50" ht="10.8" hidden="1" thickTop="1" x14ac:dyDescent="0.2">
      <c r="A169" s="385"/>
      <c r="B169" s="385"/>
      <c r="C169" s="385"/>
      <c r="D169" s="385"/>
      <c r="E169" s="385"/>
      <c r="F169" s="385"/>
      <c r="G169" s="385"/>
      <c r="H169" s="385"/>
      <c r="I169" s="442"/>
      <c r="J169" s="442"/>
      <c r="K169" s="442"/>
      <c r="L169" s="442"/>
      <c r="M169" s="442"/>
      <c r="N169" s="442"/>
      <c r="O169" s="443"/>
      <c r="P169" s="385"/>
      <c r="Q169" s="385"/>
      <c r="R169" s="385"/>
      <c r="S169" s="385"/>
      <c r="T169" s="385"/>
      <c r="U169" s="385"/>
      <c r="V169" s="385"/>
      <c r="W169" s="385"/>
      <c r="X169" s="385"/>
      <c r="Y169" s="385"/>
      <c r="Z169" s="385"/>
      <c r="AA169" s="385"/>
      <c r="AB169" s="385"/>
      <c r="AC169" s="385"/>
      <c r="AD169" s="385"/>
      <c r="AE169" s="385"/>
      <c r="AF169" s="385"/>
      <c r="AG169" s="385"/>
      <c r="AH169" s="385"/>
      <c r="AI169" s="385"/>
      <c r="AJ169" s="385"/>
      <c r="AK169" s="385"/>
      <c r="AL169" s="385"/>
      <c r="AM169" s="385"/>
      <c r="AN169" s="385"/>
      <c r="AO169" s="385"/>
      <c r="AP169" s="385"/>
      <c r="AQ169" s="385"/>
      <c r="AR169" s="385"/>
      <c r="AS169" s="385"/>
      <c r="AT169" s="385"/>
      <c r="AU169" s="385"/>
      <c r="AV169" s="385"/>
      <c r="AW169" s="385"/>
      <c r="AX169" s="385"/>
    </row>
    <row r="170" spans="1:50" ht="10.8" hidden="1" thickTop="1" x14ac:dyDescent="0.2">
      <c r="A170" s="385"/>
      <c r="B170" s="385"/>
      <c r="C170" s="385"/>
      <c r="D170" s="385"/>
      <c r="E170" s="385"/>
      <c r="F170" s="385"/>
      <c r="G170" s="385"/>
      <c r="H170" s="385"/>
      <c r="I170" s="442"/>
      <c r="J170" s="442"/>
      <c r="K170" s="442"/>
      <c r="L170" s="442"/>
      <c r="M170" s="442"/>
      <c r="N170" s="442"/>
      <c r="O170" s="443"/>
      <c r="P170" s="385"/>
      <c r="Q170" s="385"/>
      <c r="R170" s="385"/>
      <c r="S170" s="385"/>
      <c r="T170" s="385"/>
      <c r="U170" s="385"/>
      <c r="V170" s="385"/>
      <c r="W170" s="385"/>
      <c r="X170" s="385"/>
      <c r="Y170" s="385"/>
      <c r="Z170" s="385"/>
      <c r="AA170" s="385"/>
      <c r="AB170" s="385"/>
      <c r="AC170" s="385"/>
      <c r="AD170" s="385"/>
      <c r="AE170" s="385"/>
      <c r="AF170" s="385"/>
      <c r="AG170" s="385"/>
      <c r="AH170" s="385"/>
      <c r="AI170" s="385"/>
      <c r="AJ170" s="385"/>
      <c r="AK170" s="385"/>
      <c r="AL170" s="385"/>
      <c r="AM170" s="385"/>
      <c r="AN170" s="385"/>
      <c r="AO170" s="385"/>
      <c r="AP170" s="385"/>
      <c r="AQ170" s="385"/>
      <c r="AR170" s="385"/>
      <c r="AS170" s="385"/>
      <c r="AT170" s="385"/>
      <c r="AU170" s="385"/>
      <c r="AV170" s="385"/>
      <c r="AW170" s="385"/>
      <c r="AX170" s="385"/>
    </row>
    <row r="171" spans="1:50" ht="10.8" hidden="1" thickTop="1" x14ac:dyDescent="0.2">
      <c r="A171" s="385"/>
      <c r="B171" s="385"/>
      <c r="C171" s="385"/>
      <c r="D171" s="385"/>
      <c r="E171" s="385"/>
      <c r="F171" s="385"/>
      <c r="G171" s="385"/>
      <c r="H171" s="385"/>
      <c r="I171" s="442"/>
      <c r="J171" s="442"/>
      <c r="K171" s="442"/>
      <c r="L171" s="442"/>
      <c r="M171" s="442"/>
      <c r="N171" s="442"/>
      <c r="O171" s="443"/>
      <c r="P171" s="385"/>
      <c r="Q171" s="385"/>
      <c r="R171" s="385"/>
      <c r="S171" s="385"/>
      <c r="T171" s="385"/>
      <c r="U171" s="385"/>
      <c r="V171" s="385"/>
      <c r="W171" s="385"/>
      <c r="X171" s="385"/>
      <c r="Y171" s="385"/>
      <c r="Z171" s="385"/>
      <c r="AA171" s="385"/>
      <c r="AB171" s="385"/>
      <c r="AC171" s="385"/>
      <c r="AD171" s="385"/>
      <c r="AE171" s="385"/>
      <c r="AF171" s="385"/>
      <c r="AG171" s="385"/>
      <c r="AH171" s="385"/>
      <c r="AI171" s="385"/>
      <c r="AJ171" s="385"/>
      <c r="AK171" s="385"/>
      <c r="AL171" s="385"/>
      <c r="AM171" s="385"/>
      <c r="AN171" s="385"/>
      <c r="AO171" s="385"/>
      <c r="AP171" s="385"/>
      <c r="AQ171" s="385"/>
      <c r="AR171" s="385"/>
      <c r="AS171" s="385"/>
      <c r="AT171" s="385"/>
      <c r="AU171" s="385"/>
      <c r="AV171" s="385"/>
      <c r="AW171" s="385"/>
      <c r="AX171" s="385"/>
    </row>
    <row r="172" spans="1:50" ht="10.8" hidden="1" thickTop="1" x14ac:dyDescent="0.2">
      <c r="A172" s="385"/>
      <c r="B172" s="385"/>
      <c r="C172" s="385"/>
      <c r="D172" s="385"/>
      <c r="E172" s="385"/>
      <c r="F172" s="385"/>
      <c r="G172" s="385"/>
      <c r="H172" s="385"/>
      <c r="I172" s="442"/>
      <c r="J172" s="442"/>
      <c r="K172" s="442"/>
      <c r="L172" s="442"/>
      <c r="M172" s="442"/>
      <c r="N172" s="442"/>
      <c r="O172" s="443"/>
      <c r="P172" s="385"/>
      <c r="Q172" s="385"/>
      <c r="R172" s="385"/>
      <c r="S172" s="385"/>
      <c r="T172" s="385"/>
      <c r="U172" s="385"/>
      <c r="V172" s="385"/>
      <c r="W172" s="385"/>
      <c r="X172" s="385"/>
      <c r="Y172" s="385"/>
      <c r="Z172" s="385"/>
      <c r="AA172" s="385"/>
      <c r="AB172" s="385"/>
      <c r="AC172" s="385"/>
      <c r="AD172" s="385"/>
      <c r="AE172" s="385"/>
      <c r="AF172" s="385"/>
      <c r="AG172" s="385"/>
      <c r="AH172" s="385"/>
      <c r="AI172" s="385"/>
      <c r="AJ172" s="385"/>
      <c r="AK172" s="385"/>
      <c r="AL172" s="385"/>
      <c r="AM172" s="385"/>
      <c r="AN172" s="385"/>
      <c r="AO172" s="385"/>
      <c r="AP172" s="385"/>
      <c r="AQ172" s="385"/>
      <c r="AR172" s="385"/>
      <c r="AS172" s="385"/>
      <c r="AT172" s="385"/>
      <c r="AU172" s="385"/>
      <c r="AV172" s="385"/>
      <c r="AW172" s="385"/>
      <c r="AX172" s="385"/>
    </row>
    <row r="173" spans="1:50" ht="10.8" hidden="1" thickTop="1" x14ac:dyDescent="0.2">
      <c r="A173" s="385"/>
      <c r="B173" s="385"/>
      <c r="C173" s="385"/>
      <c r="D173" s="385"/>
      <c r="E173" s="385"/>
      <c r="F173" s="385"/>
      <c r="G173" s="385"/>
      <c r="H173" s="385"/>
      <c r="I173" s="442"/>
      <c r="J173" s="442"/>
      <c r="K173" s="442"/>
      <c r="L173" s="442"/>
      <c r="M173" s="442"/>
      <c r="N173" s="442"/>
      <c r="O173" s="443"/>
      <c r="P173" s="385"/>
      <c r="Q173" s="385"/>
      <c r="R173" s="385"/>
      <c r="S173" s="385"/>
      <c r="T173" s="385"/>
      <c r="U173" s="385"/>
      <c r="V173" s="385"/>
      <c r="W173" s="385"/>
      <c r="X173" s="385"/>
      <c r="Y173" s="385"/>
      <c r="Z173" s="385"/>
      <c r="AA173" s="385"/>
      <c r="AB173" s="385"/>
      <c r="AC173" s="385"/>
      <c r="AD173" s="385"/>
      <c r="AE173" s="385"/>
      <c r="AF173" s="385"/>
      <c r="AG173" s="385"/>
      <c r="AH173" s="385"/>
      <c r="AI173" s="385"/>
      <c r="AJ173" s="385"/>
      <c r="AK173" s="385"/>
      <c r="AL173" s="385"/>
      <c r="AM173" s="385"/>
      <c r="AN173" s="385"/>
      <c r="AO173" s="385"/>
      <c r="AP173" s="385"/>
      <c r="AQ173" s="385"/>
      <c r="AR173" s="385"/>
      <c r="AS173" s="385"/>
      <c r="AT173" s="385"/>
      <c r="AU173" s="385"/>
      <c r="AV173" s="385"/>
      <c r="AW173" s="385"/>
      <c r="AX173" s="385"/>
    </row>
    <row r="174" spans="1:50" ht="10.8" hidden="1" thickTop="1" x14ac:dyDescent="0.2">
      <c r="A174" s="385"/>
      <c r="B174" s="385"/>
      <c r="C174" s="385"/>
      <c r="D174" s="385"/>
      <c r="E174" s="385"/>
      <c r="F174" s="385"/>
      <c r="G174" s="385"/>
      <c r="H174" s="385"/>
      <c r="I174" s="442"/>
      <c r="J174" s="442"/>
      <c r="K174" s="442"/>
      <c r="L174" s="442"/>
      <c r="M174" s="442"/>
      <c r="N174" s="442"/>
      <c r="O174" s="443"/>
      <c r="P174" s="385"/>
      <c r="Q174" s="385"/>
      <c r="R174" s="385"/>
      <c r="S174" s="385"/>
      <c r="T174" s="385"/>
      <c r="U174" s="385"/>
      <c r="V174" s="385"/>
      <c r="W174" s="385"/>
      <c r="X174" s="385"/>
      <c r="Y174" s="385"/>
      <c r="Z174" s="385"/>
      <c r="AA174" s="385"/>
      <c r="AB174" s="385"/>
      <c r="AC174" s="385"/>
      <c r="AD174" s="385"/>
      <c r="AE174" s="385"/>
      <c r="AF174" s="385"/>
      <c r="AG174" s="385"/>
      <c r="AH174" s="385"/>
      <c r="AI174" s="385"/>
      <c r="AJ174" s="385"/>
      <c r="AK174" s="385"/>
      <c r="AL174" s="385"/>
      <c r="AM174" s="385"/>
      <c r="AN174" s="385"/>
      <c r="AO174" s="385"/>
      <c r="AP174" s="385"/>
      <c r="AQ174" s="385"/>
      <c r="AR174" s="385"/>
      <c r="AS174" s="385"/>
      <c r="AT174" s="385"/>
      <c r="AU174" s="385"/>
      <c r="AV174" s="385"/>
      <c r="AW174" s="385"/>
      <c r="AX174" s="385"/>
    </row>
    <row r="175" spans="1:50" ht="10.8" hidden="1" thickTop="1" x14ac:dyDescent="0.2">
      <c r="A175" s="385"/>
      <c r="B175" s="385"/>
      <c r="C175" s="385"/>
      <c r="D175" s="385"/>
      <c r="E175" s="385"/>
      <c r="F175" s="385"/>
      <c r="G175" s="385"/>
      <c r="H175" s="385"/>
      <c r="I175" s="442"/>
      <c r="J175" s="442"/>
      <c r="K175" s="442"/>
      <c r="L175" s="442"/>
      <c r="M175" s="442"/>
      <c r="N175" s="442"/>
      <c r="O175" s="443"/>
      <c r="P175" s="385"/>
      <c r="Q175" s="385"/>
      <c r="R175" s="385"/>
      <c r="S175" s="385"/>
      <c r="T175" s="385"/>
      <c r="U175" s="385"/>
      <c r="V175" s="385"/>
      <c r="W175" s="385"/>
      <c r="X175" s="385"/>
      <c r="Y175" s="385"/>
      <c r="Z175" s="385"/>
      <c r="AA175" s="385"/>
      <c r="AB175" s="385"/>
      <c r="AC175" s="385"/>
      <c r="AD175" s="385"/>
      <c r="AE175" s="385"/>
      <c r="AF175" s="385"/>
      <c r="AG175" s="385"/>
      <c r="AH175" s="385"/>
      <c r="AI175" s="385"/>
      <c r="AJ175" s="385"/>
      <c r="AK175" s="385"/>
      <c r="AL175" s="385"/>
      <c r="AM175" s="385"/>
      <c r="AN175" s="385"/>
      <c r="AO175" s="385"/>
      <c r="AP175" s="385"/>
      <c r="AQ175" s="385"/>
      <c r="AR175" s="385"/>
      <c r="AS175" s="385"/>
      <c r="AT175" s="385"/>
      <c r="AU175" s="385"/>
      <c r="AV175" s="385"/>
      <c r="AW175" s="385"/>
      <c r="AX175" s="385"/>
    </row>
    <row r="176" spans="1:50" ht="10.8" hidden="1" thickTop="1" x14ac:dyDescent="0.2">
      <c r="A176" s="385"/>
      <c r="B176" s="385"/>
      <c r="C176" s="385"/>
      <c r="D176" s="385"/>
      <c r="E176" s="385"/>
      <c r="F176" s="385"/>
      <c r="G176" s="385"/>
      <c r="H176" s="385"/>
      <c r="I176" s="442"/>
      <c r="J176" s="442"/>
      <c r="K176" s="442"/>
      <c r="L176" s="442"/>
      <c r="M176" s="442"/>
      <c r="N176" s="442"/>
      <c r="O176" s="443"/>
      <c r="P176" s="385"/>
      <c r="Q176" s="385"/>
      <c r="R176" s="385"/>
      <c r="S176" s="385"/>
      <c r="T176" s="385"/>
      <c r="U176" s="385"/>
      <c r="V176" s="385"/>
      <c r="W176" s="385"/>
      <c r="X176" s="385"/>
      <c r="Y176" s="385"/>
      <c r="Z176" s="385"/>
      <c r="AA176" s="385"/>
      <c r="AB176" s="385"/>
      <c r="AC176" s="385"/>
      <c r="AD176" s="385"/>
      <c r="AE176" s="385"/>
      <c r="AF176" s="385"/>
      <c r="AG176" s="385"/>
      <c r="AH176" s="385"/>
      <c r="AI176" s="385"/>
      <c r="AJ176" s="385"/>
      <c r="AK176" s="385"/>
      <c r="AL176" s="385"/>
      <c r="AM176" s="385"/>
      <c r="AN176" s="385"/>
      <c r="AO176" s="385"/>
      <c r="AP176" s="385"/>
      <c r="AQ176" s="385"/>
      <c r="AR176" s="385"/>
      <c r="AS176" s="385"/>
      <c r="AT176" s="385"/>
      <c r="AU176" s="385"/>
      <c r="AV176" s="385"/>
      <c r="AW176" s="385"/>
      <c r="AX176" s="385"/>
    </row>
    <row r="177" spans="1:50" ht="10.8" hidden="1" thickTop="1" x14ac:dyDescent="0.2">
      <c r="A177" s="385"/>
      <c r="B177" s="385"/>
      <c r="C177" s="385"/>
      <c r="D177" s="385"/>
      <c r="E177" s="385"/>
      <c r="F177" s="385"/>
      <c r="G177" s="385"/>
      <c r="H177" s="385"/>
      <c r="I177" s="442"/>
      <c r="J177" s="442"/>
      <c r="K177" s="442"/>
      <c r="L177" s="442"/>
      <c r="M177" s="442"/>
      <c r="N177" s="442"/>
      <c r="O177" s="443"/>
      <c r="P177" s="385"/>
      <c r="Q177" s="385"/>
      <c r="R177" s="385"/>
      <c r="S177" s="385"/>
      <c r="T177" s="385"/>
      <c r="U177" s="385"/>
      <c r="V177" s="385"/>
      <c r="W177" s="385"/>
      <c r="X177" s="385"/>
      <c r="Y177" s="385"/>
      <c r="Z177" s="385"/>
      <c r="AA177" s="385"/>
      <c r="AB177" s="385"/>
      <c r="AC177" s="385"/>
      <c r="AD177" s="385"/>
      <c r="AE177" s="385"/>
      <c r="AF177" s="385"/>
      <c r="AG177" s="385"/>
      <c r="AH177" s="385"/>
      <c r="AI177" s="385"/>
      <c r="AJ177" s="385"/>
      <c r="AK177" s="385"/>
      <c r="AL177" s="385"/>
      <c r="AM177" s="385"/>
      <c r="AN177" s="385"/>
      <c r="AO177" s="385"/>
      <c r="AP177" s="385"/>
      <c r="AQ177" s="385"/>
      <c r="AR177" s="385"/>
      <c r="AS177" s="385"/>
      <c r="AT177" s="385"/>
      <c r="AU177" s="385"/>
      <c r="AV177" s="385"/>
      <c r="AW177" s="385"/>
      <c r="AX177" s="385"/>
    </row>
    <row r="178" spans="1:50" ht="10.8" hidden="1" thickTop="1" x14ac:dyDescent="0.2">
      <c r="A178" s="385"/>
      <c r="B178" s="385"/>
      <c r="C178" s="385"/>
      <c r="D178" s="385"/>
      <c r="E178" s="385"/>
      <c r="F178" s="385"/>
      <c r="G178" s="385"/>
      <c r="H178" s="385"/>
      <c r="I178" s="442"/>
      <c r="J178" s="442"/>
      <c r="K178" s="442"/>
      <c r="L178" s="442"/>
      <c r="M178" s="442"/>
      <c r="N178" s="442"/>
      <c r="O178" s="443"/>
      <c r="P178" s="385"/>
      <c r="Q178" s="385"/>
      <c r="R178" s="385"/>
      <c r="S178" s="385"/>
      <c r="T178" s="385"/>
      <c r="U178" s="385"/>
      <c r="V178" s="385"/>
      <c r="W178" s="385"/>
      <c r="X178" s="385"/>
      <c r="Y178" s="385"/>
      <c r="Z178" s="385"/>
      <c r="AA178" s="385"/>
      <c r="AB178" s="385"/>
      <c r="AC178" s="385"/>
      <c r="AD178" s="385"/>
      <c r="AE178" s="385"/>
      <c r="AF178" s="385"/>
      <c r="AG178" s="385"/>
      <c r="AH178" s="385"/>
      <c r="AI178" s="385"/>
      <c r="AJ178" s="385"/>
      <c r="AK178" s="385"/>
      <c r="AL178" s="385"/>
      <c r="AM178" s="385"/>
      <c r="AN178" s="385"/>
      <c r="AO178" s="385"/>
      <c r="AP178" s="385"/>
      <c r="AQ178" s="385"/>
      <c r="AR178" s="385"/>
      <c r="AS178" s="385"/>
      <c r="AT178" s="385"/>
      <c r="AU178" s="385"/>
      <c r="AV178" s="385"/>
      <c r="AW178" s="385"/>
      <c r="AX178" s="385"/>
    </row>
    <row r="179" spans="1:50" ht="10.8" hidden="1" thickTop="1" x14ac:dyDescent="0.2">
      <c r="A179" s="385"/>
      <c r="B179" s="385"/>
      <c r="C179" s="385"/>
      <c r="D179" s="385"/>
      <c r="E179" s="385"/>
      <c r="F179" s="385"/>
      <c r="G179" s="385"/>
      <c r="H179" s="385"/>
      <c r="I179" s="442"/>
      <c r="J179" s="442"/>
      <c r="K179" s="442"/>
      <c r="L179" s="442"/>
      <c r="M179" s="442"/>
      <c r="N179" s="442"/>
      <c r="O179" s="443"/>
      <c r="P179" s="385"/>
      <c r="Q179" s="385"/>
      <c r="R179" s="385"/>
      <c r="S179" s="385"/>
      <c r="T179" s="385"/>
      <c r="U179" s="385"/>
      <c r="V179" s="385"/>
      <c r="W179" s="385"/>
      <c r="X179" s="385"/>
      <c r="Y179" s="385"/>
      <c r="Z179" s="385"/>
      <c r="AA179" s="385"/>
      <c r="AB179" s="385"/>
      <c r="AC179" s="385"/>
      <c r="AD179" s="385"/>
      <c r="AE179" s="385"/>
      <c r="AF179" s="385"/>
      <c r="AG179" s="385"/>
      <c r="AH179" s="385"/>
      <c r="AI179" s="385"/>
      <c r="AJ179" s="385"/>
      <c r="AK179" s="385"/>
      <c r="AL179" s="385"/>
      <c r="AM179" s="385"/>
      <c r="AN179" s="385"/>
      <c r="AO179" s="385"/>
      <c r="AP179" s="385"/>
      <c r="AQ179" s="385"/>
      <c r="AR179" s="385"/>
      <c r="AS179" s="385"/>
      <c r="AT179" s="385"/>
      <c r="AU179" s="385"/>
      <c r="AV179" s="385"/>
      <c r="AW179" s="385"/>
      <c r="AX179" s="385"/>
    </row>
    <row r="180" spans="1:50" ht="10.8" hidden="1" thickTop="1" x14ac:dyDescent="0.2">
      <c r="A180" s="385"/>
      <c r="B180" s="385"/>
      <c r="C180" s="385"/>
      <c r="D180" s="385"/>
      <c r="E180" s="385"/>
      <c r="F180" s="385"/>
      <c r="G180" s="385"/>
      <c r="H180" s="385"/>
      <c r="I180" s="442"/>
      <c r="J180" s="442"/>
      <c r="K180" s="442"/>
      <c r="L180" s="442"/>
      <c r="M180" s="442"/>
      <c r="N180" s="442"/>
      <c r="O180" s="443"/>
      <c r="P180" s="385"/>
      <c r="Q180" s="385"/>
      <c r="R180" s="385"/>
      <c r="S180" s="385"/>
      <c r="T180" s="385"/>
      <c r="U180" s="385"/>
      <c r="V180" s="385"/>
      <c r="W180" s="385"/>
      <c r="X180" s="385"/>
      <c r="Y180" s="385"/>
      <c r="Z180" s="385"/>
      <c r="AA180" s="385"/>
      <c r="AB180" s="385"/>
      <c r="AC180" s="385"/>
      <c r="AD180" s="385"/>
      <c r="AE180" s="385"/>
      <c r="AF180" s="385"/>
      <c r="AG180" s="385"/>
      <c r="AH180" s="385"/>
      <c r="AI180" s="385"/>
      <c r="AJ180" s="385"/>
      <c r="AK180" s="385"/>
      <c r="AL180" s="385"/>
      <c r="AM180" s="385"/>
      <c r="AN180" s="385"/>
      <c r="AO180" s="385"/>
      <c r="AP180" s="385"/>
      <c r="AQ180" s="385"/>
      <c r="AR180" s="385"/>
      <c r="AS180" s="385"/>
      <c r="AT180" s="385"/>
      <c r="AU180" s="385"/>
      <c r="AV180" s="385"/>
      <c r="AW180" s="385"/>
      <c r="AX180" s="385"/>
    </row>
    <row r="181" spans="1:50" ht="10.8" hidden="1" thickTop="1" x14ac:dyDescent="0.2">
      <c r="A181" s="385"/>
      <c r="B181" s="385"/>
      <c r="C181" s="385"/>
      <c r="D181" s="385"/>
      <c r="E181" s="385"/>
      <c r="F181" s="385"/>
      <c r="G181" s="385"/>
      <c r="H181" s="385"/>
      <c r="I181" s="442"/>
      <c r="J181" s="442"/>
      <c r="K181" s="442"/>
      <c r="L181" s="442"/>
      <c r="M181" s="442"/>
      <c r="N181" s="442"/>
      <c r="O181" s="443"/>
      <c r="P181" s="385"/>
      <c r="Q181" s="385"/>
      <c r="R181" s="385"/>
      <c r="S181" s="385"/>
      <c r="T181" s="385"/>
      <c r="U181" s="385"/>
      <c r="V181" s="385"/>
      <c r="W181" s="385"/>
      <c r="X181" s="385"/>
      <c r="Y181" s="385"/>
      <c r="Z181" s="385"/>
      <c r="AA181" s="385"/>
      <c r="AB181" s="385"/>
      <c r="AC181" s="385"/>
      <c r="AD181" s="385"/>
      <c r="AE181" s="385"/>
      <c r="AF181" s="385"/>
      <c r="AG181" s="385"/>
      <c r="AH181" s="385"/>
      <c r="AI181" s="385"/>
      <c r="AJ181" s="385"/>
      <c r="AK181" s="385"/>
      <c r="AL181" s="385"/>
      <c r="AM181" s="385"/>
      <c r="AN181" s="385"/>
      <c r="AO181" s="385"/>
      <c r="AP181" s="385"/>
      <c r="AQ181" s="385"/>
      <c r="AR181" s="385"/>
      <c r="AS181" s="385"/>
      <c r="AT181" s="385"/>
      <c r="AU181" s="385"/>
      <c r="AV181" s="385"/>
      <c r="AW181" s="385"/>
      <c r="AX181" s="385"/>
    </row>
    <row r="182" spans="1:50" ht="10.8" hidden="1" thickTop="1" x14ac:dyDescent="0.2">
      <c r="A182" s="385"/>
      <c r="B182" s="385"/>
      <c r="C182" s="385"/>
      <c r="D182" s="385"/>
      <c r="E182" s="385"/>
      <c r="F182" s="385"/>
      <c r="G182" s="385"/>
      <c r="H182" s="385"/>
      <c r="I182" s="442"/>
      <c r="J182" s="442"/>
      <c r="K182" s="442"/>
      <c r="L182" s="442"/>
      <c r="M182" s="442"/>
      <c r="N182" s="442"/>
      <c r="O182" s="443"/>
      <c r="P182" s="385"/>
      <c r="Q182" s="385"/>
      <c r="R182" s="385"/>
      <c r="S182" s="385"/>
      <c r="T182" s="385"/>
      <c r="U182" s="385"/>
      <c r="V182" s="385"/>
      <c r="W182" s="385"/>
      <c r="X182" s="385"/>
      <c r="Y182" s="385"/>
      <c r="Z182" s="385"/>
      <c r="AA182" s="385"/>
      <c r="AB182" s="385"/>
      <c r="AC182" s="385"/>
      <c r="AD182" s="385"/>
      <c r="AE182" s="385"/>
      <c r="AF182" s="385"/>
      <c r="AG182" s="385"/>
      <c r="AH182" s="385"/>
      <c r="AI182" s="385"/>
      <c r="AJ182" s="385"/>
      <c r="AK182" s="385"/>
      <c r="AL182" s="385"/>
      <c r="AM182" s="385"/>
      <c r="AN182" s="385"/>
      <c r="AO182" s="385"/>
      <c r="AP182" s="385"/>
      <c r="AQ182" s="385"/>
      <c r="AR182" s="385"/>
      <c r="AS182" s="385"/>
      <c r="AT182" s="385"/>
      <c r="AU182" s="385"/>
      <c r="AV182" s="385"/>
      <c r="AW182" s="385"/>
      <c r="AX182" s="385"/>
    </row>
    <row r="183" spans="1:50" ht="10.8" hidden="1" thickTop="1" x14ac:dyDescent="0.2">
      <c r="A183" s="385"/>
      <c r="B183" s="385"/>
      <c r="C183" s="385"/>
      <c r="D183" s="385"/>
      <c r="E183" s="385"/>
      <c r="F183" s="385"/>
      <c r="G183" s="385"/>
      <c r="H183" s="385"/>
      <c r="I183" s="442"/>
      <c r="J183" s="442"/>
      <c r="K183" s="442"/>
      <c r="L183" s="442"/>
      <c r="M183" s="442"/>
      <c r="N183" s="442"/>
      <c r="O183" s="443"/>
      <c r="P183" s="385"/>
      <c r="Q183" s="385"/>
      <c r="R183" s="385"/>
      <c r="S183" s="385"/>
      <c r="T183" s="385"/>
      <c r="U183" s="385"/>
      <c r="V183" s="385"/>
      <c r="W183" s="385"/>
      <c r="X183" s="385"/>
      <c r="Y183" s="385"/>
      <c r="Z183" s="385"/>
      <c r="AA183" s="385"/>
      <c r="AB183" s="385"/>
      <c r="AC183" s="385"/>
      <c r="AD183" s="385"/>
      <c r="AE183" s="385"/>
      <c r="AF183" s="385"/>
      <c r="AG183" s="385"/>
      <c r="AH183" s="385"/>
      <c r="AI183" s="385"/>
      <c r="AJ183" s="385"/>
      <c r="AK183" s="385"/>
      <c r="AL183" s="385"/>
      <c r="AM183" s="385"/>
      <c r="AN183" s="385"/>
      <c r="AO183" s="385"/>
      <c r="AP183" s="385"/>
      <c r="AQ183" s="385"/>
      <c r="AR183" s="385"/>
      <c r="AS183" s="385"/>
      <c r="AT183" s="385"/>
      <c r="AU183" s="385"/>
      <c r="AV183" s="385"/>
      <c r="AW183" s="385"/>
      <c r="AX183" s="385"/>
    </row>
    <row r="184" spans="1:50" ht="10.8" hidden="1" thickTop="1" x14ac:dyDescent="0.2">
      <c r="A184" s="385"/>
      <c r="B184" s="385"/>
      <c r="C184" s="385"/>
      <c r="D184" s="385"/>
      <c r="E184" s="385"/>
      <c r="F184" s="385"/>
      <c r="G184" s="385"/>
      <c r="H184" s="385"/>
      <c r="I184" s="442"/>
      <c r="J184" s="442"/>
      <c r="K184" s="442"/>
      <c r="L184" s="442"/>
      <c r="M184" s="442"/>
      <c r="N184" s="442"/>
      <c r="O184" s="443"/>
      <c r="P184" s="385"/>
      <c r="Q184" s="385"/>
      <c r="R184" s="385"/>
      <c r="S184" s="385"/>
      <c r="T184" s="385"/>
      <c r="U184" s="385"/>
      <c r="V184" s="385"/>
      <c r="W184" s="385"/>
      <c r="X184" s="385"/>
      <c r="Y184" s="385"/>
      <c r="Z184" s="385"/>
      <c r="AA184" s="385"/>
      <c r="AB184" s="385"/>
      <c r="AC184" s="385"/>
      <c r="AD184" s="385"/>
      <c r="AE184" s="385"/>
      <c r="AF184" s="385"/>
      <c r="AG184" s="385"/>
      <c r="AH184" s="385"/>
      <c r="AI184" s="385"/>
      <c r="AJ184" s="385"/>
      <c r="AK184" s="385"/>
      <c r="AL184" s="385"/>
      <c r="AM184" s="385"/>
      <c r="AN184" s="385"/>
      <c r="AO184" s="385"/>
      <c r="AP184" s="385"/>
      <c r="AQ184" s="385"/>
      <c r="AR184" s="385"/>
      <c r="AS184" s="385"/>
      <c r="AT184" s="385"/>
      <c r="AU184" s="385"/>
      <c r="AV184" s="385"/>
      <c r="AW184" s="385"/>
      <c r="AX184" s="385"/>
    </row>
    <row r="185" spans="1:50" ht="10.8" hidden="1" thickTop="1" x14ac:dyDescent="0.2">
      <c r="A185" s="385"/>
      <c r="B185" s="385"/>
      <c r="C185" s="385"/>
      <c r="D185" s="385"/>
      <c r="E185" s="385"/>
      <c r="F185" s="385"/>
      <c r="G185" s="385"/>
      <c r="H185" s="385"/>
      <c r="I185" s="442"/>
      <c r="J185" s="442"/>
      <c r="K185" s="442"/>
      <c r="L185" s="442"/>
      <c r="M185" s="442"/>
      <c r="N185" s="442"/>
      <c r="O185" s="443"/>
      <c r="P185" s="385"/>
      <c r="Q185" s="385"/>
      <c r="R185" s="385"/>
      <c r="S185" s="385"/>
      <c r="T185" s="385"/>
      <c r="U185" s="385"/>
      <c r="V185" s="385"/>
      <c r="W185" s="385"/>
      <c r="X185" s="385"/>
      <c r="Y185" s="385"/>
      <c r="Z185" s="385"/>
      <c r="AA185" s="385"/>
      <c r="AB185" s="385"/>
      <c r="AC185" s="385"/>
      <c r="AD185" s="385"/>
      <c r="AE185" s="385"/>
      <c r="AF185" s="385"/>
      <c r="AG185" s="385"/>
      <c r="AH185" s="385"/>
      <c r="AI185" s="385"/>
      <c r="AJ185" s="385"/>
      <c r="AK185" s="385"/>
      <c r="AL185" s="385"/>
      <c r="AM185" s="385"/>
      <c r="AN185" s="385"/>
      <c r="AO185" s="385"/>
      <c r="AP185" s="385"/>
      <c r="AQ185" s="385"/>
      <c r="AR185" s="385"/>
      <c r="AS185" s="385"/>
      <c r="AT185" s="385"/>
      <c r="AU185" s="385"/>
      <c r="AV185" s="385"/>
      <c r="AW185" s="385"/>
      <c r="AX185" s="385"/>
    </row>
    <row r="186" spans="1:50" ht="10.8" hidden="1" thickTop="1" x14ac:dyDescent="0.2">
      <c r="A186" s="385"/>
      <c r="B186" s="385"/>
      <c r="C186" s="385"/>
      <c r="D186" s="385"/>
      <c r="E186" s="385"/>
      <c r="F186" s="385"/>
      <c r="G186" s="385"/>
      <c r="H186" s="385"/>
      <c r="I186" s="442"/>
      <c r="J186" s="442"/>
      <c r="K186" s="442"/>
      <c r="L186" s="442"/>
      <c r="M186" s="442"/>
      <c r="N186" s="442"/>
      <c r="O186" s="443"/>
      <c r="P186" s="385"/>
      <c r="Q186" s="385"/>
      <c r="R186" s="385"/>
      <c r="S186" s="385"/>
      <c r="T186" s="385"/>
      <c r="U186" s="385"/>
      <c r="V186" s="385"/>
      <c r="W186" s="385"/>
      <c r="X186" s="385"/>
      <c r="Y186" s="385"/>
      <c r="Z186" s="385"/>
      <c r="AA186" s="385"/>
      <c r="AB186" s="385"/>
      <c r="AC186" s="385"/>
      <c r="AD186" s="385"/>
      <c r="AE186" s="385"/>
      <c r="AF186" s="385"/>
      <c r="AG186" s="385"/>
      <c r="AH186" s="385"/>
      <c r="AI186" s="385"/>
      <c r="AJ186" s="385"/>
      <c r="AK186" s="385"/>
      <c r="AL186" s="385"/>
      <c r="AM186" s="385"/>
      <c r="AN186" s="385"/>
      <c r="AO186" s="385"/>
      <c r="AP186" s="385"/>
      <c r="AQ186" s="385"/>
      <c r="AR186" s="385"/>
      <c r="AS186" s="385"/>
      <c r="AT186" s="385"/>
      <c r="AU186" s="385"/>
      <c r="AV186" s="385"/>
      <c r="AW186" s="385"/>
      <c r="AX186" s="385"/>
    </row>
    <row r="187" spans="1:50" ht="10.8" hidden="1" thickTop="1" x14ac:dyDescent="0.2">
      <c r="A187" s="385"/>
      <c r="B187" s="385"/>
      <c r="C187" s="385"/>
      <c r="D187" s="385"/>
      <c r="E187" s="385"/>
      <c r="F187" s="385"/>
      <c r="G187" s="385"/>
      <c r="H187" s="385"/>
      <c r="I187" s="442"/>
      <c r="J187" s="442"/>
      <c r="K187" s="442"/>
      <c r="L187" s="442"/>
      <c r="M187" s="442"/>
      <c r="N187" s="442"/>
      <c r="O187" s="443"/>
      <c r="P187" s="385"/>
      <c r="Q187" s="385"/>
      <c r="R187" s="385"/>
      <c r="S187" s="385"/>
      <c r="T187" s="385"/>
      <c r="U187" s="385"/>
      <c r="V187" s="385"/>
      <c r="W187" s="385"/>
      <c r="X187" s="385"/>
      <c r="Y187" s="385"/>
      <c r="Z187" s="385"/>
      <c r="AA187" s="385"/>
      <c r="AB187" s="385"/>
      <c r="AC187" s="385"/>
      <c r="AD187" s="385"/>
      <c r="AE187" s="385"/>
      <c r="AF187" s="385"/>
      <c r="AG187" s="385"/>
      <c r="AH187" s="385"/>
      <c r="AI187" s="385"/>
      <c r="AJ187" s="385"/>
      <c r="AK187" s="385"/>
      <c r="AL187" s="385"/>
      <c r="AM187" s="385"/>
      <c r="AN187" s="385"/>
      <c r="AO187" s="385"/>
      <c r="AP187" s="385"/>
      <c r="AQ187" s="385"/>
      <c r="AR187" s="385"/>
      <c r="AS187" s="385"/>
      <c r="AT187" s="385"/>
      <c r="AU187" s="385"/>
      <c r="AV187" s="385"/>
      <c r="AW187" s="385"/>
      <c r="AX187" s="385"/>
    </row>
    <row r="188" spans="1:50" ht="10.8" hidden="1" thickTop="1" x14ac:dyDescent="0.2">
      <c r="A188" s="385"/>
      <c r="B188" s="385"/>
      <c r="C188" s="385"/>
      <c r="D188" s="385"/>
      <c r="E188" s="385"/>
      <c r="F188" s="385"/>
      <c r="G188" s="385"/>
      <c r="H188" s="385"/>
      <c r="I188" s="442"/>
      <c r="J188" s="442"/>
      <c r="K188" s="442"/>
      <c r="L188" s="442"/>
      <c r="M188" s="442"/>
      <c r="N188" s="442"/>
      <c r="O188" s="443"/>
      <c r="P188" s="385"/>
      <c r="Q188" s="385"/>
      <c r="R188" s="385"/>
      <c r="S188" s="385"/>
      <c r="T188" s="385"/>
      <c r="U188" s="385"/>
      <c r="V188" s="385"/>
      <c r="W188" s="385"/>
      <c r="X188" s="385"/>
      <c r="Y188" s="385"/>
      <c r="Z188" s="385"/>
      <c r="AA188" s="385"/>
      <c r="AB188" s="385"/>
      <c r="AC188" s="385"/>
      <c r="AD188" s="385"/>
      <c r="AE188" s="385"/>
      <c r="AF188" s="385"/>
      <c r="AG188" s="385"/>
      <c r="AH188" s="385"/>
      <c r="AI188" s="385"/>
      <c r="AJ188" s="385"/>
      <c r="AK188" s="385"/>
      <c r="AL188" s="385"/>
      <c r="AM188" s="385"/>
      <c r="AN188" s="385"/>
      <c r="AO188" s="385"/>
      <c r="AP188" s="385"/>
      <c r="AQ188" s="385"/>
      <c r="AR188" s="385"/>
      <c r="AS188" s="385"/>
      <c r="AT188" s="385"/>
      <c r="AU188" s="385"/>
      <c r="AV188" s="385"/>
      <c r="AW188" s="385"/>
      <c r="AX188" s="385"/>
    </row>
    <row r="189" spans="1:50" ht="10.8" hidden="1" thickTop="1" x14ac:dyDescent="0.2">
      <c r="A189" s="385"/>
      <c r="B189" s="385"/>
      <c r="C189" s="385"/>
      <c r="D189" s="385"/>
      <c r="E189" s="385"/>
      <c r="F189" s="385"/>
      <c r="G189" s="385"/>
      <c r="H189" s="385"/>
      <c r="I189" s="442"/>
      <c r="J189" s="442"/>
      <c r="K189" s="442"/>
      <c r="L189" s="442"/>
      <c r="M189" s="442"/>
      <c r="N189" s="442"/>
      <c r="O189" s="443"/>
      <c r="P189" s="385"/>
      <c r="Q189" s="385"/>
      <c r="R189" s="385"/>
      <c r="S189" s="385"/>
      <c r="T189" s="385"/>
      <c r="U189" s="385"/>
      <c r="V189" s="385"/>
      <c r="W189" s="385"/>
      <c r="X189" s="385"/>
      <c r="Y189" s="385"/>
      <c r="Z189" s="385"/>
      <c r="AA189" s="385"/>
      <c r="AB189" s="385"/>
      <c r="AC189" s="385"/>
      <c r="AD189" s="385"/>
      <c r="AE189" s="385"/>
      <c r="AF189" s="385"/>
      <c r="AG189" s="385"/>
      <c r="AH189" s="385"/>
      <c r="AI189" s="385"/>
      <c r="AJ189" s="385"/>
      <c r="AK189" s="385"/>
      <c r="AL189" s="385"/>
      <c r="AM189" s="385"/>
      <c r="AN189" s="385"/>
      <c r="AO189" s="385"/>
      <c r="AP189" s="385"/>
      <c r="AQ189" s="385"/>
      <c r="AR189" s="385"/>
      <c r="AS189" s="385"/>
      <c r="AT189" s="385"/>
      <c r="AU189" s="385"/>
      <c r="AV189" s="385"/>
      <c r="AW189" s="385"/>
      <c r="AX189" s="385"/>
    </row>
    <row r="190" spans="1:50" ht="10.8" hidden="1" thickTop="1" x14ac:dyDescent="0.2">
      <c r="A190" s="385"/>
      <c r="B190" s="444"/>
      <c r="C190" s="385"/>
      <c r="D190" s="385"/>
      <c r="E190" s="385"/>
      <c r="F190" s="385"/>
      <c r="G190" s="385"/>
      <c r="H190" s="385"/>
      <c r="I190" s="442"/>
      <c r="J190" s="442"/>
      <c r="K190" s="442"/>
      <c r="L190" s="442"/>
      <c r="M190" s="442"/>
      <c r="N190" s="442"/>
      <c r="O190" s="443"/>
      <c r="P190" s="385"/>
      <c r="Q190" s="385"/>
      <c r="R190" s="385"/>
      <c r="S190" s="385"/>
      <c r="T190" s="385"/>
      <c r="U190" s="385"/>
      <c r="V190" s="385"/>
      <c r="W190" s="385"/>
      <c r="X190" s="385"/>
      <c r="Y190" s="385"/>
      <c r="Z190" s="385"/>
      <c r="AA190" s="385"/>
      <c r="AB190" s="385"/>
      <c r="AC190" s="385"/>
      <c r="AD190" s="385"/>
      <c r="AE190" s="385"/>
      <c r="AF190" s="385"/>
      <c r="AG190" s="385"/>
      <c r="AH190" s="385"/>
      <c r="AI190" s="385"/>
      <c r="AJ190" s="385"/>
      <c r="AK190" s="385"/>
      <c r="AL190" s="385"/>
      <c r="AM190" s="385"/>
      <c r="AN190" s="385"/>
      <c r="AO190" s="385"/>
      <c r="AP190" s="385"/>
      <c r="AQ190" s="385"/>
      <c r="AR190" s="385"/>
      <c r="AS190" s="385"/>
      <c r="AT190" s="385"/>
      <c r="AU190" s="385"/>
      <c r="AV190" s="385"/>
      <c r="AW190" s="385"/>
      <c r="AX190" s="385"/>
    </row>
    <row r="191" spans="1:50" ht="10.8" hidden="1" thickTop="1" x14ac:dyDescent="0.2">
      <c r="A191" s="385"/>
      <c r="B191" s="385"/>
      <c r="C191" s="385"/>
      <c r="D191" s="385"/>
      <c r="E191" s="385"/>
      <c r="F191" s="385"/>
      <c r="G191" s="385"/>
      <c r="H191" s="385"/>
      <c r="I191" s="442"/>
      <c r="J191" s="442"/>
      <c r="K191" s="442"/>
      <c r="L191" s="442"/>
      <c r="M191" s="442"/>
      <c r="N191" s="442"/>
      <c r="O191" s="443"/>
      <c r="P191" s="385"/>
      <c r="Q191" s="385"/>
      <c r="R191" s="385"/>
      <c r="S191" s="385"/>
      <c r="T191" s="385"/>
      <c r="U191" s="385"/>
      <c r="V191" s="385"/>
      <c r="W191" s="385"/>
      <c r="X191" s="385"/>
      <c r="Y191" s="385"/>
      <c r="Z191" s="385"/>
      <c r="AA191" s="385"/>
      <c r="AB191" s="385"/>
      <c r="AC191" s="385"/>
      <c r="AD191" s="385"/>
      <c r="AE191" s="385"/>
      <c r="AF191" s="385"/>
      <c r="AG191" s="385"/>
      <c r="AH191" s="385"/>
      <c r="AI191" s="385"/>
      <c r="AJ191" s="385"/>
      <c r="AK191" s="385"/>
      <c r="AL191" s="385"/>
      <c r="AM191" s="385"/>
      <c r="AN191" s="385"/>
      <c r="AO191" s="385"/>
      <c r="AP191" s="385"/>
      <c r="AQ191" s="385"/>
      <c r="AR191" s="385"/>
      <c r="AS191" s="385"/>
      <c r="AT191" s="385"/>
      <c r="AU191" s="385"/>
      <c r="AV191" s="385"/>
      <c r="AW191" s="385"/>
      <c r="AX191" s="385"/>
    </row>
    <row r="192" spans="1:50" ht="10.8" hidden="1" thickTop="1" x14ac:dyDescent="0.2">
      <c r="A192" s="385"/>
      <c r="B192" s="385"/>
      <c r="C192" s="385"/>
      <c r="D192" s="445"/>
      <c r="E192" s="385"/>
      <c r="F192" s="385"/>
      <c r="G192" s="445"/>
      <c r="H192" s="385"/>
      <c r="I192" s="442"/>
      <c r="J192" s="442"/>
      <c r="K192" s="442"/>
      <c r="L192" s="442"/>
      <c r="M192" s="442"/>
      <c r="N192" s="442"/>
      <c r="O192" s="443"/>
      <c r="P192" s="385"/>
      <c r="Q192" s="385"/>
      <c r="R192" s="385"/>
      <c r="S192" s="385"/>
      <c r="T192" s="385"/>
      <c r="U192" s="385"/>
      <c r="V192" s="385"/>
      <c r="W192" s="385"/>
      <c r="X192" s="385"/>
      <c r="Y192" s="385"/>
      <c r="Z192" s="385"/>
      <c r="AA192" s="385"/>
      <c r="AB192" s="385"/>
      <c r="AC192" s="385"/>
      <c r="AD192" s="385"/>
      <c r="AE192" s="385"/>
      <c r="AF192" s="385"/>
      <c r="AG192" s="385"/>
      <c r="AH192" s="385"/>
      <c r="AI192" s="385"/>
      <c r="AJ192" s="385"/>
      <c r="AK192" s="385"/>
      <c r="AL192" s="385"/>
      <c r="AM192" s="385"/>
      <c r="AN192" s="385"/>
      <c r="AO192" s="385"/>
      <c r="AP192" s="385"/>
      <c r="AQ192" s="385"/>
      <c r="AR192" s="385"/>
      <c r="AS192" s="385"/>
      <c r="AT192" s="385"/>
      <c r="AU192" s="385"/>
      <c r="AV192" s="385"/>
      <c r="AW192" s="385"/>
      <c r="AX192" s="385"/>
    </row>
    <row r="193" spans="1:50" ht="10.8" hidden="1" thickTop="1" x14ac:dyDescent="0.2">
      <c r="A193" s="385"/>
      <c r="B193" s="385"/>
      <c r="C193" s="385"/>
      <c r="D193" s="445"/>
      <c r="E193" s="445"/>
      <c r="F193" s="445"/>
      <c r="G193" s="445"/>
      <c r="H193" s="385"/>
      <c r="I193" s="442"/>
      <c r="J193" s="442"/>
      <c r="K193" s="442"/>
      <c r="L193" s="442"/>
      <c r="M193" s="442"/>
      <c r="N193" s="442"/>
      <c r="O193" s="443"/>
      <c r="P193" s="385"/>
      <c r="Q193" s="385"/>
      <c r="R193" s="385"/>
      <c r="S193" s="385"/>
      <c r="T193" s="385"/>
      <c r="U193" s="385"/>
      <c r="V193" s="385"/>
      <c r="W193" s="385"/>
      <c r="X193" s="385"/>
      <c r="Y193" s="385"/>
      <c r="Z193" s="385"/>
      <c r="AA193" s="385"/>
      <c r="AB193" s="385"/>
      <c r="AC193" s="385"/>
      <c r="AD193" s="385"/>
      <c r="AE193" s="385"/>
      <c r="AF193" s="385"/>
      <c r="AG193" s="385"/>
      <c r="AH193" s="385"/>
      <c r="AI193" s="385"/>
      <c r="AJ193" s="385"/>
      <c r="AK193" s="385"/>
      <c r="AL193" s="385"/>
      <c r="AM193" s="385"/>
      <c r="AN193" s="385"/>
      <c r="AO193" s="385"/>
      <c r="AP193" s="385"/>
      <c r="AQ193" s="385"/>
      <c r="AR193" s="385"/>
      <c r="AS193" s="385"/>
      <c r="AT193" s="385"/>
      <c r="AU193" s="385"/>
      <c r="AV193" s="385"/>
      <c r="AW193" s="385"/>
      <c r="AX193" s="385"/>
    </row>
    <row r="194" spans="1:50" ht="10.8" hidden="1" thickTop="1" x14ac:dyDescent="0.2">
      <c r="A194" s="385"/>
      <c r="B194" s="385"/>
      <c r="C194" s="385"/>
      <c r="D194" s="445"/>
      <c r="E194" s="445"/>
      <c r="F194" s="445"/>
      <c r="G194" s="445"/>
      <c r="H194" s="385"/>
      <c r="I194" s="442"/>
      <c r="J194" s="442"/>
      <c r="K194" s="442"/>
      <c r="L194" s="442"/>
      <c r="M194" s="442"/>
      <c r="N194" s="442"/>
      <c r="O194" s="443"/>
      <c r="P194" s="385"/>
      <c r="Q194" s="385"/>
      <c r="R194" s="385"/>
      <c r="S194" s="385"/>
      <c r="T194" s="385"/>
      <c r="U194" s="385"/>
      <c r="V194" s="385"/>
      <c r="W194" s="385"/>
      <c r="X194" s="385"/>
      <c r="Y194" s="385"/>
      <c r="Z194" s="385"/>
      <c r="AA194" s="385"/>
      <c r="AB194" s="385"/>
      <c r="AC194" s="385"/>
      <c r="AD194" s="385"/>
      <c r="AE194" s="385"/>
      <c r="AF194" s="385"/>
      <c r="AG194" s="385"/>
      <c r="AH194" s="385"/>
      <c r="AI194" s="385"/>
      <c r="AJ194" s="385"/>
      <c r="AK194" s="385"/>
      <c r="AL194" s="385"/>
      <c r="AM194" s="385"/>
      <c r="AN194" s="385"/>
      <c r="AO194" s="385"/>
      <c r="AP194" s="385"/>
      <c r="AQ194" s="385"/>
      <c r="AR194" s="385"/>
      <c r="AS194" s="385"/>
      <c r="AT194" s="385"/>
      <c r="AU194" s="385"/>
      <c r="AV194" s="385"/>
      <c r="AW194" s="385"/>
      <c r="AX194" s="385"/>
    </row>
    <row r="195" spans="1:50" ht="10.8" hidden="1" thickTop="1" x14ac:dyDescent="0.2">
      <c r="A195" s="385"/>
      <c r="B195" s="385"/>
      <c r="C195" s="385"/>
      <c r="D195" s="445"/>
      <c r="E195" s="445"/>
      <c r="F195" s="445"/>
      <c r="G195" s="445"/>
      <c r="H195" s="385"/>
      <c r="I195" s="442"/>
      <c r="J195" s="442"/>
      <c r="K195" s="442"/>
      <c r="L195" s="442"/>
      <c r="M195" s="442"/>
      <c r="N195" s="442"/>
      <c r="O195" s="443"/>
      <c r="P195" s="385"/>
      <c r="Q195" s="385"/>
      <c r="R195" s="385"/>
      <c r="S195" s="385"/>
      <c r="T195" s="385"/>
      <c r="U195" s="385"/>
      <c r="V195" s="385"/>
      <c r="W195" s="385"/>
      <c r="X195" s="385"/>
      <c r="Y195" s="385"/>
      <c r="Z195" s="385"/>
      <c r="AA195" s="385"/>
      <c r="AB195" s="385"/>
      <c r="AC195" s="385"/>
      <c r="AD195" s="385"/>
      <c r="AE195" s="385"/>
      <c r="AF195" s="385"/>
      <c r="AG195" s="385"/>
      <c r="AH195" s="385"/>
      <c r="AI195" s="385"/>
      <c r="AJ195" s="385"/>
      <c r="AK195" s="385"/>
      <c r="AL195" s="385"/>
      <c r="AM195" s="385"/>
      <c r="AN195" s="385"/>
      <c r="AO195" s="385"/>
      <c r="AP195" s="385"/>
      <c r="AQ195" s="385"/>
      <c r="AR195" s="385"/>
      <c r="AS195" s="385"/>
      <c r="AT195" s="385"/>
      <c r="AU195" s="385"/>
      <c r="AV195" s="385"/>
      <c r="AW195" s="385"/>
      <c r="AX195" s="385"/>
    </row>
    <row r="196" spans="1:50" ht="10.8" hidden="1" thickTop="1" x14ac:dyDescent="0.2">
      <c r="A196" s="385"/>
      <c r="B196" s="385"/>
      <c r="C196" s="385"/>
      <c r="D196" s="445"/>
      <c r="E196" s="445"/>
      <c r="F196" s="445"/>
      <c r="G196" s="445"/>
      <c r="H196" s="385"/>
      <c r="I196" s="442"/>
      <c r="J196" s="442"/>
      <c r="K196" s="442"/>
      <c r="L196" s="442"/>
      <c r="M196" s="442"/>
      <c r="N196" s="442"/>
      <c r="O196" s="443"/>
      <c r="P196" s="385"/>
      <c r="Q196" s="385"/>
      <c r="R196" s="385"/>
      <c r="S196" s="385"/>
      <c r="T196" s="385"/>
      <c r="U196" s="385"/>
      <c r="V196" s="385"/>
      <c r="W196" s="385"/>
      <c r="X196" s="385"/>
      <c r="Y196" s="385"/>
      <c r="Z196" s="385"/>
      <c r="AA196" s="385"/>
      <c r="AB196" s="385"/>
      <c r="AC196" s="385"/>
      <c r="AD196" s="385"/>
      <c r="AE196" s="385"/>
      <c r="AF196" s="385"/>
      <c r="AG196" s="385"/>
      <c r="AH196" s="385"/>
      <c r="AI196" s="385"/>
      <c r="AJ196" s="385"/>
      <c r="AK196" s="385"/>
      <c r="AL196" s="385"/>
      <c r="AM196" s="385"/>
      <c r="AN196" s="385"/>
      <c r="AO196" s="385"/>
      <c r="AP196" s="385"/>
      <c r="AQ196" s="385"/>
      <c r="AR196" s="385"/>
      <c r="AS196" s="385"/>
      <c r="AT196" s="385"/>
      <c r="AU196" s="385"/>
      <c r="AV196" s="385"/>
      <c r="AW196" s="385"/>
      <c r="AX196" s="385"/>
    </row>
    <row r="197" spans="1:50" ht="10.8" hidden="1" thickTop="1" x14ac:dyDescent="0.2">
      <c r="A197" s="385"/>
      <c r="B197" s="385"/>
      <c r="C197" s="385"/>
      <c r="D197" s="445"/>
      <c r="E197" s="445"/>
      <c r="F197" s="445"/>
      <c r="G197" s="445"/>
      <c r="H197" s="385"/>
      <c r="I197" s="442"/>
      <c r="J197" s="442"/>
      <c r="K197" s="442"/>
      <c r="L197" s="442"/>
      <c r="M197" s="442"/>
      <c r="N197" s="442"/>
      <c r="O197" s="443"/>
      <c r="P197" s="385"/>
      <c r="Q197" s="385"/>
      <c r="R197" s="385"/>
      <c r="S197" s="385"/>
      <c r="T197" s="385"/>
      <c r="U197" s="385"/>
      <c r="V197" s="385"/>
      <c r="W197" s="385"/>
      <c r="X197" s="385"/>
      <c r="Y197" s="385"/>
      <c r="Z197" s="385"/>
      <c r="AA197" s="385"/>
      <c r="AB197" s="385"/>
      <c r="AC197" s="385"/>
      <c r="AD197" s="385"/>
      <c r="AE197" s="385"/>
      <c r="AF197" s="385"/>
      <c r="AG197" s="385"/>
      <c r="AH197" s="385"/>
      <c r="AI197" s="385"/>
      <c r="AJ197" s="385"/>
      <c r="AK197" s="385"/>
      <c r="AL197" s="385"/>
      <c r="AM197" s="385"/>
      <c r="AN197" s="385"/>
      <c r="AO197" s="385"/>
      <c r="AP197" s="385"/>
      <c r="AQ197" s="385"/>
      <c r="AR197" s="385"/>
      <c r="AS197" s="385"/>
      <c r="AT197" s="385"/>
      <c r="AU197" s="385"/>
      <c r="AV197" s="385"/>
      <c r="AW197" s="385"/>
      <c r="AX197" s="385"/>
    </row>
    <row r="198" spans="1:50" ht="10.8" hidden="1" thickTop="1" x14ac:dyDescent="0.2">
      <c r="A198" s="385"/>
      <c r="B198" s="385"/>
      <c r="C198" s="385"/>
      <c r="D198" s="445"/>
      <c r="E198" s="445"/>
      <c r="F198" s="445"/>
      <c r="G198" s="445"/>
      <c r="H198" s="385"/>
      <c r="I198" s="442"/>
      <c r="J198" s="442"/>
      <c r="K198" s="442"/>
      <c r="L198" s="442"/>
      <c r="M198" s="442"/>
      <c r="N198" s="442"/>
      <c r="O198" s="443"/>
      <c r="P198" s="385"/>
      <c r="Q198" s="385"/>
      <c r="R198" s="385"/>
      <c r="S198" s="385"/>
      <c r="T198" s="385"/>
      <c r="U198" s="385"/>
      <c r="V198" s="385"/>
      <c r="W198" s="385"/>
      <c r="X198" s="385"/>
      <c r="Y198" s="385"/>
      <c r="Z198" s="385"/>
      <c r="AA198" s="385"/>
      <c r="AB198" s="385"/>
      <c r="AC198" s="385"/>
      <c r="AD198" s="385"/>
      <c r="AE198" s="385"/>
      <c r="AF198" s="385"/>
      <c r="AG198" s="385"/>
      <c r="AH198" s="385"/>
      <c r="AI198" s="385"/>
      <c r="AJ198" s="385"/>
      <c r="AK198" s="385"/>
      <c r="AL198" s="385"/>
      <c r="AM198" s="385"/>
      <c r="AN198" s="385"/>
      <c r="AO198" s="385"/>
      <c r="AP198" s="385"/>
      <c r="AQ198" s="385"/>
      <c r="AR198" s="385"/>
      <c r="AS198" s="385"/>
      <c r="AT198" s="385"/>
      <c r="AU198" s="385"/>
      <c r="AV198" s="385"/>
      <c r="AW198" s="385"/>
      <c r="AX198" s="385"/>
    </row>
    <row r="199" spans="1:50" ht="10.8" hidden="1" thickTop="1" x14ac:dyDescent="0.2">
      <c r="A199" s="385"/>
      <c r="B199" s="385"/>
      <c r="C199" s="385"/>
      <c r="D199" s="445"/>
      <c r="E199" s="445"/>
      <c r="F199" s="445"/>
      <c r="G199" s="445"/>
      <c r="H199" s="385"/>
      <c r="I199" s="442"/>
      <c r="J199" s="442"/>
      <c r="K199" s="442"/>
      <c r="L199" s="442"/>
      <c r="M199" s="442"/>
      <c r="N199" s="442"/>
      <c r="O199" s="443"/>
      <c r="P199" s="385"/>
      <c r="Q199" s="385"/>
      <c r="R199" s="385"/>
      <c r="S199" s="385"/>
      <c r="T199" s="385"/>
      <c r="U199" s="385"/>
      <c r="V199" s="385"/>
      <c r="W199" s="385"/>
      <c r="X199" s="385"/>
      <c r="Y199" s="385"/>
      <c r="Z199" s="385"/>
      <c r="AA199" s="385"/>
      <c r="AB199" s="385"/>
      <c r="AC199" s="385"/>
      <c r="AD199" s="385"/>
      <c r="AE199" s="385"/>
      <c r="AF199" s="385"/>
      <c r="AG199" s="385"/>
      <c r="AH199" s="385"/>
      <c r="AI199" s="385"/>
      <c r="AJ199" s="385"/>
      <c r="AK199" s="385"/>
      <c r="AL199" s="385"/>
      <c r="AM199" s="385"/>
      <c r="AN199" s="385"/>
      <c r="AO199" s="385"/>
      <c r="AP199" s="385"/>
      <c r="AQ199" s="385"/>
      <c r="AR199" s="385"/>
      <c r="AS199" s="385"/>
      <c r="AT199" s="385"/>
      <c r="AU199" s="385"/>
      <c r="AV199" s="385"/>
      <c r="AW199" s="385"/>
      <c r="AX199" s="385"/>
    </row>
    <row r="200" spans="1:50" ht="10.8" hidden="1" thickTop="1" x14ac:dyDescent="0.2">
      <c r="A200" s="385"/>
      <c r="B200" s="385"/>
      <c r="C200" s="385"/>
      <c r="D200" s="445"/>
      <c r="E200" s="445"/>
      <c r="F200" s="445"/>
      <c r="G200" s="445"/>
      <c r="H200" s="385"/>
      <c r="I200" s="442"/>
      <c r="J200" s="442"/>
      <c r="K200" s="442"/>
      <c r="L200" s="442"/>
      <c r="M200" s="442"/>
      <c r="N200" s="442"/>
      <c r="O200" s="443"/>
      <c r="P200" s="385"/>
      <c r="Q200" s="385"/>
      <c r="R200" s="385"/>
      <c r="S200" s="385"/>
      <c r="T200" s="385"/>
      <c r="U200" s="385"/>
      <c r="V200" s="385"/>
      <c r="W200" s="385"/>
      <c r="X200" s="385"/>
      <c r="Y200" s="385"/>
      <c r="Z200" s="385"/>
      <c r="AA200" s="385"/>
      <c r="AB200" s="385"/>
      <c r="AC200" s="385"/>
      <c r="AD200" s="385"/>
      <c r="AE200" s="385"/>
      <c r="AF200" s="385"/>
      <c r="AG200" s="385"/>
      <c r="AH200" s="385"/>
      <c r="AI200" s="385"/>
      <c r="AJ200" s="385"/>
      <c r="AK200" s="385"/>
      <c r="AL200" s="385"/>
      <c r="AM200" s="385"/>
      <c r="AN200" s="385"/>
      <c r="AO200" s="385"/>
      <c r="AP200" s="385"/>
      <c r="AQ200" s="385"/>
      <c r="AR200" s="385"/>
      <c r="AS200" s="385"/>
      <c r="AT200" s="385"/>
      <c r="AU200" s="385"/>
      <c r="AV200" s="385"/>
      <c r="AW200" s="385"/>
      <c r="AX200" s="385"/>
    </row>
    <row r="201" spans="1:50" ht="10.8" hidden="1" thickTop="1" x14ac:dyDescent="0.2">
      <c r="A201" s="385"/>
      <c r="B201" s="385"/>
      <c r="C201" s="385"/>
      <c r="D201" s="445"/>
      <c r="E201" s="445"/>
      <c r="F201" s="445"/>
      <c r="G201" s="445"/>
      <c r="H201" s="385"/>
      <c r="I201" s="442"/>
      <c r="J201" s="442"/>
      <c r="K201" s="442"/>
      <c r="L201" s="442"/>
      <c r="M201" s="442"/>
      <c r="N201" s="442"/>
      <c r="O201" s="443"/>
      <c r="P201" s="385"/>
      <c r="Q201" s="385"/>
      <c r="R201" s="385"/>
      <c r="S201" s="385"/>
      <c r="T201" s="385"/>
      <c r="U201" s="385"/>
      <c r="V201" s="385"/>
      <c r="W201" s="385"/>
      <c r="X201" s="385"/>
      <c r="Y201" s="385"/>
      <c r="Z201" s="385"/>
      <c r="AA201" s="385"/>
      <c r="AB201" s="385"/>
      <c r="AC201" s="385"/>
      <c r="AD201" s="385"/>
      <c r="AE201" s="385"/>
      <c r="AF201" s="385"/>
      <c r="AG201" s="385"/>
      <c r="AH201" s="385"/>
      <c r="AI201" s="385"/>
      <c r="AJ201" s="385"/>
      <c r="AK201" s="385"/>
      <c r="AL201" s="385"/>
      <c r="AM201" s="385"/>
      <c r="AN201" s="385"/>
      <c r="AO201" s="385"/>
      <c r="AP201" s="385"/>
      <c r="AQ201" s="385"/>
      <c r="AR201" s="385"/>
      <c r="AS201" s="385"/>
      <c r="AT201" s="385"/>
      <c r="AU201" s="385"/>
      <c r="AV201" s="385"/>
      <c r="AW201" s="385"/>
      <c r="AX201" s="385"/>
    </row>
    <row r="202" spans="1:50" ht="10.8" hidden="1" thickTop="1" x14ac:dyDescent="0.2">
      <c r="A202" s="385"/>
      <c r="B202" s="385"/>
      <c r="C202" s="385"/>
      <c r="D202" s="445"/>
      <c r="E202" s="445"/>
      <c r="F202" s="445"/>
      <c r="G202" s="445"/>
      <c r="H202" s="385"/>
      <c r="I202" s="442"/>
      <c r="J202" s="442"/>
      <c r="K202" s="442"/>
      <c r="L202" s="442"/>
      <c r="M202" s="442"/>
      <c r="N202" s="442"/>
      <c r="O202" s="443"/>
      <c r="P202" s="385"/>
      <c r="Q202" s="385"/>
      <c r="R202" s="385"/>
      <c r="S202" s="385"/>
      <c r="T202" s="385"/>
      <c r="U202" s="385"/>
      <c r="V202" s="385"/>
      <c r="W202" s="385"/>
      <c r="X202" s="385"/>
      <c r="Y202" s="385"/>
      <c r="Z202" s="385"/>
      <c r="AA202" s="385"/>
      <c r="AB202" s="385"/>
      <c r="AC202" s="385"/>
      <c r="AD202" s="385"/>
      <c r="AE202" s="385"/>
      <c r="AF202" s="385"/>
      <c r="AG202" s="385"/>
      <c r="AH202" s="385"/>
      <c r="AI202" s="385"/>
      <c r="AJ202" s="385"/>
      <c r="AK202" s="385"/>
      <c r="AL202" s="385"/>
      <c r="AM202" s="385"/>
      <c r="AN202" s="385"/>
      <c r="AO202" s="385"/>
      <c r="AP202" s="385"/>
      <c r="AQ202" s="385"/>
      <c r="AR202" s="385"/>
      <c r="AS202" s="385"/>
      <c r="AT202" s="385"/>
      <c r="AU202" s="385"/>
      <c r="AV202" s="385"/>
      <c r="AW202" s="385"/>
      <c r="AX202" s="385"/>
    </row>
    <row r="203" spans="1:50" ht="10.8" hidden="1" thickTop="1" x14ac:dyDescent="0.2">
      <c r="A203" s="385"/>
      <c r="B203" s="385"/>
      <c r="C203" s="385"/>
      <c r="D203" s="445"/>
      <c r="E203" s="445"/>
      <c r="F203" s="445"/>
      <c r="G203" s="445"/>
      <c r="H203" s="385"/>
      <c r="I203" s="442"/>
      <c r="J203" s="442"/>
      <c r="K203" s="442"/>
      <c r="L203" s="442"/>
      <c r="M203" s="442"/>
      <c r="N203" s="442"/>
      <c r="O203" s="443"/>
      <c r="P203" s="385"/>
      <c r="Q203" s="385"/>
      <c r="R203" s="385"/>
      <c r="S203" s="385"/>
      <c r="T203" s="385"/>
      <c r="U203" s="385"/>
      <c r="V203" s="385"/>
      <c r="W203" s="385"/>
      <c r="X203" s="385"/>
      <c r="Y203" s="385"/>
      <c r="Z203" s="385"/>
      <c r="AA203" s="385"/>
      <c r="AB203" s="385"/>
      <c r="AC203" s="385"/>
      <c r="AD203" s="385"/>
      <c r="AE203" s="385"/>
      <c r="AF203" s="385"/>
      <c r="AG203" s="385"/>
      <c r="AH203" s="385"/>
      <c r="AI203" s="385"/>
      <c r="AJ203" s="385"/>
      <c r="AK203" s="385"/>
      <c r="AL203" s="385"/>
      <c r="AM203" s="385"/>
      <c r="AN203" s="385"/>
      <c r="AO203" s="385"/>
      <c r="AP203" s="385"/>
      <c r="AQ203" s="385"/>
      <c r="AR203" s="385"/>
      <c r="AS203" s="385"/>
      <c r="AT203" s="385"/>
      <c r="AU203" s="385"/>
      <c r="AV203" s="385"/>
      <c r="AW203" s="385"/>
      <c r="AX203" s="385"/>
    </row>
    <row r="204" spans="1:50" ht="10.8" hidden="1" thickTop="1" x14ac:dyDescent="0.2">
      <c r="A204" s="385"/>
      <c r="B204" s="385"/>
      <c r="C204" s="385"/>
      <c r="D204" s="445"/>
      <c r="E204" s="445"/>
      <c r="F204" s="445"/>
      <c r="G204" s="445"/>
      <c r="H204" s="385"/>
      <c r="I204" s="442"/>
      <c r="J204" s="442"/>
      <c r="K204" s="442"/>
      <c r="L204" s="442"/>
      <c r="M204" s="442"/>
      <c r="N204" s="442"/>
      <c r="O204" s="443"/>
      <c r="P204" s="385"/>
      <c r="Q204" s="385"/>
      <c r="R204" s="385"/>
      <c r="S204" s="385"/>
      <c r="T204" s="385"/>
      <c r="U204" s="385"/>
      <c r="V204" s="385"/>
      <c r="W204" s="385"/>
      <c r="X204" s="385"/>
      <c r="Y204" s="385"/>
      <c r="Z204" s="385"/>
      <c r="AA204" s="385"/>
      <c r="AB204" s="385"/>
      <c r="AC204" s="385"/>
      <c r="AD204" s="385"/>
      <c r="AE204" s="385"/>
      <c r="AF204" s="385"/>
      <c r="AG204" s="385"/>
      <c r="AH204" s="385"/>
      <c r="AI204" s="385"/>
      <c r="AJ204" s="385"/>
      <c r="AK204" s="385"/>
      <c r="AL204" s="385"/>
      <c r="AM204" s="385"/>
      <c r="AN204" s="385"/>
      <c r="AO204" s="385"/>
      <c r="AP204" s="385"/>
      <c r="AQ204" s="385"/>
      <c r="AR204" s="385"/>
      <c r="AS204" s="385"/>
      <c r="AT204" s="385"/>
      <c r="AU204" s="385"/>
      <c r="AV204" s="385"/>
      <c r="AW204" s="385"/>
      <c r="AX204" s="385"/>
    </row>
    <row r="205" spans="1:50" ht="10.8" hidden="1" thickTop="1" x14ac:dyDescent="0.2">
      <c r="A205" s="385"/>
      <c r="B205" s="385"/>
      <c r="C205" s="385"/>
      <c r="D205" s="445"/>
      <c r="E205" s="445"/>
      <c r="F205" s="445"/>
      <c r="G205" s="445"/>
      <c r="H205" s="385"/>
      <c r="I205" s="442"/>
      <c r="J205" s="442"/>
      <c r="K205" s="442"/>
      <c r="L205" s="442"/>
      <c r="M205" s="442"/>
      <c r="N205" s="442"/>
      <c r="O205" s="443"/>
      <c r="P205" s="385"/>
      <c r="Q205" s="385"/>
      <c r="R205" s="385"/>
      <c r="S205" s="385"/>
      <c r="T205" s="385"/>
      <c r="U205" s="385"/>
      <c r="V205" s="385"/>
      <c r="W205" s="385"/>
      <c r="X205" s="385"/>
      <c r="Y205" s="385"/>
      <c r="Z205" s="385"/>
      <c r="AA205" s="385"/>
      <c r="AB205" s="385"/>
      <c r="AC205" s="385"/>
      <c r="AD205" s="385"/>
      <c r="AE205" s="385"/>
      <c r="AF205" s="385"/>
      <c r="AG205" s="385"/>
      <c r="AH205" s="385"/>
      <c r="AI205" s="385"/>
      <c r="AJ205" s="385"/>
      <c r="AK205" s="385"/>
      <c r="AL205" s="385"/>
      <c r="AM205" s="385"/>
      <c r="AN205" s="385"/>
      <c r="AO205" s="385"/>
      <c r="AP205" s="385"/>
      <c r="AQ205" s="385"/>
      <c r="AR205" s="385"/>
      <c r="AS205" s="385"/>
      <c r="AT205" s="385"/>
      <c r="AU205" s="385"/>
      <c r="AV205" s="385"/>
      <c r="AW205" s="385"/>
      <c r="AX205" s="385"/>
    </row>
    <row r="206" spans="1:50" ht="10.8" hidden="1" thickTop="1" x14ac:dyDescent="0.2">
      <c r="A206" s="385"/>
      <c r="B206" s="385"/>
      <c r="C206" s="385"/>
      <c r="D206" s="445"/>
      <c r="E206" s="445"/>
      <c r="F206" s="445"/>
      <c r="G206" s="445"/>
      <c r="H206" s="385"/>
      <c r="I206" s="442"/>
      <c r="J206" s="442"/>
      <c r="K206" s="442"/>
      <c r="L206" s="442"/>
      <c r="M206" s="442"/>
      <c r="N206" s="442"/>
      <c r="O206" s="443"/>
      <c r="P206" s="385"/>
      <c r="Q206" s="385"/>
      <c r="R206" s="385"/>
      <c r="S206" s="385"/>
      <c r="T206" s="385"/>
      <c r="U206" s="385"/>
      <c r="V206" s="385"/>
      <c r="W206" s="385"/>
      <c r="X206" s="385"/>
      <c r="Y206" s="385"/>
      <c r="Z206" s="385"/>
      <c r="AA206" s="385"/>
      <c r="AB206" s="385"/>
      <c r="AC206" s="385"/>
      <c r="AD206" s="385"/>
      <c r="AE206" s="385"/>
      <c r="AF206" s="385"/>
      <c r="AG206" s="385"/>
      <c r="AH206" s="385"/>
      <c r="AI206" s="385"/>
      <c r="AJ206" s="385"/>
      <c r="AK206" s="385"/>
      <c r="AL206" s="385"/>
      <c r="AM206" s="385"/>
      <c r="AN206" s="385"/>
      <c r="AO206" s="385"/>
      <c r="AP206" s="385"/>
      <c r="AQ206" s="385"/>
      <c r="AR206" s="385"/>
      <c r="AS206" s="385"/>
      <c r="AT206" s="385"/>
      <c r="AU206" s="385"/>
      <c r="AV206" s="385"/>
      <c r="AW206" s="385"/>
      <c r="AX206" s="385"/>
    </row>
    <row r="207" spans="1:50" ht="10.8" hidden="1" thickTop="1" x14ac:dyDescent="0.2">
      <c r="A207" s="385"/>
      <c r="B207" s="385"/>
      <c r="C207" s="385"/>
      <c r="D207" s="445"/>
      <c r="E207" s="445"/>
      <c r="F207" s="445"/>
      <c r="G207" s="445"/>
      <c r="H207" s="385"/>
      <c r="I207" s="442"/>
      <c r="J207" s="442"/>
      <c r="K207" s="442"/>
      <c r="L207" s="442"/>
      <c r="M207" s="442"/>
      <c r="N207" s="442"/>
      <c r="O207" s="443"/>
      <c r="P207" s="385"/>
      <c r="Q207" s="385"/>
      <c r="R207" s="385"/>
      <c r="S207" s="385"/>
      <c r="T207" s="385"/>
      <c r="U207" s="385"/>
      <c r="V207" s="385"/>
      <c r="W207" s="385"/>
      <c r="X207" s="385"/>
      <c r="Y207" s="385"/>
      <c r="Z207" s="385"/>
      <c r="AA207" s="385"/>
      <c r="AB207" s="385"/>
      <c r="AC207" s="385"/>
      <c r="AD207" s="385"/>
      <c r="AE207" s="385"/>
      <c r="AF207" s="385"/>
      <c r="AG207" s="385"/>
      <c r="AH207" s="385"/>
      <c r="AI207" s="385"/>
      <c r="AJ207" s="385"/>
      <c r="AK207" s="385"/>
      <c r="AL207" s="385"/>
      <c r="AM207" s="385"/>
      <c r="AN207" s="385"/>
      <c r="AO207" s="385"/>
      <c r="AP207" s="385"/>
      <c r="AQ207" s="385"/>
      <c r="AR207" s="385"/>
      <c r="AS207" s="385"/>
      <c r="AT207" s="385"/>
      <c r="AU207" s="385"/>
      <c r="AV207" s="385"/>
      <c r="AW207" s="385"/>
      <c r="AX207" s="385"/>
    </row>
    <row r="208" spans="1:50" ht="10.8" hidden="1" thickTop="1" x14ac:dyDescent="0.2">
      <c r="A208" s="385"/>
      <c r="B208" s="385"/>
      <c r="C208" s="385"/>
      <c r="D208" s="385"/>
      <c r="E208" s="385"/>
      <c r="F208" s="385"/>
      <c r="G208" s="385"/>
      <c r="H208" s="385"/>
      <c r="I208" s="442"/>
      <c r="J208" s="442"/>
      <c r="K208" s="442"/>
      <c r="L208" s="442"/>
      <c r="M208" s="442"/>
      <c r="N208" s="442"/>
      <c r="O208" s="443"/>
      <c r="P208" s="385"/>
      <c r="Q208" s="385"/>
      <c r="R208" s="385"/>
      <c r="S208" s="385"/>
      <c r="T208" s="385"/>
      <c r="U208" s="385"/>
      <c r="V208" s="385"/>
      <c r="W208" s="385"/>
      <c r="X208" s="385"/>
      <c r="Y208" s="385"/>
      <c r="Z208" s="385"/>
      <c r="AA208" s="385"/>
      <c r="AB208" s="385"/>
      <c r="AC208" s="385"/>
      <c r="AD208" s="385"/>
      <c r="AE208" s="385"/>
      <c r="AF208" s="385"/>
      <c r="AG208" s="385"/>
      <c r="AH208" s="385"/>
      <c r="AI208" s="385"/>
      <c r="AJ208" s="385"/>
      <c r="AK208" s="385"/>
      <c r="AL208" s="385"/>
      <c r="AM208" s="385"/>
      <c r="AN208" s="385"/>
      <c r="AO208" s="385"/>
      <c r="AP208" s="385"/>
      <c r="AQ208" s="385"/>
      <c r="AR208" s="385"/>
      <c r="AS208" s="385"/>
      <c r="AT208" s="385"/>
      <c r="AU208" s="385"/>
      <c r="AV208" s="385"/>
      <c r="AW208" s="385"/>
      <c r="AX208" s="385"/>
    </row>
    <row r="209" spans="1:50" ht="10.8" hidden="1" thickTop="1" x14ac:dyDescent="0.2">
      <c r="A209" s="385"/>
      <c r="B209" s="385"/>
      <c r="C209" s="385"/>
      <c r="D209" s="385"/>
      <c r="E209" s="385"/>
      <c r="F209" s="385"/>
      <c r="G209" s="385"/>
      <c r="H209" s="385"/>
      <c r="I209" s="442"/>
      <c r="J209" s="442"/>
      <c r="K209" s="442"/>
      <c r="L209" s="442"/>
      <c r="M209" s="442"/>
      <c r="N209" s="442"/>
      <c r="O209" s="443"/>
      <c r="P209" s="385"/>
      <c r="Q209" s="385"/>
      <c r="R209" s="385"/>
      <c r="S209" s="385"/>
      <c r="T209" s="385"/>
      <c r="U209" s="385"/>
      <c r="V209" s="385"/>
      <c r="W209" s="385"/>
      <c r="X209" s="385"/>
      <c r="Y209" s="385"/>
      <c r="Z209" s="385"/>
      <c r="AA209" s="385"/>
      <c r="AB209" s="385"/>
      <c r="AC209" s="385"/>
      <c r="AD209" s="385"/>
      <c r="AE209" s="385"/>
      <c r="AF209" s="385"/>
      <c r="AG209" s="385"/>
      <c r="AH209" s="385"/>
      <c r="AI209" s="385"/>
      <c r="AJ209" s="385"/>
      <c r="AK209" s="385"/>
      <c r="AL209" s="385"/>
      <c r="AM209" s="385"/>
      <c r="AN209" s="385"/>
      <c r="AO209" s="385"/>
      <c r="AP209" s="385"/>
      <c r="AQ209" s="385"/>
      <c r="AR209" s="385"/>
      <c r="AS209" s="385"/>
      <c r="AT209" s="385"/>
      <c r="AU209" s="385"/>
      <c r="AV209" s="385"/>
      <c r="AW209" s="385"/>
      <c r="AX209" s="385"/>
    </row>
    <row r="210" spans="1:50" ht="10.8" hidden="1" thickTop="1" x14ac:dyDescent="0.2">
      <c r="A210" s="385"/>
      <c r="B210" s="444"/>
      <c r="C210" s="385"/>
      <c r="D210" s="385"/>
      <c r="E210" s="385"/>
      <c r="F210" s="385"/>
      <c r="G210" s="385"/>
      <c r="H210" s="385"/>
      <c r="I210" s="442"/>
      <c r="J210" s="442"/>
      <c r="K210" s="442"/>
      <c r="L210" s="442"/>
      <c r="M210" s="442"/>
      <c r="N210" s="442"/>
      <c r="O210" s="443"/>
      <c r="P210" s="385"/>
      <c r="Q210" s="385"/>
      <c r="R210" s="385"/>
      <c r="S210" s="385"/>
      <c r="T210" s="385"/>
      <c r="U210" s="385"/>
      <c r="V210" s="385"/>
      <c r="W210" s="385"/>
      <c r="X210" s="385"/>
      <c r="Y210" s="385"/>
      <c r="Z210" s="385"/>
      <c r="AA210" s="385"/>
      <c r="AB210" s="385"/>
      <c r="AC210" s="385"/>
      <c r="AD210" s="385"/>
      <c r="AE210" s="385"/>
      <c r="AF210" s="385"/>
      <c r="AG210" s="385"/>
      <c r="AH210" s="385"/>
      <c r="AI210" s="385"/>
      <c r="AJ210" s="385"/>
      <c r="AK210" s="385"/>
      <c r="AL210" s="385"/>
      <c r="AM210" s="385"/>
      <c r="AN210" s="385"/>
      <c r="AO210" s="385"/>
      <c r="AP210" s="385"/>
      <c r="AQ210" s="385"/>
      <c r="AR210" s="385"/>
      <c r="AS210" s="385"/>
      <c r="AT210" s="385"/>
      <c r="AU210" s="385"/>
      <c r="AV210" s="385"/>
      <c r="AW210" s="385"/>
      <c r="AX210" s="385"/>
    </row>
    <row r="211" spans="1:50" ht="10.8" hidden="1" thickTop="1" x14ac:dyDescent="0.2">
      <c r="A211" s="385"/>
      <c r="B211" s="385"/>
      <c r="C211" s="385"/>
      <c r="D211" s="385"/>
      <c r="E211" s="385"/>
      <c r="F211" s="385"/>
      <c r="G211" s="385"/>
      <c r="H211" s="385"/>
      <c r="I211" s="442"/>
      <c r="J211" s="442"/>
      <c r="K211" s="442"/>
      <c r="L211" s="442"/>
      <c r="M211" s="442"/>
      <c r="N211" s="442"/>
      <c r="O211" s="443"/>
      <c r="P211" s="385"/>
      <c r="Q211" s="385"/>
      <c r="R211" s="385"/>
      <c r="S211" s="385"/>
      <c r="T211" s="385"/>
      <c r="U211" s="385"/>
      <c r="V211" s="385"/>
      <c r="W211" s="385"/>
      <c r="X211" s="385"/>
      <c r="Y211" s="385"/>
      <c r="Z211" s="385"/>
      <c r="AA211" s="385"/>
      <c r="AB211" s="385"/>
      <c r="AC211" s="385"/>
      <c r="AD211" s="385"/>
      <c r="AE211" s="385"/>
      <c r="AF211" s="385"/>
      <c r="AG211" s="385"/>
      <c r="AH211" s="385"/>
      <c r="AI211" s="385"/>
      <c r="AJ211" s="385"/>
      <c r="AK211" s="385"/>
      <c r="AL211" s="385"/>
      <c r="AM211" s="385"/>
      <c r="AN211" s="385"/>
      <c r="AO211" s="385"/>
      <c r="AP211" s="385"/>
      <c r="AQ211" s="385"/>
      <c r="AR211" s="385"/>
      <c r="AS211" s="385"/>
      <c r="AT211" s="385"/>
      <c r="AU211" s="385"/>
      <c r="AV211" s="385"/>
      <c r="AW211" s="385"/>
      <c r="AX211" s="385"/>
    </row>
    <row r="212" spans="1:50" ht="10.8" hidden="1" thickTop="1" x14ac:dyDescent="0.2">
      <c r="A212" s="385"/>
      <c r="B212" s="385"/>
      <c r="C212" s="385"/>
      <c r="D212" s="445"/>
      <c r="E212" s="385"/>
      <c r="F212" s="450"/>
      <c r="G212" s="451"/>
      <c r="H212" s="452"/>
      <c r="I212" s="442"/>
      <c r="J212" s="442"/>
      <c r="K212" s="442"/>
      <c r="L212" s="442"/>
      <c r="M212" s="442"/>
      <c r="N212" s="442"/>
      <c r="O212" s="443"/>
      <c r="P212" s="385"/>
      <c r="Q212" s="385"/>
      <c r="R212" s="385"/>
      <c r="S212" s="385"/>
      <c r="T212" s="385"/>
      <c r="U212" s="385"/>
      <c r="V212" s="385"/>
      <c r="W212" s="385"/>
      <c r="X212" s="385"/>
      <c r="Y212" s="385"/>
      <c r="Z212" s="385"/>
      <c r="AA212" s="385"/>
      <c r="AB212" s="385"/>
      <c r="AC212" s="385"/>
      <c r="AD212" s="385"/>
      <c r="AE212" s="385"/>
      <c r="AF212" s="385"/>
      <c r="AG212" s="385"/>
      <c r="AH212" s="385"/>
      <c r="AI212" s="385"/>
      <c r="AJ212" s="385"/>
      <c r="AK212" s="385"/>
      <c r="AL212" s="385"/>
      <c r="AM212" s="385"/>
      <c r="AN212" s="385"/>
      <c r="AO212" s="385"/>
      <c r="AP212" s="385"/>
      <c r="AQ212" s="385"/>
      <c r="AR212" s="385"/>
      <c r="AS212" s="385"/>
      <c r="AT212" s="385"/>
      <c r="AU212" s="385"/>
      <c r="AV212" s="385"/>
      <c r="AW212" s="385"/>
      <c r="AX212" s="385"/>
    </row>
    <row r="213" spans="1:50" ht="10.8" hidden="1" thickTop="1" x14ac:dyDescent="0.2">
      <c r="A213" s="385"/>
      <c r="B213" s="446"/>
      <c r="C213" s="385"/>
      <c r="D213" s="445"/>
      <c r="E213" s="385"/>
      <c r="F213" s="450"/>
      <c r="G213" s="451"/>
      <c r="H213" s="452"/>
      <c r="I213" s="442"/>
      <c r="J213" s="442"/>
      <c r="K213" s="442"/>
      <c r="L213" s="442"/>
      <c r="M213" s="442"/>
      <c r="N213" s="442"/>
      <c r="O213" s="443"/>
      <c r="P213" s="385"/>
      <c r="Q213" s="385"/>
      <c r="R213" s="385"/>
      <c r="S213" s="385"/>
      <c r="T213" s="385"/>
      <c r="U213" s="385"/>
      <c r="V213" s="385"/>
      <c r="W213" s="385"/>
      <c r="X213" s="385"/>
      <c r="Y213" s="385"/>
      <c r="Z213" s="385"/>
      <c r="AA213" s="385"/>
      <c r="AB213" s="385"/>
      <c r="AC213" s="385"/>
      <c r="AD213" s="385"/>
      <c r="AE213" s="385"/>
      <c r="AF213" s="385"/>
      <c r="AG213" s="385"/>
      <c r="AH213" s="385"/>
      <c r="AI213" s="385"/>
      <c r="AJ213" s="385"/>
      <c r="AK213" s="385"/>
      <c r="AL213" s="385"/>
      <c r="AM213" s="385"/>
      <c r="AN213" s="385"/>
      <c r="AO213" s="385"/>
      <c r="AP213" s="385"/>
      <c r="AQ213" s="385"/>
      <c r="AR213" s="385"/>
      <c r="AS213" s="385"/>
      <c r="AT213" s="385"/>
      <c r="AU213" s="385"/>
      <c r="AV213" s="385"/>
      <c r="AW213" s="385"/>
      <c r="AX213" s="385"/>
    </row>
    <row r="214" spans="1:50" ht="10.8" hidden="1" thickTop="1" x14ac:dyDescent="0.2">
      <c r="A214" s="385"/>
      <c r="B214" s="385"/>
      <c r="C214" s="385"/>
      <c r="D214" s="445"/>
      <c r="E214" s="385"/>
      <c r="F214" s="450"/>
      <c r="G214" s="451"/>
      <c r="H214" s="452"/>
      <c r="I214" s="442"/>
      <c r="J214" s="442"/>
      <c r="K214" s="442"/>
      <c r="L214" s="442"/>
      <c r="M214" s="442"/>
      <c r="N214" s="442"/>
      <c r="O214" s="443"/>
      <c r="P214" s="385"/>
      <c r="Q214" s="385"/>
      <c r="R214" s="385"/>
      <c r="S214" s="385"/>
      <c r="T214" s="385"/>
      <c r="U214" s="385"/>
      <c r="V214" s="385"/>
      <c r="W214" s="385"/>
      <c r="X214" s="385"/>
      <c r="Y214" s="385"/>
      <c r="Z214" s="385"/>
      <c r="AA214" s="385"/>
      <c r="AB214" s="385"/>
      <c r="AC214" s="385"/>
      <c r="AD214" s="385"/>
      <c r="AE214" s="385"/>
      <c r="AF214" s="385"/>
      <c r="AG214" s="385"/>
      <c r="AH214" s="385"/>
      <c r="AI214" s="385"/>
      <c r="AJ214" s="385"/>
      <c r="AK214" s="385"/>
      <c r="AL214" s="385"/>
      <c r="AM214" s="385"/>
      <c r="AN214" s="385"/>
      <c r="AO214" s="385"/>
      <c r="AP214" s="385"/>
      <c r="AQ214" s="385"/>
      <c r="AR214" s="385"/>
      <c r="AS214" s="385"/>
      <c r="AT214" s="385"/>
      <c r="AU214" s="385"/>
      <c r="AV214" s="385"/>
      <c r="AW214" s="385"/>
      <c r="AX214" s="385"/>
    </row>
    <row r="215" spans="1:50" ht="10.8" hidden="1" thickTop="1" x14ac:dyDescent="0.2">
      <c r="A215" s="385"/>
      <c r="B215" s="385"/>
      <c r="C215" s="385"/>
      <c r="D215" s="445"/>
      <c r="E215" s="385"/>
      <c r="F215" s="450"/>
      <c r="G215" s="451"/>
      <c r="H215" s="452"/>
      <c r="I215" s="442"/>
      <c r="J215" s="442"/>
      <c r="K215" s="442"/>
      <c r="L215" s="442"/>
      <c r="M215" s="442"/>
      <c r="N215" s="442"/>
      <c r="O215" s="443"/>
      <c r="P215" s="385"/>
      <c r="Q215" s="385"/>
      <c r="R215" s="385"/>
      <c r="S215" s="385"/>
      <c r="T215" s="385"/>
      <c r="U215" s="385"/>
      <c r="V215" s="385"/>
      <c r="W215" s="385"/>
      <c r="X215" s="385"/>
      <c r="Y215" s="385"/>
      <c r="Z215" s="385"/>
      <c r="AA215" s="385"/>
      <c r="AB215" s="385"/>
      <c r="AC215" s="385"/>
      <c r="AD215" s="385"/>
      <c r="AE215" s="385"/>
      <c r="AF215" s="385"/>
      <c r="AG215" s="385"/>
      <c r="AH215" s="385"/>
      <c r="AI215" s="385"/>
      <c r="AJ215" s="385"/>
      <c r="AK215" s="385"/>
      <c r="AL215" s="385"/>
      <c r="AM215" s="385"/>
      <c r="AN215" s="385"/>
      <c r="AO215" s="385"/>
      <c r="AP215" s="385"/>
      <c r="AQ215" s="385"/>
      <c r="AR215" s="385"/>
      <c r="AS215" s="385"/>
      <c r="AT215" s="385"/>
      <c r="AU215" s="385"/>
      <c r="AV215" s="385"/>
      <c r="AW215" s="385"/>
      <c r="AX215" s="385"/>
    </row>
    <row r="216" spans="1:50" ht="10.8" hidden="1" thickTop="1" x14ac:dyDescent="0.2">
      <c r="A216" s="385"/>
      <c r="B216" s="385"/>
      <c r="C216" s="385"/>
      <c r="D216" s="385"/>
      <c r="E216" s="385"/>
      <c r="F216" s="450"/>
      <c r="G216" s="451"/>
      <c r="H216" s="452"/>
      <c r="I216" s="442"/>
      <c r="J216" s="442"/>
      <c r="K216" s="442"/>
      <c r="L216" s="442"/>
      <c r="M216" s="442"/>
      <c r="N216" s="442"/>
      <c r="O216" s="443"/>
      <c r="P216" s="385"/>
      <c r="Q216" s="385"/>
      <c r="R216" s="385"/>
      <c r="S216" s="385"/>
      <c r="T216" s="385"/>
      <c r="U216" s="385"/>
      <c r="V216" s="385"/>
      <c r="W216" s="385"/>
      <c r="X216" s="385"/>
      <c r="Y216" s="385"/>
      <c r="Z216" s="385"/>
      <c r="AA216" s="385"/>
      <c r="AB216" s="385"/>
      <c r="AC216" s="385"/>
      <c r="AD216" s="385"/>
      <c r="AE216" s="385"/>
      <c r="AF216" s="385"/>
      <c r="AG216" s="385"/>
      <c r="AH216" s="385"/>
      <c r="AI216" s="385"/>
      <c r="AJ216" s="385"/>
      <c r="AK216" s="385"/>
      <c r="AL216" s="385"/>
      <c r="AM216" s="385"/>
      <c r="AN216" s="385"/>
      <c r="AO216" s="385"/>
      <c r="AP216" s="385"/>
      <c r="AQ216" s="385"/>
      <c r="AR216" s="385"/>
      <c r="AS216" s="385"/>
      <c r="AT216" s="385"/>
      <c r="AU216" s="385"/>
      <c r="AV216" s="385"/>
      <c r="AW216" s="385"/>
      <c r="AX216" s="385"/>
    </row>
    <row r="217" spans="1:50" ht="10.8" hidden="1" thickTop="1" x14ac:dyDescent="0.2">
      <c r="A217" s="385"/>
      <c r="B217" s="385"/>
      <c r="C217" s="385"/>
      <c r="D217" s="385"/>
      <c r="E217" s="385"/>
      <c r="F217" s="450"/>
      <c r="G217" s="451"/>
      <c r="H217" s="452"/>
      <c r="I217" s="442"/>
      <c r="J217" s="442"/>
      <c r="K217" s="442"/>
      <c r="L217" s="442"/>
      <c r="M217" s="442"/>
      <c r="N217" s="442"/>
      <c r="O217" s="443"/>
      <c r="P217" s="385"/>
      <c r="Q217" s="385"/>
      <c r="R217" s="385"/>
      <c r="S217" s="385"/>
      <c r="T217" s="385"/>
      <c r="U217" s="385"/>
      <c r="V217" s="385"/>
      <c r="W217" s="385"/>
      <c r="X217" s="385"/>
      <c r="Y217" s="385"/>
      <c r="Z217" s="385"/>
      <c r="AA217" s="385"/>
      <c r="AB217" s="385"/>
      <c r="AC217" s="385"/>
      <c r="AD217" s="385"/>
      <c r="AE217" s="385"/>
      <c r="AF217" s="385"/>
      <c r="AG217" s="385"/>
      <c r="AH217" s="385"/>
      <c r="AI217" s="385"/>
      <c r="AJ217" s="385"/>
      <c r="AK217" s="385"/>
      <c r="AL217" s="385"/>
      <c r="AM217" s="385"/>
      <c r="AN217" s="385"/>
      <c r="AO217" s="385"/>
      <c r="AP217" s="385"/>
      <c r="AQ217" s="385"/>
      <c r="AR217" s="385"/>
      <c r="AS217" s="385"/>
      <c r="AT217" s="385"/>
      <c r="AU217" s="385"/>
      <c r="AV217" s="385"/>
      <c r="AW217" s="385"/>
      <c r="AX217" s="385"/>
    </row>
    <row r="218" spans="1:50" ht="10.8" hidden="1" thickTop="1" x14ac:dyDescent="0.2">
      <c r="A218" s="385"/>
      <c r="B218" s="385"/>
      <c r="C218" s="385"/>
      <c r="D218" s="385"/>
      <c r="E218" s="385"/>
      <c r="F218" s="450"/>
      <c r="G218" s="451"/>
      <c r="H218" s="452"/>
      <c r="I218" s="442"/>
      <c r="J218" s="442"/>
      <c r="K218" s="442"/>
      <c r="L218" s="442"/>
      <c r="M218" s="442"/>
      <c r="N218" s="442"/>
      <c r="O218" s="443"/>
      <c r="P218" s="385"/>
      <c r="Q218" s="385"/>
      <c r="R218" s="385"/>
      <c r="S218" s="385"/>
      <c r="T218" s="385"/>
      <c r="U218" s="385"/>
      <c r="V218" s="385"/>
      <c r="W218" s="385"/>
      <c r="X218" s="385"/>
      <c r="Y218" s="385"/>
      <c r="Z218" s="385"/>
      <c r="AA218" s="385"/>
      <c r="AB218" s="385"/>
      <c r="AC218" s="385"/>
      <c r="AD218" s="385"/>
      <c r="AE218" s="385"/>
      <c r="AF218" s="385"/>
      <c r="AG218" s="385"/>
      <c r="AH218" s="385"/>
      <c r="AI218" s="385"/>
      <c r="AJ218" s="385"/>
      <c r="AK218" s="385"/>
      <c r="AL218" s="385"/>
      <c r="AM218" s="385"/>
      <c r="AN218" s="385"/>
      <c r="AO218" s="385"/>
      <c r="AP218" s="385"/>
      <c r="AQ218" s="385"/>
      <c r="AR218" s="385"/>
      <c r="AS218" s="385"/>
      <c r="AT218" s="385"/>
      <c r="AU218" s="385"/>
      <c r="AV218" s="385"/>
      <c r="AW218" s="385"/>
      <c r="AX218" s="385"/>
    </row>
    <row r="219" spans="1:50" ht="10.8" hidden="1" thickTop="1" x14ac:dyDescent="0.2">
      <c r="A219" s="385"/>
      <c r="B219" s="385"/>
      <c r="C219" s="385"/>
      <c r="D219" s="385"/>
      <c r="E219" s="385"/>
      <c r="F219" s="450"/>
      <c r="G219" s="451"/>
      <c r="H219" s="452"/>
      <c r="I219" s="442"/>
      <c r="J219" s="442"/>
      <c r="K219" s="442"/>
      <c r="L219" s="442"/>
      <c r="M219" s="442"/>
      <c r="N219" s="442"/>
      <c r="O219" s="443"/>
      <c r="P219" s="385"/>
      <c r="Q219" s="385"/>
      <c r="R219" s="385"/>
      <c r="S219" s="385"/>
      <c r="T219" s="385"/>
      <c r="U219" s="385"/>
      <c r="V219" s="385"/>
      <c r="W219" s="385"/>
      <c r="X219" s="385"/>
      <c r="Y219" s="385"/>
      <c r="Z219" s="385"/>
      <c r="AA219" s="385"/>
      <c r="AB219" s="385"/>
      <c r="AC219" s="385"/>
      <c r="AD219" s="385"/>
      <c r="AE219" s="385"/>
      <c r="AF219" s="385"/>
      <c r="AG219" s="385"/>
      <c r="AH219" s="385"/>
      <c r="AI219" s="385"/>
      <c r="AJ219" s="385"/>
      <c r="AK219" s="385"/>
      <c r="AL219" s="385"/>
      <c r="AM219" s="385"/>
      <c r="AN219" s="385"/>
      <c r="AO219" s="385"/>
      <c r="AP219" s="385"/>
      <c r="AQ219" s="385"/>
      <c r="AR219" s="385"/>
      <c r="AS219" s="385"/>
      <c r="AT219" s="385"/>
      <c r="AU219" s="385"/>
      <c r="AV219" s="385"/>
      <c r="AW219" s="385"/>
      <c r="AX219" s="385"/>
    </row>
    <row r="220" spans="1:50" ht="10.8" hidden="1" thickTop="1" x14ac:dyDescent="0.2">
      <c r="A220" s="385"/>
      <c r="B220" s="385"/>
      <c r="C220" s="385"/>
      <c r="D220" s="385"/>
      <c r="E220" s="385"/>
      <c r="F220" s="385"/>
      <c r="G220" s="385"/>
      <c r="H220" s="385"/>
      <c r="I220" s="442"/>
      <c r="J220" s="442"/>
      <c r="K220" s="442"/>
      <c r="L220" s="442"/>
      <c r="M220" s="442"/>
      <c r="N220" s="442"/>
      <c r="O220" s="443"/>
      <c r="P220" s="385"/>
      <c r="Q220" s="385"/>
      <c r="R220" s="385"/>
      <c r="S220" s="385"/>
      <c r="T220" s="385"/>
      <c r="U220" s="385"/>
      <c r="V220" s="385"/>
      <c r="W220" s="385"/>
      <c r="X220" s="385"/>
      <c r="Y220" s="385"/>
      <c r="Z220" s="385"/>
      <c r="AA220" s="385"/>
      <c r="AB220" s="385"/>
      <c r="AC220" s="385"/>
      <c r="AD220" s="385"/>
      <c r="AE220" s="385"/>
      <c r="AF220" s="385"/>
      <c r="AG220" s="385"/>
      <c r="AH220" s="385"/>
      <c r="AI220" s="385"/>
      <c r="AJ220" s="385"/>
      <c r="AK220" s="385"/>
      <c r="AL220" s="385"/>
      <c r="AM220" s="385"/>
      <c r="AN220" s="385"/>
      <c r="AO220" s="385"/>
      <c r="AP220" s="385"/>
      <c r="AQ220" s="385"/>
      <c r="AR220" s="385"/>
      <c r="AS220" s="385"/>
      <c r="AT220" s="385"/>
      <c r="AU220" s="385"/>
      <c r="AV220" s="385"/>
      <c r="AW220" s="385"/>
      <c r="AX220" s="385"/>
    </row>
    <row r="221" spans="1:50" ht="10.8" hidden="1" thickTop="1" x14ac:dyDescent="0.2">
      <c r="A221" s="385"/>
      <c r="B221" s="385"/>
      <c r="C221" s="385"/>
      <c r="D221" s="385"/>
      <c r="E221" s="385"/>
      <c r="F221" s="385"/>
      <c r="G221" s="385"/>
      <c r="H221" s="385"/>
      <c r="I221" s="442"/>
      <c r="J221" s="442"/>
      <c r="K221" s="442"/>
      <c r="L221" s="442"/>
      <c r="M221" s="442"/>
      <c r="N221" s="442"/>
      <c r="O221" s="443"/>
      <c r="P221" s="385"/>
      <c r="Q221" s="385"/>
      <c r="R221" s="385"/>
      <c r="S221" s="385"/>
      <c r="T221" s="385"/>
      <c r="U221" s="385"/>
      <c r="V221" s="385"/>
      <c r="W221" s="385"/>
      <c r="X221" s="385"/>
      <c r="Y221" s="385"/>
      <c r="Z221" s="385"/>
      <c r="AA221" s="385"/>
      <c r="AB221" s="385"/>
      <c r="AC221" s="385"/>
      <c r="AD221" s="385"/>
      <c r="AE221" s="385"/>
      <c r="AF221" s="385"/>
      <c r="AG221" s="385"/>
      <c r="AH221" s="385"/>
      <c r="AI221" s="385"/>
      <c r="AJ221" s="385"/>
      <c r="AK221" s="385"/>
      <c r="AL221" s="385"/>
      <c r="AM221" s="385"/>
      <c r="AN221" s="385"/>
      <c r="AO221" s="385"/>
      <c r="AP221" s="385"/>
      <c r="AQ221" s="385"/>
      <c r="AR221" s="385"/>
      <c r="AS221" s="385"/>
      <c r="AT221" s="385"/>
      <c r="AU221" s="385"/>
      <c r="AV221" s="385"/>
      <c r="AW221" s="385"/>
      <c r="AX221" s="385"/>
    </row>
    <row r="222" spans="1:50" ht="10.8" hidden="1" thickTop="1" x14ac:dyDescent="0.2">
      <c r="A222" s="385"/>
      <c r="B222" s="385"/>
      <c r="C222" s="385"/>
      <c r="D222" s="385"/>
      <c r="E222" s="385"/>
      <c r="F222" s="385"/>
      <c r="G222" s="385"/>
      <c r="H222" s="385"/>
      <c r="I222" s="442"/>
      <c r="J222" s="442"/>
      <c r="K222" s="442"/>
      <c r="L222" s="442"/>
      <c r="M222" s="442"/>
      <c r="N222" s="442"/>
      <c r="O222" s="443"/>
      <c r="P222" s="385"/>
      <c r="Q222" s="385"/>
      <c r="R222" s="385"/>
      <c r="S222" s="385"/>
      <c r="T222" s="385"/>
      <c r="U222" s="385"/>
      <c r="V222" s="385"/>
      <c r="W222" s="385"/>
      <c r="X222" s="385"/>
      <c r="Y222" s="385"/>
      <c r="Z222" s="385"/>
      <c r="AA222" s="385"/>
      <c r="AB222" s="385"/>
      <c r="AC222" s="385"/>
      <c r="AD222" s="385"/>
      <c r="AE222" s="385"/>
      <c r="AF222" s="385"/>
      <c r="AG222" s="385"/>
      <c r="AH222" s="385"/>
      <c r="AI222" s="385"/>
      <c r="AJ222" s="385"/>
      <c r="AK222" s="385"/>
      <c r="AL222" s="385"/>
      <c r="AM222" s="385"/>
      <c r="AN222" s="385"/>
      <c r="AO222" s="385"/>
      <c r="AP222" s="385"/>
      <c r="AQ222" s="385"/>
      <c r="AR222" s="385"/>
      <c r="AS222" s="385"/>
      <c r="AT222" s="385"/>
      <c r="AU222" s="385"/>
      <c r="AV222" s="385"/>
      <c r="AW222" s="385"/>
      <c r="AX222" s="385"/>
    </row>
    <row r="223" spans="1:50" ht="13.5" hidden="1" customHeight="1" x14ac:dyDescent="0.2">
      <c r="A223" s="385"/>
      <c r="B223" s="385"/>
      <c r="C223" s="385"/>
      <c r="D223" s="385"/>
      <c r="E223" s="385"/>
      <c r="F223" s="385"/>
      <c r="G223" s="385"/>
      <c r="H223" s="385"/>
      <c r="I223" s="442"/>
      <c r="J223" s="442"/>
      <c r="K223" s="442"/>
      <c r="L223" s="442"/>
      <c r="M223" s="442"/>
      <c r="N223" s="442"/>
      <c r="O223" s="443"/>
      <c r="P223" s="385"/>
      <c r="Q223" s="385"/>
      <c r="R223" s="385"/>
      <c r="S223" s="385"/>
      <c r="T223" s="385"/>
      <c r="U223" s="385"/>
      <c r="V223" s="385"/>
      <c r="W223" s="385"/>
      <c r="X223" s="385"/>
      <c r="Y223" s="385"/>
      <c r="Z223" s="385"/>
      <c r="AA223" s="385"/>
      <c r="AB223" s="385"/>
      <c r="AC223" s="385"/>
      <c r="AD223" s="385"/>
      <c r="AE223" s="385"/>
      <c r="AF223" s="385"/>
      <c r="AG223" s="385"/>
      <c r="AH223" s="385"/>
      <c r="AI223" s="385"/>
      <c r="AJ223" s="385"/>
      <c r="AK223" s="385"/>
      <c r="AL223" s="385"/>
      <c r="AM223" s="385"/>
      <c r="AN223" s="385"/>
      <c r="AO223" s="385"/>
      <c r="AP223" s="385"/>
      <c r="AQ223" s="385"/>
      <c r="AR223" s="385"/>
      <c r="AS223" s="385"/>
      <c r="AT223" s="385"/>
      <c r="AU223" s="385"/>
      <c r="AV223" s="385"/>
      <c r="AW223" s="385"/>
      <c r="AX223" s="385"/>
    </row>
    <row r="224" spans="1:50" ht="10.8" hidden="1" thickTop="1" x14ac:dyDescent="0.2">
      <c r="A224" s="385"/>
      <c r="B224" s="385"/>
      <c r="C224" s="385"/>
      <c r="D224" s="385"/>
      <c r="E224" s="385"/>
      <c r="F224" s="385"/>
      <c r="G224" s="385"/>
      <c r="H224" s="385"/>
      <c r="I224" s="442"/>
      <c r="J224" s="442"/>
      <c r="K224" s="442"/>
      <c r="L224" s="442"/>
      <c r="M224" s="442"/>
      <c r="N224" s="442"/>
      <c r="O224" s="443"/>
      <c r="P224" s="385"/>
      <c r="Q224" s="385"/>
      <c r="R224" s="385"/>
      <c r="S224" s="385"/>
      <c r="T224" s="385"/>
      <c r="U224" s="385"/>
      <c r="V224" s="385"/>
      <c r="W224" s="385"/>
      <c r="X224" s="385"/>
      <c r="Y224" s="385"/>
      <c r="Z224" s="385"/>
      <c r="AA224" s="385"/>
      <c r="AB224" s="385"/>
      <c r="AC224" s="385"/>
      <c r="AD224" s="385"/>
      <c r="AE224" s="385"/>
      <c r="AF224" s="385"/>
      <c r="AG224" s="385"/>
      <c r="AH224" s="385"/>
      <c r="AI224" s="385"/>
      <c r="AJ224" s="385"/>
      <c r="AK224" s="385"/>
      <c r="AL224" s="385"/>
      <c r="AM224" s="385"/>
      <c r="AN224" s="385"/>
      <c r="AO224" s="385"/>
      <c r="AP224" s="385"/>
      <c r="AQ224" s="385"/>
      <c r="AR224" s="385"/>
      <c r="AS224" s="385"/>
      <c r="AT224" s="385"/>
      <c r="AU224" s="385"/>
      <c r="AV224" s="385"/>
      <c r="AW224" s="385"/>
      <c r="AX224" s="385"/>
    </row>
    <row r="225" spans="1:50" ht="10.8" hidden="1" thickTop="1" x14ac:dyDescent="0.2">
      <c r="A225" s="385"/>
      <c r="B225" s="385"/>
      <c r="C225" s="385"/>
      <c r="D225" s="385"/>
      <c r="E225" s="385"/>
      <c r="F225" s="385"/>
      <c r="G225" s="385"/>
      <c r="H225" s="385"/>
      <c r="I225" s="442"/>
      <c r="J225" s="442"/>
      <c r="K225" s="442"/>
      <c r="L225" s="442"/>
      <c r="M225" s="442"/>
      <c r="N225" s="442"/>
      <c r="O225" s="443"/>
      <c r="P225" s="385"/>
      <c r="Q225" s="385"/>
      <c r="R225" s="385"/>
      <c r="S225" s="385"/>
      <c r="T225" s="385"/>
      <c r="U225" s="385"/>
      <c r="V225" s="385"/>
      <c r="W225" s="385"/>
      <c r="X225" s="385"/>
      <c r="Y225" s="385"/>
      <c r="Z225" s="385"/>
      <c r="AA225" s="385"/>
      <c r="AB225" s="385"/>
      <c r="AC225" s="385"/>
      <c r="AD225" s="385"/>
      <c r="AE225" s="385"/>
      <c r="AF225" s="385"/>
      <c r="AG225" s="385"/>
      <c r="AH225" s="385"/>
      <c r="AI225" s="385"/>
      <c r="AJ225" s="385"/>
      <c r="AK225" s="385"/>
      <c r="AL225" s="385"/>
      <c r="AM225" s="385"/>
      <c r="AN225" s="385"/>
      <c r="AO225" s="385"/>
      <c r="AP225" s="385"/>
      <c r="AQ225" s="385"/>
      <c r="AR225" s="385"/>
      <c r="AS225" s="385"/>
      <c r="AT225" s="385"/>
      <c r="AU225" s="385"/>
      <c r="AV225" s="385"/>
      <c r="AW225" s="385"/>
      <c r="AX225" s="385"/>
    </row>
    <row r="226" spans="1:50" ht="10.8" hidden="1" thickTop="1" x14ac:dyDescent="0.2">
      <c r="A226" s="385"/>
      <c r="B226" s="385"/>
      <c r="C226" s="385"/>
      <c r="D226" s="385"/>
      <c r="E226" s="385"/>
      <c r="F226" s="385"/>
      <c r="G226" s="385"/>
      <c r="H226" s="385"/>
      <c r="I226" s="442"/>
      <c r="J226" s="442"/>
      <c r="K226" s="442"/>
      <c r="L226" s="442"/>
      <c r="M226" s="442"/>
      <c r="N226" s="442"/>
      <c r="O226" s="443"/>
      <c r="P226" s="385"/>
      <c r="Q226" s="385"/>
      <c r="R226" s="385"/>
      <c r="S226" s="385"/>
      <c r="T226" s="385"/>
      <c r="U226" s="385"/>
      <c r="V226" s="385"/>
      <c r="W226" s="385"/>
      <c r="X226" s="385"/>
      <c r="Y226" s="385"/>
      <c r="Z226" s="385"/>
      <c r="AA226" s="385"/>
      <c r="AB226" s="385"/>
      <c r="AC226" s="385"/>
      <c r="AD226" s="385"/>
      <c r="AE226" s="385"/>
      <c r="AF226" s="385"/>
      <c r="AG226" s="385"/>
      <c r="AH226" s="385"/>
      <c r="AI226" s="385"/>
      <c r="AJ226" s="385"/>
      <c r="AK226" s="385"/>
      <c r="AL226" s="385"/>
      <c r="AM226" s="385"/>
      <c r="AN226" s="385"/>
      <c r="AO226" s="385"/>
      <c r="AP226" s="385"/>
      <c r="AQ226" s="385"/>
      <c r="AR226" s="385"/>
      <c r="AS226" s="385"/>
      <c r="AT226" s="385"/>
      <c r="AU226" s="385"/>
      <c r="AV226" s="385"/>
      <c r="AW226" s="385"/>
      <c r="AX226" s="385"/>
    </row>
    <row r="227" spans="1:50" ht="10.8" hidden="1" thickTop="1" x14ac:dyDescent="0.2">
      <c r="A227" s="385"/>
      <c r="B227" s="385"/>
      <c r="C227" s="385"/>
      <c r="D227" s="385"/>
      <c r="E227" s="385"/>
      <c r="F227" s="453"/>
      <c r="G227" s="451"/>
      <c r="H227" s="452"/>
      <c r="I227" s="442"/>
      <c r="J227" s="442"/>
      <c r="K227" s="442"/>
      <c r="L227" s="442"/>
      <c r="M227" s="442"/>
      <c r="N227" s="442"/>
      <c r="O227" s="443"/>
      <c r="P227" s="385"/>
      <c r="Q227" s="385"/>
      <c r="R227" s="385"/>
      <c r="S227" s="385"/>
      <c r="T227" s="385"/>
      <c r="U227" s="385"/>
      <c r="V227" s="385"/>
      <c r="W227" s="385"/>
      <c r="X227" s="385"/>
      <c r="Y227" s="385"/>
      <c r="Z227" s="385"/>
      <c r="AA227" s="385"/>
      <c r="AB227" s="385"/>
      <c r="AC227" s="385"/>
      <c r="AD227" s="385"/>
      <c r="AE227" s="385"/>
      <c r="AF227" s="385"/>
      <c r="AG227" s="385"/>
      <c r="AH227" s="385"/>
      <c r="AI227" s="385"/>
      <c r="AJ227" s="385"/>
      <c r="AK227" s="385"/>
      <c r="AL227" s="385"/>
      <c r="AM227" s="385"/>
      <c r="AN227" s="385"/>
      <c r="AO227" s="385"/>
      <c r="AP227" s="385"/>
      <c r="AQ227" s="385"/>
      <c r="AR227" s="385"/>
      <c r="AS227" s="385"/>
      <c r="AT227" s="385"/>
      <c r="AU227" s="385"/>
      <c r="AV227" s="385"/>
      <c r="AW227" s="385"/>
      <c r="AX227" s="385"/>
    </row>
    <row r="228" spans="1:50" ht="10.8" hidden="1" thickTop="1" x14ac:dyDescent="0.2">
      <c r="A228" s="385"/>
      <c r="B228" s="446"/>
      <c r="C228" s="385"/>
      <c r="D228" s="385"/>
      <c r="E228" s="385"/>
      <c r="F228" s="453"/>
      <c r="G228" s="451"/>
      <c r="H228" s="452"/>
      <c r="I228" s="442"/>
      <c r="J228" s="442"/>
      <c r="K228" s="442"/>
      <c r="L228" s="442"/>
      <c r="M228" s="442"/>
      <c r="N228" s="442"/>
      <c r="O228" s="443"/>
      <c r="P228" s="385"/>
      <c r="Q228" s="385"/>
      <c r="R228" s="385"/>
      <c r="S228" s="385"/>
      <c r="T228" s="385"/>
      <c r="U228" s="385"/>
      <c r="V228" s="385"/>
      <c r="W228" s="385"/>
      <c r="X228" s="385"/>
      <c r="Y228" s="385"/>
      <c r="Z228" s="385"/>
      <c r="AA228" s="385"/>
      <c r="AB228" s="385"/>
      <c r="AC228" s="385"/>
      <c r="AD228" s="385"/>
      <c r="AE228" s="385"/>
      <c r="AF228" s="385"/>
      <c r="AG228" s="385"/>
      <c r="AH228" s="385"/>
      <c r="AI228" s="385"/>
      <c r="AJ228" s="385"/>
      <c r="AK228" s="385"/>
      <c r="AL228" s="385"/>
      <c r="AM228" s="385"/>
      <c r="AN228" s="385"/>
      <c r="AO228" s="385"/>
      <c r="AP228" s="385"/>
      <c r="AQ228" s="385"/>
      <c r="AR228" s="385"/>
      <c r="AS228" s="385"/>
      <c r="AT228" s="385"/>
      <c r="AU228" s="385"/>
      <c r="AV228" s="385"/>
      <c r="AW228" s="385"/>
      <c r="AX228" s="385"/>
    </row>
    <row r="229" spans="1:50" ht="10.8" hidden="1" thickTop="1" x14ac:dyDescent="0.2">
      <c r="A229" s="385"/>
      <c r="B229" s="446"/>
      <c r="C229" s="385"/>
      <c r="D229" s="385"/>
      <c r="E229" s="385"/>
      <c r="F229" s="385"/>
      <c r="G229" s="385"/>
      <c r="H229" s="385"/>
      <c r="I229" s="442"/>
      <c r="J229" s="442"/>
      <c r="K229" s="442"/>
      <c r="L229" s="442"/>
      <c r="M229" s="442"/>
      <c r="N229" s="442"/>
      <c r="O229" s="443"/>
      <c r="P229" s="385"/>
      <c r="Q229" s="385"/>
      <c r="R229" s="385"/>
      <c r="S229" s="385"/>
      <c r="T229" s="385"/>
      <c r="U229" s="385"/>
      <c r="V229" s="385"/>
      <c r="W229" s="385"/>
      <c r="X229" s="385"/>
      <c r="Y229" s="385"/>
      <c r="Z229" s="385"/>
      <c r="AA229" s="385"/>
      <c r="AB229" s="385"/>
      <c r="AC229" s="385"/>
      <c r="AD229" s="385"/>
      <c r="AE229" s="385"/>
      <c r="AF229" s="385"/>
      <c r="AG229" s="385"/>
      <c r="AH229" s="385"/>
      <c r="AI229" s="385"/>
      <c r="AJ229" s="385"/>
      <c r="AK229" s="385"/>
      <c r="AL229" s="385"/>
      <c r="AM229" s="385"/>
      <c r="AN229" s="385"/>
      <c r="AO229" s="385"/>
      <c r="AP229" s="385"/>
      <c r="AQ229" s="385"/>
      <c r="AR229" s="385"/>
      <c r="AS229" s="385"/>
      <c r="AT229" s="385"/>
      <c r="AU229" s="385"/>
      <c r="AV229" s="385"/>
      <c r="AW229" s="385"/>
      <c r="AX229" s="385"/>
    </row>
    <row r="230" spans="1:50" ht="10.8" hidden="1" thickTop="1" x14ac:dyDescent="0.2">
      <c r="A230" s="385"/>
      <c r="B230" s="444"/>
      <c r="C230" s="385"/>
      <c r="D230" s="385"/>
      <c r="E230" s="385"/>
      <c r="F230" s="385"/>
      <c r="G230" s="385"/>
      <c r="H230" s="385"/>
      <c r="I230" s="442"/>
      <c r="J230" s="442"/>
      <c r="K230" s="442"/>
      <c r="L230" s="442"/>
      <c r="M230" s="442"/>
      <c r="N230" s="442"/>
      <c r="O230" s="443"/>
      <c r="P230" s="385"/>
      <c r="Q230" s="385"/>
      <c r="R230" s="385"/>
      <c r="S230" s="385"/>
      <c r="T230" s="385"/>
      <c r="U230" s="385"/>
      <c r="V230" s="385"/>
      <c r="W230" s="385"/>
      <c r="X230" s="385"/>
      <c r="Y230" s="385"/>
      <c r="Z230" s="385"/>
      <c r="AA230" s="385"/>
      <c r="AB230" s="385"/>
      <c r="AC230" s="385"/>
      <c r="AD230" s="385"/>
      <c r="AE230" s="385"/>
      <c r="AF230" s="385"/>
      <c r="AG230" s="385"/>
      <c r="AH230" s="385"/>
      <c r="AI230" s="385"/>
      <c r="AJ230" s="385"/>
      <c r="AK230" s="385"/>
      <c r="AL230" s="385"/>
      <c r="AM230" s="385"/>
      <c r="AN230" s="385"/>
      <c r="AO230" s="385"/>
      <c r="AP230" s="385"/>
      <c r="AQ230" s="385"/>
      <c r="AR230" s="385"/>
      <c r="AS230" s="385"/>
      <c r="AT230" s="385"/>
      <c r="AU230" s="385"/>
      <c r="AV230" s="385"/>
      <c r="AW230" s="385"/>
      <c r="AX230" s="385"/>
    </row>
    <row r="231" spans="1:50" ht="10.8" hidden="1" thickTop="1" x14ac:dyDescent="0.2">
      <c r="A231" s="385"/>
      <c r="B231" s="385"/>
      <c r="C231" s="385"/>
      <c r="D231" s="385"/>
      <c r="E231" s="385"/>
      <c r="F231" s="385"/>
      <c r="G231" s="385"/>
      <c r="H231" s="385"/>
      <c r="I231" s="442"/>
      <c r="J231" s="442"/>
      <c r="K231" s="442"/>
      <c r="L231" s="442"/>
      <c r="M231" s="442"/>
      <c r="N231" s="442"/>
      <c r="O231" s="443"/>
      <c r="P231" s="385"/>
      <c r="Q231" s="385"/>
      <c r="R231" s="385"/>
      <c r="S231" s="385"/>
      <c r="T231" s="385"/>
      <c r="U231" s="385"/>
      <c r="V231" s="385"/>
      <c r="W231" s="385"/>
      <c r="X231" s="385"/>
      <c r="Y231" s="385"/>
      <c r="Z231" s="385"/>
      <c r="AA231" s="385"/>
      <c r="AB231" s="385"/>
      <c r="AC231" s="385"/>
      <c r="AD231" s="385"/>
      <c r="AE231" s="385"/>
      <c r="AF231" s="385"/>
      <c r="AG231" s="385"/>
      <c r="AH231" s="385"/>
      <c r="AI231" s="385"/>
      <c r="AJ231" s="385"/>
      <c r="AK231" s="385"/>
      <c r="AL231" s="385"/>
      <c r="AM231" s="385"/>
      <c r="AN231" s="385"/>
      <c r="AO231" s="385"/>
      <c r="AP231" s="385"/>
      <c r="AQ231" s="385"/>
      <c r="AR231" s="385"/>
      <c r="AS231" s="385"/>
      <c r="AT231" s="385"/>
      <c r="AU231" s="385"/>
      <c r="AV231" s="385"/>
      <c r="AW231" s="385"/>
      <c r="AX231" s="385"/>
    </row>
    <row r="232" spans="1:50" ht="10.8" hidden="1" thickTop="1" x14ac:dyDescent="0.2">
      <c r="A232" s="385"/>
      <c r="B232" s="385"/>
      <c r="C232" s="385"/>
      <c r="D232" s="445"/>
      <c r="E232" s="385"/>
      <c r="F232" s="450"/>
      <c r="G232" s="451"/>
      <c r="H232" s="452"/>
      <c r="I232" s="442"/>
      <c r="J232" s="442"/>
      <c r="K232" s="442"/>
      <c r="L232" s="442"/>
      <c r="M232" s="442"/>
      <c r="N232" s="442"/>
      <c r="O232" s="443"/>
      <c r="P232" s="385"/>
      <c r="Q232" s="385"/>
      <c r="R232" s="385"/>
      <c r="S232" s="385"/>
      <c r="T232" s="385"/>
      <c r="U232" s="385"/>
      <c r="V232" s="385"/>
      <c r="W232" s="385"/>
      <c r="X232" s="385"/>
      <c r="Y232" s="385"/>
      <c r="Z232" s="385"/>
      <c r="AA232" s="385"/>
      <c r="AB232" s="385"/>
      <c r="AC232" s="385"/>
      <c r="AD232" s="385"/>
      <c r="AE232" s="385"/>
      <c r="AF232" s="385"/>
      <c r="AG232" s="385"/>
      <c r="AH232" s="385"/>
      <c r="AI232" s="385"/>
      <c r="AJ232" s="385"/>
      <c r="AK232" s="385"/>
      <c r="AL232" s="385"/>
      <c r="AM232" s="385"/>
      <c r="AN232" s="385"/>
      <c r="AO232" s="385"/>
      <c r="AP232" s="385"/>
      <c r="AQ232" s="385"/>
      <c r="AR232" s="385"/>
      <c r="AS232" s="385"/>
      <c r="AT232" s="385"/>
      <c r="AU232" s="385"/>
      <c r="AV232" s="385"/>
      <c r="AW232" s="385"/>
      <c r="AX232" s="385"/>
    </row>
    <row r="233" spans="1:50" ht="10.8" hidden="1" thickTop="1" x14ac:dyDescent="0.2">
      <c r="A233" s="385"/>
      <c r="B233" s="446"/>
      <c r="C233" s="385"/>
      <c r="D233" s="445"/>
      <c r="E233" s="445"/>
      <c r="F233" s="450"/>
      <c r="G233" s="451"/>
      <c r="H233" s="452"/>
      <c r="I233" s="442"/>
      <c r="J233" s="442"/>
      <c r="K233" s="442"/>
      <c r="L233" s="442"/>
      <c r="M233" s="442"/>
      <c r="N233" s="442"/>
      <c r="O233" s="443"/>
      <c r="P233" s="385"/>
      <c r="Q233" s="385"/>
      <c r="R233" s="385"/>
      <c r="S233" s="385"/>
      <c r="T233" s="385"/>
      <c r="U233" s="385"/>
      <c r="V233" s="385"/>
      <c r="W233" s="385"/>
      <c r="X233" s="385"/>
      <c r="Y233" s="385"/>
      <c r="Z233" s="385"/>
      <c r="AA233" s="385"/>
      <c r="AB233" s="385"/>
      <c r="AC233" s="385"/>
      <c r="AD233" s="385"/>
      <c r="AE233" s="385"/>
      <c r="AF233" s="385"/>
      <c r="AG233" s="385"/>
      <c r="AH233" s="385"/>
      <c r="AI233" s="385"/>
      <c r="AJ233" s="385"/>
      <c r="AK233" s="385"/>
      <c r="AL233" s="385"/>
      <c r="AM233" s="385"/>
      <c r="AN233" s="385"/>
      <c r="AO233" s="385"/>
      <c r="AP233" s="385"/>
      <c r="AQ233" s="385"/>
      <c r="AR233" s="385"/>
      <c r="AS233" s="385"/>
      <c r="AT233" s="385"/>
      <c r="AU233" s="385"/>
      <c r="AV233" s="385"/>
      <c r="AW233" s="385"/>
      <c r="AX233" s="385"/>
    </row>
    <row r="234" spans="1:50" ht="10.8" hidden="1" thickTop="1" x14ac:dyDescent="0.2">
      <c r="A234" s="385"/>
      <c r="B234" s="385"/>
      <c r="C234" s="385"/>
      <c r="D234" s="445"/>
      <c r="E234" s="445"/>
      <c r="F234" s="450"/>
      <c r="G234" s="451"/>
      <c r="H234" s="452"/>
      <c r="I234" s="442"/>
      <c r="J234" s="442"/>
      <c r="K234" s="442"/>
      <c r="L234" s="442"/>
      <c r="M234" s="442"/>
      <c r="N234" s="442"/>
      <c r="O234" s="443"/>
      <c r="P234" s="385"/>
      <c r="Q234" s="385"/>
      <c r="R234" s="385"/>
      <c r="S234" s="385"/>
      <c r="T234" s="385"/>
      <c r="U234" s="385"/>
      <c r="V234" s="385"/>
      <c r="W234" s="385"/>
      <c r="X234" s="385"/>
      <c r="Y234" s="385"/>
      <c r="Z234" s="385"/>
      <c r="AA234" s="385"/>
      <c r="AB234" s="385"/>
      <c r="AC234" s="385"/>
      <c r="AD234" s="385"/>
      <c r="AE234" s="385"/>
      <c r="AF234" s="385"/>
      <c r="AG234" s="385"/>
      <c r="AH234" s="385"/>
      <c r="AI234" s="385"/>
      <c r="AJ234" s="385"/>
      <c r="AK234" s="385"/>
      <c r="AL234" s="385"/>
      <c r="AM234" s="385"/>
      <c r="AN234" s="385"/>
      <c r="AO234" s="385"/>
      <c r="AP234" s="385"/>
      <c r="AQ234" s="385"/>
      <c r="AR234" s="385"/>
      <c r="AS234" s="385"/>
      <c r="AT234" s="385"/>
      <c r="AU234" s="385"/>
      <c r="AV234" s="385"/>
      <c r="AW234" s="385"/>
      <c r="AX234" s="385"/>
    </row>
    <row r="235" spans="1:50" ht="10.8" hidden="1" thickTop="1" x14ac:dyDescent="0.2">
      <c r="A235" s="385"/>
      <c r="B235" s="385"/>
      <c r="C235" s="385"/>
      <c r="D235" s="445"/>
      <c r="E235" s="445"/>
      <c r="F235" s="450"/>
      <c r="G235" s="451"/>
      <c r="H235" s="452"/>
      <c r="I235" s="442"/>
      <c r="J235" s="442"/>
      <c r="K235" s="442"/>
      <c r="L235" s="442"/>
      <c r="M235" s="442"/>
      <c r="N235" s="442"/>
      <c r="O235" s="443"/>
      <c r="P235" s="385"/>
      <c r="Q235" s="385"/>
      <c r="R235" s="385"/>
      <c r="S235" s="385"/>
      <c r="T235" s="385"/>
      <c r="U235" s="385"/>
      <c r="V235" s="385"/>
      <c r="W235" s="385"/>
      <c r="X235" s="385"/>
      <c r="Y235" s="385"/>
      <c r="Z235" s="385"/>
      <c r="AA235" s="385"/>
      <c r="AB235" s="385"/>
      <c r="AC235" s="385"/>
      <c r="AD235" s="385"/>
      <c r="AE235" s="385"/>
      <c r="AF235" s="385"/>
      <c r="AG235" s="385"/>
      <c r="AH235" s="385"/>
      <c r="AI235" s="385"/>
      <c r="AJ235" s="385"/>
      <c r="AK235" s="385"/>
      <c r="AL235" s="385"/>
      <c r="AM235" s="385"/>
      <c r="AN235" s="385"/>
      <c r="AO235" s="385"/>
      <c r="AP235" s="385"/>
      <c r="AQ235" s="385"/>
      <c r="AR235" s="385"/>
      <c r="AS235" s="385"/>
      <c r="AT235" s="385"/>
      <c r="AU235" s="385"/>
      <c r="AV235" s="385"/>
      <c r="AW235" s="385"/>
      <c r="AX235" s="385"/>
    </row>
    <row r="236" spans="1:50" ht="10.8" hidden="1" thickTop="1" x14ac:dyDescent="0.2">
      <c r="A236" s="385"/>
      <c r="B236" s="385"/>
      <c r="C236" s="385"/>
      <c r="D236" s="445"/>
      <c r="E236" s="445"/>
      <c r="F236" s="450"/>
      <c r="G236" s="451"/>
      <c r="H236" s="452"/>
      <c r="I236" s="442"/>
      <c r="J236" s="442"/>
      <c r="K236" s="442"/>
      <c r="L236" s="442"/>
      <c r="M236" s="442"/>
      <c r="N236" s="442"/>
      <c r="O236" s="443"/>
      <c r="P236" s="385"/>
      <c r="Q236" s="385"/>
      <c r="R236" s="385"/>
      <c r="S236" s="385"/>
      <c r="T236" s="385"/>
      <c r="U236" s="385"/>
      <c r="V236" s="385"/>
      <c r="W236" s="385"/>
      <c r="X236" s="385"/>
      <c r="Y236" s="385"/>
      <c r="Z236" s="385"/>
      <c r="AA236" s="385"/>
      <c r="AB236" s="385"/>
      <c r="AC236" s="385"/>
      <c r="AD236" s="385"/>
      <c r="AE236" s="385"/>
      <c r="AF236" s="385"/>
      <c r="AG236" s="385"/>
      <c r="AH236" s="385"/>
      <c r="AI236" s="385"/>
      <c r="AJ236" s="385"/>
      <c r="AK236" s="385"/>
      <c r="AL236" s="385"/>
      <c r="AM236" s="385"/>
      <c r="AN236" s="385"/>
      <c r="AO236" s="385"/>
      <c r="AP236" s="385"/>
      <c r="AQ236" s="385"/>
      <c r="AR236" s="385"/>
      <c r="AS236" s="385"/>
      <c r="AT236" s="385"/>
      <c r="AU236" s="385"/>
      <c r="AV236" s="385"/>
      <c r="AW236" s="385"/>
      <c r="AX236" s="385"/>
    </row>
    <row r="237" spans="1:50" ht="10.8" hidden="1" thickTop="1" x14ac:dyDescent="0.2">
      <c r="A237" s="385"/>
      <c r="B237" s="385"/>
      <c r="C237" s="385"/>
      <c r="D237" s="445"/>
      <c r="E237" s="445"/>
      <c r="F237" s="450"/>
      <c r="G237" s="451"/>
      <c r="H237" s="452"/>
      <c r="I237" s="442"/>
      <c r="J237" s="442"/>
      <c r="K237" s="442"/>
      <c r="L237" s="442"/>
      <c r="M237" s="442"/>
      <c r="N237" s="442"/>
      <c r="O237" s="443"/>
      <c r="P237" s="385"/>
      <c r="Q237" s="385"/>
      <c r="R237" s="385"/>
      <c r="S237" s="385"/>
      <c r="T237" s="385"/>
      <c r="U237" s="385"/>
      <c r="V237" s="385"/>
      <c r="W237" s="385"/>
      <c r="X237" s="385"/>
      <c r="Y237" s="385"/>
      <c r="Z237" s="385"/>
      <c r="AA237" s="385"/>
      <c r="AB237" s="385"/>
      <c r="AC237" s="385"/>
      <c r="AD237" s="385"/>
      <c r="AE237" s="385"/>
      <c r="AF237" s="385"/>
      <c r="AG237" s="385"/>
      <c r="AH237" s="385"/>
      <c r="AI237" s="385"/>
      <c r="AJ237" s="385"/>
      <c r="AK237" s="385"/>
      <c r="AL237" s="385"/>
      <c r="AM237" s="385"/>
      <c r="AN237" s="385"/>
      <c r="AO237" s="385"/>
      <c r="AP237" s="385"/>
      <c r="AQ237" s="385"/>
      <c r="AR237" s="385"/>
      <c r="AS237" s="385"/>
      <c r="AT237" s="385"/>
      <c r="AU237" s="385"/>
      <c r="AV237" s="385"/>
      <c r="AW237" s="385"/>
      <c r="AX237" s="385"/>
    </row>
    <row r="238" spans="1:50" ht="10.8" hidden="1" thickTop="1" x14ac:dyDescent="0.2">
      <c r="A238" s="385"/>
      <c r="B238" s="385"/>
      <c r="C238" s="385"/>
      <c r="D238" s="385"/>
      <c r="E238" s="385"/>
      <c r="F238" s="450"/>
      <c r="G238" s="451"/>
      <c r="H238" s="452"/>
      <c r="I238" s="442"/>
      <c r="J238" s="442"/>
      <c r="K238" s="442"/>
      <c r="L238" s="442"/>
      <c r="M238" s="442"/>
      <c r="N238" s="442"/>
      <c r="O238" s="443"/>
      <c r="P238" s="385"/>
      <c r="Q238" s="385"/>
      <c r="R238" s="385"/>
      <c r="S238" s="385"/>
      <c r="T238" s="385"/>
      <c r="U238" s="385"/>
      <c r="V238" s="385"/>
      <c r="W238" s="385"/>
      <c r="X238" s="385"/>
      <c r="Y238" s="385"/>
      <c r="Z238" s="385"/>
      <c r="AA238" s="385"/>
      <c r="AB238" s="385"/>
      <c r="AC238" s="385"/>
      <c r="AD238" s="385"/>
      <c r="AE238" s="385"/>
      <c r="AF238" s="385"/>
      <c r="AG238" s="385"/>
      <c r="AH238" s="385"/>
      <c r="AI238" s="385"/>
      <c r="AJ238" s="385"/>
      <c r="AK238" s="385"/>
      <c r="AL238" s="385"/>
      <c r="AM238" s="385"/>
      <c r="AN238" s="385"/>
      <c r="AO238" s="385"/>
      <c r="AP238" s="385"/>
      <c r="AQ238" s="385"/>
      <c r="AR238" s="385"/>
      <c r="AS238" s="385"/>
      <c r="AT238" s="385"/>
      <c r="AU238" s="385"/>
      <c r="AV238" s="385"/>
      <c r="AW238" s="385"/>
      <c r="AX238" s="385"/>
    </row>
    <row r="239" spans="1:50" ht="10.8" hidden="1" thickTop="1" x14ac:dyDescent="0.2">
      <c r="A239" s="385"/>
      <c r="B239" s="385"/>
      <c r="C239" s="385"/>
      <c r="D239" s="385"/>
      <c r="E239" s="385"/>
      <c r="F239" s="450"/>
      <c r="G239" s="451"/>
      <c r="H239" s="452"/>
      <c r="I239" s="442"/>
      <c r="J239" s="442"/>
      <c r="K239" s="442"/>
      <c r="L239" s="442"/>
      <c r="M239" s="442"/>
      <c r="N239" s="442"/>
      <c r="O239" s="443"/>
      <c r="P239" s="385"/>
      <c r="Q239" s="385"/>
      <c r="R239" s="385"/>
      <c r="S239" s="385"/>
      <c r="T239" s="385"/>
      <c r="U239" s="385"/>
      <c r="V239" s="385"/>
      <c r="W239" s="385"/>
      <c r="X239" s="385"/>
      <c r="Y239" s="385"/>
      <c r="Z239" s="385"/>
      <c r="AA239" s="385"/>
      <c r="AB239" s="385"/>
      <c r="AC239" s="385"/>
      <c r="AD239" s="385"/>
      <c r="AE239" s="385"/>
      <c r="AF239" s="385"/>
      <c r="AG239" s="385"/>
      <c r="AH239" s="385"/>
      <c r="AI239" s="385"/>
      <c r="AJ239" s="385"/>
      <c r="AK239" s="385"/>
      <c r="AL239" s="385"/>
      <c r="AM239" s="385"/>
      <c r="AN239" s="385"/>
      <c r="AO239" s="385"/>
      <c r="AP239" s="385"/>
      <c r="AQ239" s="385"/>
      <c r="AR239" s="385"/>
      <c r="AS239" s="385"/>
      <c r="AT239" s="385"/>
      <c r="AU239" s="385"/>
      <c r="AV239" s="385"/>
      <c r="AW239" s="385"/>
      <c r="AX239" s="385"/>
    </row>
    <row r="240" spans="1:50" ht="10.8" hidden="1" thickTop="1" x14ac:dyDescent="0.2">
      <c r="A240" s="385"/>
      <c r="B240" s="385"/>
      <c r="C240" s="385"/>
      <c r="D240" s="385"/>
      <c r="E240" s="385"/>
      <c r="F240" s="385"/>
      <c r="G240" s="385"/>
      <c r="H240" s="385"/>
      <c r="I240" s="442"/>
      <c r="J240" s="442"/>
      <c r="K240" s="442"/>
      <c r="L240" s="442"/>
      <c r="M240" s="442"/>
      <c r="N240" s="442"/>
      <c r="O240" s="443"/>
      <c r="P240" s="385"/>
      <c r="Q240" s="385"/>
      <c r="R240" s="385"/>
      <c r="S240" s="385"/>
      <c r="T240" s="385"/>
      <c r="U240" s="385"/>
      <c r="V240" s="385"/>
      <c r="W240" s="385"/>
      <c r="X240" s="385"/>
      <c r="Y240" s="385"/>
      <c r="Z240" s="385"/>
      <c r="AA240" s="385"/>
      <c r="AB240" s="385"/>
      <c r="AC240" s="385"/>
      <c r="AD240" s="385"/>
      <c r="AE240" s="385"/>
      <c r="AF240" s="385"/>
      <c r="AG240" s="385"/>
      <c r="AH240" s="385"/>
      <c r="AI240" s="385"/>
      <c r="AJ240" s="385"/>
      <c r="AK240" s="385"/>
      <c r="AL240" s="385"/>
      <c r="AM240" s="385"/>
      <c r="AN240" s="385"/>
      <c r="AO240" s="385"/>
      <c r="AP240" s="385"/>
      <c r="AQ240" s="385"/>
      <c r="AR240" s="385"/>
      <c r="AS240" s="385"/>
      <c r="AT240" s="385"/>
      <c r="AU240" s="385"/>
      <c r="AV240" s="385"/>
      <c r="AW240" s="385"/>
      <c r="AX240" s="385"/>
    </row>
    <row r="241" spans="1:50" ht="10.8" hidden="1" thickTop="1" x14ac:dyDescent="0.2">
      <c r="A241" s="385"/>
      <c r="B241" s="385"/>
      <c r="C241" s="385"/>
      <c r="D241" s="385"/>
      <c r="E241" s="385"/>
      <c r="F241" s="385"/>
      <c r="G241" s="385"/>
      <c r="H241" s="385"/>
      <c r="I241" s="442"/>
      <c r="J241" s="442"/>
      <c r="K241" s="442"/>
      <c r="L241" s="442"/>
      <c r="M241" s="442"/>
      <c r="N241" s="442"/>
      <c r="O241" s="443"/>
      <c r="P241" s="385"/>
      <c r="Q241" s="385"/>
      <c r="R241" s="385"/>
      <c r="S241" s="385"/>
      <c r="T241" s="385"/>
      <c r="U241" s="385"/>
      <c r="V241" s="385"/>
      <c r="W241" s="385"/>
      <c r="X241" s="385"/>
      <c r="Y241" s="385"/>
      <c r="Z241" s="385"/>
      <c r="AA241" s="385"/>
      <c r="AB241" s="385"/>
      <c r="AC241" s="385"/>
      <c r="AD241" s="385"/>
      <c r="AE241" s="385"/>
      <c r="AF241" s="385"/>
      <c r="AG241" s="385"/>
      <c r="AH241" s="385"/>
      <c r="AI241" s="385"/>
      <c r="AJ241" s="385"/>
      <c r="AK241" s="385"/>
      <c r="AL241" s="385"/>
      <c r="AM241" s="385"/>
      <c r="AN241" s="385"/>
      <c r="AO241" s="385"/>
      <c r="AP241" s="385"/>
      <c r="AQ241" s="385"/>
      <c r="AR241" s="385"/>
      <c r="AS241" s="385"/>
      <c r="AT241" s="385"/>
      <c r="AU241" s="385"/>
      <c r="AV241" s="385"/>
      <c r="AW241" s="385"/>
      <c r="AX241" s="385"/>
    </row>
    <row r="242" spans="1:50" ht="10.8" hidden="1" thickTop="1" x14ac:dyDescent="0.2">
      <c r="A242" s="385"/>
      <c r="B242" s="385"/>
      <c r="C242" s="385"/>
      <c r="D242" s="385"/>
      <c r="E242" s="385"/>
      <c r="F242" s="385"/>
      <c r="G242" s="385"/>
      <c r="H242" s="385"/>
      <c r="I242" s="442"/>
      <c r="J242" s="442"/>
      <c r="K242" s="442"/>
      <c r="L242" s="442"/>
      <c r="M242" s="442"/>
      <c r="N242" s="442"/>
      <c r="O242" s="443"/>
      <c r="P242" s="385"/>
      <c r="Q242" s="385"/>
      <c r="R242" s="385"/>
      <c r="S242" s="385"/>
      <c r="T242" s="385"/>
      <c r="U242" s="385"/>
      <c r="V242" s="385"/>
      <c r="W242" s="385"/>
      <c r="X242" s="385"/>
      <c r="Y242" s="385"/>
      <c r="Z242" s="385"/>
      <c r="AA242" s="385"/>
      <c r="AB242" s="385"/>
      <c r="AC242" s="385"/>
      <c r="AD242" s="385"/>
      <c r="AE242" s="385"/>
      <c r="AF242" s="385"/>
      <c r="AG242" s="385"/>
      <c r="AH242" s="385"/>
      <c r="AI242" s="385"/>
      <c r="AJ242" s="385"/>
      <c r="AK242" s="385"/>
      <c r="AL242" s="385"/>
      <c r="AM242" s="385"/>
      <c r="AN242" s="385"/>
      <c r="AO242" s="385"/>
      <c r="AP242" s="385"/>
      <c r="AQ242" s="385"/>
      <c r="AR242" s="385"/>
      <c r="AS242" s="385"/>
      <c r="AT242" s="385"/>
      <c r="AU242" s="385"/>
      <c r="AV242" s="385"/>
      <c r="AW242" s="385"/>
      <c r="AX242" s="385"/>
    </row>
    <row r="243" spans="1:50" ht="10.8" hidden="1" thickTop="1" x14ac:dyDescent="0.2">
      <c r="A243" s="385"/>
      <c r="B243" s="385"/>
      <c r="C243" s="385"/>
      <c r="D243" s="385"/>
      <c r="E243" s="385"/>
      <c r="F243" s="385"/>
      <c r="G243" s="385"/>
      <c r="H243" s="385"/>
      <c r="I243" s="442"/>
      <c r="J243" s="442"/>
      <c r="K243" s="442"/>
      <c r="L243" s="442"/>
      <c r="M243" s="442"/>
      <c r="N243" s="442"/>
      <c r="O243" s="443"/>
      <c r="P243" s="385"/>
      <c r="Q243" s="385"/>
      <c r="R243" s="385"/>
      <c r="S243" s="385"/>
      <c r="T243" s="385"/>
      <c r="U243" s="385"/>
      <c r="V243" s="385"/>
      <c r="W243" s="385"/>
      <c r="X243" s="385"/>
      <c r="Y243" s="385"/>
      <c r="Z243" s="385"/>
      <c r="AA243" s="385"/>
      <c r="AB243" s="385"/>
      <c r="AC243" s="385"/>
      <c r="AD243" s="385"/>
      <c r="AE243" s="385"/>
      <c r="AF243" s="385"/>
      <c r="AG243" s="385"/>
      <c r="AH243" s="385"/>
      <c r="AI243" s="385"/>
      <c r="AJ243" s="385"/>
      <c r="AK243" s="385"/>
      <c r="AL243" s="385"/>
      <c r="AM243" s="385"/>
      <c r="AN243" s="385"/>
      <c r="AO243" s="385"/>
      <c r="AP243" s="385"/>
      <c r="AQ243" s="385"/>
      <c r="AR243" s="385"/>
      <c r="AS243" s="385"/>
      <c r="AT243" s="385"/>
      <c r="AU243" s="385"/>
      <c r="AV243" s="385"/>
      <c r="AW243" s="385"/>
      <c r="AX243" s="385"/>
    </row>
    <row r="244" spans="1:50" ht="10.8" hidden="1" thickTop="1" x14ac:dyDescent="0.2">
      <c r="A244" s="385"/>
      <c r="B244" s="385"/>
      <c r="C244" s="385"/>
      <c r="D244" s="385"/>
      <c r="E244" s="385"/>
      <c r="F244" s="385"/>
      <c r="G244" s="385"/>
      <c r="H244" s="385"/>
      <c r="I244" s="442"/>
      <c r="J244" s="442"/>
      <c r="K244" s="442"/>
      <c r="L244" s="442"/>
      <c r="M244" s="442"/>
      <c r="N244" s="442"/>
      <c r="O244" s="443"/>
      <c r="P244" s="385"/>
      <c r="Q244" s="385"/>
      <c r="R244" s="385"/>
      <c r="S244" s="385"/>
      <c r="T244" s="385"/>
      <c r="U244" s="385"/>
      <c r="V244" s="385"/>
      <c r="W244" s="385"/>
      <c r="X244" s="385"/>
      <c r="Y244" s="385"/>
      <c r="Z244" s="385"/>
      <c r="AA244" s="385"/>
      <c r="AB244" s="385"/>
      <c r="AC244" s="385"/>
      <c r="AD244" s="385"/>
      <c r="AE244" s="385"/>
      <c r="AF244" s="385"/>
      <c r="AG244" s="385"/>
      <c r="AH244" s="385"/>
      <c r="AI244" s="385"/>
      <c r="AJ244" s="385"/>
      <c r="AK244" s="385"/>
      <c r="AL244" s="385"/>
      <c r="AM244" s="385"/>
      <c r="AN244" s="385"/>
      <c r="AO244" s="385"/>
      <c r="AP244" s="385"/>
      <c r="AQ244" s="385"/>
      <c r="AR244" s="385"/>
      <c r="AS244" s="385"/>
      <c r="AT244" s="385"/>
      <c r="AU244" s="385"/>
      <c r="AV244" s="385"/>
      <c r="AW244" s="385"/>
      <c r="AX244" s="385"/>
    </row>
    <row r="245" spans="1:50" ht="10.8" hidden="1" thickTop="1" x14ac:dyDescent="0.2">
      <c r="A245" s="385"/>
      <c r="B245" s="444"/>
      <c r="C245" s="385"/>
      <c r="D245" s="385"/>
      <c r="E245" s="385"/>
      <c r="F245" s="385"/>
      <c r="G245" s="385"/>
      <c r="H245" s="385"/>
      <c r="I245" s="442"/>
      <c r="J245" s="442"/>
      <c r="K245" s="442"/>
      <c r="L245" s="442"/>
      <c r="M245" s="442"/>
      <c r="N245" s="442"/>
      <c r="O245" s="443"/>
      <c r="P245" s="385"/>
      <c r="Q245" s="385"/>
      <c r="R245" s="385"/>
      <c r="S245" s="385"/>
      <c r="T245" s="385"/>
      <c r="U245" s="385"/>
      <c r="V245" s="385"/>
      <c r="W245" s="385"/>
      <c r="X245" s="385"/>
      <c r="Y245" s="385"/>
      <c r="Z245" s="385"/>
      <c r="AA245" s="385"/>
      <c r="AB245" s="385"/>
      <c r="AC245" s="385"/>
      <c r="AD245" s="385"/>
      <c r="AE245" s="385"/>
      <c r="AF245" s="385"/>
      <c r="AG245" s="385"/>
      <c r="AH245" s="385"/>
      <c r="AI245" s="385"/>
      <c r="AJ245" s="385"/>
      <c r="AK245" s="385"/>
      <c r="AL245" s="385"/>
      <c r="AM245" s="385"/>
      <c r="AN245" s="385"/>
      <c r="AO245" s="385"/>
      <c r="AP245" s="385"/>
      <c r="AQ245" s="385"/>
      <c r="AR245" s="385"/>
      <c r="AS245" s="385"/>
      <c r="AT245" s="385"/>
      <c r="AU245" s="385"/>
      <c r="AV245" s="385"/>
      <c r="AW245" s="385"/>
      <c r="AX245" s="385"/>
    </row>
    <row r="246" spans="1:50" ht="10.8" hidden="1" thickTop="1" x14ac:dyDescent="0.2">
      <c r="A246" s="385"/>
      <c r="B246" s="385"/>
      <c r="C246" s="385"/>
      <c r="D246" s="385"/>
      <c r="E246" s="385"/>
      <c r="F246" s="385"/>
      <c r="G246" s="385"/>
      <c r="H246" s="385"/>
      <c r="I246" s="442"/>
      <c r="J246" s="442"/>
      <c r="K246" s="442"/>
      <c r="L246" s="442"/>
      <c r="M246" s="442"/>
      <c r="N246" s="442"/>
      <c r="O246" s="443"/>
      <c r="P246" s="385"/>
      <c r="Q246" s="385"/>
      <c r="R246" s="385"/>
      <c r="S246" s="385"/>
      <c r="T246" s="385"/>
      <c r="U246" s="385"/>
      <c r="V246" s="385"/>
      <c r="W246" s="385"/>
      <c r="X246" s="385"/>
      <c r="Y246" s="385"/>
      <c r="Z246" s="385"/>
      <c r="AA246" s="385"/>
      <c r="AB246" s="385"/>
      <c r="AC246" s="385"/>
      <c r="AD246" s="385"/>
      <c r="AE246" s="385"/>
      <c r="AF246" s="385"/>
      <c r="AG246" s="385"/>
      <c r="AH246" s="385"/>
      <c r="AI246" s="385"/>
      <c r="AJ246" s="385"/>
      <c r="AK246" s="385"/>
      <c r="AL246" s="385"/>
      <c r="AM246" s="385"/>
      <c r="AN246" s="385"/>
      <c r="AO246" s="385"/>
      <c r="AP246" s="385"/>
      <c r="AQ246" s="385"/>
      <c r="AR246" s="385"/>
      <c r="AS246" s="385"/>
      <c r="AT246" s="385"/>
      <c r="AU246" s="385"/>
      <c r="AV246" s="385"/>
      <c r="AW246" s="385"/>
      <c r="AX246" s="385"/>
    </row>
    <row r="247" spans="1:50" ht="10.8" hidden="1" thickTop="1" x14ac:dyDescent="0.2">
      <c r="A247" s="385"/>
      <c r="B247" s="446"/>
      <c r="C247" s="446"/>
      <c r="D247" s="445"/>
      <c r="E247" s="385"/>
      <c r="F247" s="385"/>
      <c r="G247" s="385"/>
      <c r="H247" s="385"/>
      <c r="I247" s="442"/>
      <c r="J247" s="442"/>
      <c r="K247" s="442"/>
      <c r="L247" s="442"/>
      <c r="M247" s="442"/>
      <c r="N247" s="442"/>
      <c r="O247" s="443"/>
      <c r="P247" s="385"/>
      <c r="Q247" s="385"/>
      <c r="R247" s="385"/>
      <c r="S247" s="385"/>
      <c r="T247" s="385"/>
      <c r="U247" s="385"/>
      <c r="V247" s="385"/>
      <c r="W247" s="385"/>
      <c r="X247" s="385"/>
      <c r="Y247" s="385"/>
      <c r="Z247" s="385"/>
      <c r="AA247" s="385"/>
      <c r="AB247" s="385"/>
      <c r="AC247" s="385"/>
      <c r="AD247" s="385"/>
      <c r="AE247" s="385"/>
      <c r="AF247" s="385"/>
      <c r="AG247" s="385"/>
      <c r="AH247" s="385"/>
      <c r="AI247" s="385"/>
      <c r="AJ247" s="385"/>
      <c r="AK247" s="385"/>
      <c r="AL247" s="385"/>
      <c r="AM247" s="385"/>
      <c r="AN247" s="385"/>
      <c r="AO247" s="385"/>
      <c r="AP247" s="385"/>
      <c r="AQ247" s="385"/>
      <c r="AR247" s="385"/>
      <c r="AS247" s="385"/>
      <c r="AT247" s="385"/>
      <c r="AU247" s="385"/>
      <c r="AV247" s="385"/>
      <c r="AW247" s="385"/>
      <c r="AX247" s="385"/>
    </row>
    <row r="248" spans="1:50" ht="10.8" hidden="1" thickTop="1" x14ac:dyDescent="0.2">
      <c r="A248" s="385"/>
      <c r="B248" s="385"/>
      <c r="C248" s="446"/>
      <c r="D248" s="445"/>
      <c r="E248" s="385"/>
      <c r="F248" s="385"/>
      <c r="G248" s="385"/>
      <c r="H248" s="385"/>
      <c r="I248" s="442"/>
      <c r="J248" s="442"/>
      <c r="K248" s="442"/>
      <c r="L248" s="442"/>
      <c r="M248" s="442"/>
      <c r="N248" s="442"/>
      <c r="O248" s="443"/>
      <c r="P248" s="385"/>
      <c r="Q248" s="385"/>
      <c r="R248" s="385"/>
      <c r="S248" s="385"/>
      <c r="T248" s="385"/>
      <c r="U248" s="385"/>
      <c r="V248" s="385"/>
      <c r="W248" s="385"/>
      <c r="X248" s="385"/>
      <c r="Y248" s="385"/>
      <c r="Z248" s="385"/>
      <c r="AA248" s="385"/>
      <c r="AB248" s="385"/>
      <c r="AC248" s="385"/>
      <c r="AD248" s="385"/>
      <c r="AE248" s="385"/>
      <c r="AF248" s="385"/>
      <c r="AG248" s="385"/>
      <c r="AH248" s="385"/>
      <c r="AI248" s="385"/>
      <c r="AJ248" s="385"/>
      <c r="AK248" s="385"/>
      <c r="AL248" s="385"/>
      <c r="AM248" s="385"/>
      <c r="AN248" s="385"/>
      <c r="AO248" s="385"/>
      <c r="AP248" s="385"/>
      <c r="AQ248" s="385"/>
      <c r="AR248" s="385"/>
      <c r="AS248" s="385"/>
      <c r="AT248" s="385"/>
      <c r="AU248" s="385"/>
      <c r="AV248" s="385"/>
      <c r="AW248" s="385"/>
      <c r="AX248" s="385"/>
    </row>
    <row r="249" spans="1:50" ht="10.8" hidden="1" thickTop="1" x14ac:dyDescent="0.2">
      <c r="A249" s="385"/>
      <c r="B249" s="385"/>
      <c r="C249" s="446"/>
      <c r="D249" s="445"/>
      <c r="E249" s="385"/>
      <c r="F249" s="385"/>
      <c r="G249" s="385"/>
      <c r="H249" s="385"/>
      <c r="I249" s="442"/>
      <c r="J249" s="442"/>
      <c r="K249" s="442"/>
      <c r="L249" s="442"/>
      <c r="M249" s="442"/>
      <c r="N249" s="442"/>
      <c r="O249" s="443"/>
      <c r="P249" s="385"/>
      <c r="Q249" s="385"/>
      <c r="R249" s="385"/>
      <c r="S249" s="385"/>
      <c r="T249" s="385"/>
      <c r="U249" s="385"/>
      <c r="V249" s="385"/>
      <c r="W249" s="385"/>
      <c r="X249" s="385"/>
      <c r="Y249" s="385"/>
      <c r="Z249" s="385"/>
      <c r="AA249" s="385"/>
      <c r="AB249" s="385"/>
      <c r="AC249" s="385"/>
      <c r="AD249" s="385"/>
      <c r="AE249" s="385"/>
      <c r="AF249" s="385"/>
      <c r="AG249" s="385"/>
      <c r="AH249" s="385"/>
      <c r="AI249" s="385"/>
      <c r="AJ249" s="385"/>
      <c r="AK249" s="385"/>
      <c r="AL249" s="385"/>
      <c r="AM249" s="385"/>
      <c r="AN249" s="385"/>
      <c r="AO249" s="385"/>
      <c r="AP249" s="385"/>
      <c r="AQ249" s="385"/>
      <c r="AR249" s="385"/>
      <c r="AS249" s="385"/>
      <c r="AT249" s="385"/>
      <c r="AU249" s="385"/>
      <c r="AV249" s="385"/>
      <c r="AW249" s="385"/>
      <c r="AX249" s="385"/>
    </row>
    <row r="250" spans="1:50" ht="10.8" hidden="1" thickTop="1" x14ac:dyDescent="0.2">
      <c r="A250" s="385"/>
      <c r="B250" s="385"/>
      <c r="C250" s="446"/>
      <c r="D250" s="445"/>
      <c r="E250" s="385"/>
      <c r="F250" s="385"/>
      <c r="G250" s="385"/>
      <c r="H250" s="385"/>
      <c r="I250" s="442"/>
      <c r="J250" s="442"/>
      <c r="K250" s="442"/>
      <c r="L250" s="442"/>
      <c r="M250" s="442"/>
      <c r="N250" s="442"/>
      <c r="O250" s="443"/>
      <c r="P250" s="385"/>
      <c r="Q250" s="385"/>
      <c r="R250" s="385"/>
      <c r="S250" s="385"/>
      <c r="T250" s="385"/>
      <c r="U250" s="385"/>
      <c r="V250" s="385"/>
      <c r="W250" s="385"/>
      <c r="X250" s="385"/>
      <c r="Y250" s="385"/>
      <c r="Z250" s="385"/>
      <c r="AA250" s="385"/>
      <c r="AB250" s="385"/>
      <c r="AC250" s="385"/>
      <c r="AD250" s="385"/>
      <c r="AE250" s="385"/>
      <c r="AF250" s="385"/>
      <c r="AG250" s="385"/>
      <c r="AH250" s="385"/>
      <c r="AI250" s="385"/>
      <c r="AJ250" s="385"/>
      <c r="AK250" s="385"/>
      <c r="AL250" s="385"/>
      <c r="AM250" s="385"/>
      <c r="AN250" s="385"/>
      <c r="AO250" s="385"/>
      <c r="AP250" s="385"/>
      <c r="AQ250" s="385"/>
      <c r="AR250" s="385"/>
      <c r="AS250" s="385"/>
      <c r="AT250" s="385"/>
      <c r="AU250" s="385"/>
      <c r="AV250" s="385"/>
      <c r="AW250" s="385"/>
      <c r="AX250" s="385"/>
    </row>
    <row r="251" spans="1:50" ht="10.8" hidden="1" thickTop="1" x14ac:dyDescent="0.2">
      <c r="A251" s="385"/>
      <c r="B251" s="385"/>
      <c r="C251" s="385"/>
      <c r="D251" s="385"/>
      <c r="E251" s="385"/>
      <c r="F251" s="385"/>
      <c r="G251" s="385"/>
      <c r="H251" s="385"/>
      <c r="I251" s="442"/>
      <c r="J251" s="442"/>
      <c r="K251" s="442"/>
      <c r="L251" s="442"/>
      <c r="M251" s="442"/>
      <c r="N251" s="442"/>
      <c r="O251" s="443"/>
      <c r="P251" s="385"/>
      <c r="Q251" s="385"/>
      <c r="R251" s="385"/>
      <c r="S251" s="385"/>
      <c r="T251" s="385"/>
      <c r="U251" s="385"/>
      <c r="V251" s="385"/>
      <c r="W251" s="385"/>
      <c r="X251" s="385"/>
      <c r="Y251" s="385"/>
      <c r="Z251" s="385"/>
      <c r="AA251" s="385"/>
      <c r="AB251" s="385"/>
      <c r="AC251" s="385"/>
      <c r="AD251" s="385"/>
      <c r="AE251" s="385"/>
      <c r="AF251" s="385"/>
      <c r="AG251" s="385"/>
      <c r="AH251" s="385"/>
      <c r="AI251" s="385"/>
      <c r="AJ251" s="385"/>
      <c r="AK251" s="385"/>
      <c r="AL251" s="385"/>
      <c r="AM251" s="385"/>
      <c r="AN251" s="385"/>
      <c r="AO251" s="385"/>
      <c r="AP251" s="385"/>
      <c r="AQ251" s="385"/>
      <c r="AR251" s="385"/>
      <c r="AS251" s="385"/>
      <c r="AT251" s="385"/>
      <c r="AU251" s="385"/>
      <c r="AV251" s="385"/>
      <c r="AW251" s="385"/>
      <c r="AX251" s="385"/>
    </row>
    <row r="252" spans="1:50" ht="10.8" hidden="1" thickTop="1" x14ac:dyDescent="0.2">
      <c r="A252" s="385"/>
      <c r="B252" s="446"/>
      <c r="C252" s="385"/>
      <c r="D252" s="385"/>
      <c r="E252" s="385"/>
      <c r="F252" s="385"/>
      <c r="G252" s="385"/>
      <c r="H252" s="385"/>
      <c r="I252" s="442"/>
      <c r="J252" s="442"/>
      <c r="K252" s="442"/>
      <c r="L252" s="442"/>
      <c r="M252" s="442"/>
      <c r="N252" s="442"/>
      <c r="O252" s="443"/>
      <c r="P252" s="385"/>
      <c r="Q252" s="385"/>
      <c r="R252" s="385"/>
      <c r="S252" s="385"/>
      <c r="T252" s="385"/>
      <c r="U252" s="385"/>
      <c r="V252" s="385"/>
      <c r="W252" s="385"/>
      <c r="X252" s="385"/>
      <c r="Y252" s="385"/>
      <c r="Z252" s="385"/>
      <c r="AA252" s="385"/>
      <c r="AB252" s="385"/>
      <c r="AC252" s="385"/>
      <c r="AD252" s="385"/>
      <c r="AE252" s="385"/>
      <c r="AF252" s="385"/>
      <c r="AG252" s="385"/>
      <c r="AH252" s="385"/>
      <c r="AI252" s="385"/>
      <c r="AJ252" s="385"/>
      <c r="AK252" s="385"/>
      <c r="AL252" s="385"/>
      <c r="AM252" s="385"/>
      <c r="AN252" s="385"/>
      <c r="AO252" s="385"/>
      <c r="AP252" s="385"/>
      <c r="AQ252" s="385"/>
      <c r="AR252" s="385"/>
      <c r="AS252" s="385"/>
      <c r="AT252" s="385"/>
      <c r="AU252" s="385"/>
      <c r="AV252" s="385"/>
      <c r="AW252" s="385"/>
      <c r="AX252" s="385"/>
    </row>
    <row r="253" spans="1:50" ht="10.8" hidden="1" thickTop="1" x14ac:dyDescent="0.2">
      <c r="A253" s="385"/>
      <c r="B253" s="385"/>
      <c r="C253" s="385"/>
      <c r="D253" s="385"/>
      <c r="E253" s="385"/>
      <c r="F253" s="385"/>
      <c r="G253" s="385"/>
      <c r="H253" s="385"/>
      <c r="I253" s="442"/>
      <c r="J253" s="442"/>
      <c r="K253" s="442"/>
      <c r="L253" s="442"/>
      <c r="M253" s="442"/>
      <c r="N253" s="442"/>
      <c r="O253" s="443"/>
      <c r="P253" s="385"/>
      <c r="Q253" s="385"/>
      <c r="R253" s="385"/>
      <c r="S253" s="385"/>
      <c r="T253" s="385"/>
      <c r="U253" s="385"/>
      <c r="V253" s="385"/>
      <c r="W253" s="385"/>
      <c r="X253" s="385"/>
      <c r="Y253" s="385"/>
      <c r="Z253" s="385"/>
      <c r="AA253" s="385"/>
      <c r="AB253" s="385"/>
      <c r="AC253" s="385"/>
      <c r="AD253" s="385"/>
      <c r="AE253" s="385"/>
      <c r="AF253" s="385"/>
      <c r="AG253" s="385"/>
      <c r="AH253" s="385"/>
      <c r="AI253" s="385"/>
      <c r="AJ253" s="385"/>
      <c r="AK253" s="385"/>
      <c r="AL253" s="385"/>
      <c r="AM253" s="385"/>
      <c r="AN253" s="385"/>
      <c r="AO253" s="385"/>
      <c r="AP253" s="385"/>
      <c r="AQ253" s="385"/>
      <c r="AR253" s="385"/>
      <c r="AS253" s="385"/>
      <c r="AT253" s="385"/>
      <c r="AU253" s="385"/>
      <c r="AV253" s="385"/>
      <c r="AW253" s="385"/>
      <c r="AX253" s="385"/>
    </row>
    <row r="254" spans="1:50" ht="10.8" hidden="1" thickTop="1" x14ac:dyDescent="0.2">
      <c r="A254" s="385"/>
      <c r="B254" s="446"/>
      <c r="C254" s="385"/>
      <c r="D254" s="385"/>
      <c r="E254" s="385"/>
      <c r="F254" s="385"/>
      <c r="G254" s="385"/>
      <c r="H254" s="385"/>
      <c r="I254" s="442"/>
      <c r="J254" s="442"/>
      <c r="K254" s="442"/>
      <c r="L254" s="442"/>
      <c r="M254" s="442"/>
      <c r="N254" s="442"/>
      <c r="O254" s="443"/>
      <c r="P254" s="385"/>
      <c r="Q254" s="385"/>
      <c r="R254" s="385"/>
      <c r="S254" s="385"/>
      <c r="T254" s="385"/>
      <c r="U254" s="385"/>
      <c r="V254" s="385"/>
      <c r="W254" s="385"/>
      <c r="X254" s="385"/>
      <c r="Y254" s="385"/>
      <c r="Z254" s="385"/>
      <c r="AA254" s="385"/>
      <c r="AB254" s="385"/>
      <c r="AC254" s="385"/>
      <c r="AD254" s="385"/>
      <c r="AE254" s="385"/>
      <c r="AF254" s="385"/>
      <c r="AG254" s="385"/>
      <c r="AH254" s="385"/>
      <c r="AI254" s="385"/>
      <c r="AJ254" s="385"/>
      <c r="AK254" s="385"/>
      <c r="AL254" s="385"/>
      <c r="AM254" s="385"/>
      <c r="AN254" s="385"/>
      <c r="AO254" s="385"/>
      <c r="AP254" s="385"/>
      <c r="AQ254" s="385"/>
      <c r="AR254" s="385"/>
      <c r="AS254" s="385"/>
      <c r="AT254" s="385"/>
      <c r="AU254" s="385"/>
      <c r="AV254" s="385"/>
      <c r="AW254" s="385"/>
      <c r="AX254" s="385"/>
    </row>
    <row r="255" spans="1:50" ht="10.8" hidden="1" thickTop="1" x14ac:dyDescent="0.2">
      <c r="A255" s="385"/>
      <c r="B255" s="446"/>
      <c r="C255" s="385"/>
      <c r="D255" s="385"/>
      <c r="E255" s="385"/>
      <c r="F255" s="385"/>
      <c r="G255" s="385"/>
      <c r="H255" s="385"/>
      <c r="I255" s="442"/>
      <c r="J255" s="442"/>
      <c r="K255" s="442"/>
      <c r="L255" s="442"/>
      <c r="M255" s="442"/>
      <c r="N255" s="442"/>
      <c r="O255" s="443"/>
      <c r="P255" s="385"/>
      <c r="Q255" s="385"/>
      <c r="R255" s="385"/>
      <c r="S255" s="385"/>
      <c r="T255" s="385"/>
      <c r="U255" s="385"/>
      <c r="V255" s="385"/>
      <c r="W255" s="385"/>
      <c r="X255" s="385"/>
      <c r="Y255" s="385"/>
      <c r="Z255" s="385"/>
      <c r="AA255" s="385"/>
      <c r="AB255" s="385"/>
      <c r="AC255" s="385"/>
      <c r="AD255" s="385"/>
      <c r="AE255" s="385"/>
      <c r="AF255" s="385"/>
      <c r="AG255" s="385"/>
      <c r="AH255" s="385"/>
      <c r="AI255" s="385"/>
      <c r="AJ255" s="385"/>
      <c r="AK255" s="385"/>
      <c r="AL255" s="385"/>
      <c r="AM255" s="385"/>
      <c r="AN255" s="385"/>
      <c r="AO255" s="385"/>
      <c r="AP255" s="385"/>
      <c r="AQ255" s="385"/>
      <c r="AR255" s="385"/>
      <c r="AS255" s="385"/>
      <c r="AT255" s="385"/>
      <c r="AU255" s="385"/>
      <c r="AV255" s="385"/>
      <c r="AW255" s="385"/>
      <c r="AX255" s="385"/>
    </row>
    <row r="256" spans="1:50" ht="10.8" hidden="1" thickTop="1" x14ac:dyDescent="0.2">
      <c r="A256" s="385"/>
      <c r="B256" s="385"/>
      <c r="C256" s="385"/>
      <c r="D256" s="385"/>
      <c r="E256" s="385"/>
      <c r="F256" s="385"/>
      <c r="G256" s="385"/>
      <c r="H256" s="385"/>
      <c r="I256" s="442"/>
      <c r="J256" s="442"/>
      <c r="K256" s="442"/>
      <c r="L256" s="442"/>
      <c r="M256" s="442"/>
      <c r="N256" s="442"/>
      <c r="O256" s="443"/>
      <c r="P256" s="385"/>
      <c r="Q256" s="385"/>
      <c r="R256" s="385"/>
      <c r="S256" s="385"/>
      <c r="T256" s="385"/>
      <c r="U256" s="385"/>
      <c r="V256" s="385"/>
      <c r="W256" s="385"/>
      <c r="X256" s="385"/>
      <c r="Y256" s="385"/>
      <c r="Z256" s="385"/>
      <c r="AA256" s="385"/>
      <c r="AB256" s="385"/>
      <c r="AC256" s="385"/>
      <c r="AD256" s="385"/>
      <c r="AE256" s="385"/>
      <c r="AF256" s="385"/>
      <c r="AG256" s="385"/>
      <c r="AH256" s="385"/>
      <c r="AI256" s="385"/>
      <c r="AJ256" s="385"/>
      <c r="AK256" s="385"/>
      <c r="AL256" s="385"/>
      <c r="AM256" s="385"/>
      <c r="AN256" s="385"/>
      <c r="AO256" s="385"/>
      <c r="AP256" s="385"/>
      <c r="AQ256" s="385"/>
      <c r="AR256" s="385"/>
      <c r="AS256" s="385"/>
      <c r="AT256" s="385"/>
      <c r="AU256" s="385"/>
      <c r="AV256" s="385"/>
      <c r="AW256" s="385"/>
      <c r="AX256" s="385"/>
    </row>
    <row r="257" spans="1:50" ht="10.8" hidden="1" thickTop="1" x14ac:dyDescent="0.2">
      <c r="A257" s="385"/>
      <c r="B257" s="385"/>
      <c r="C257" s="385"/>
      <c r="D257" s="385"/>
      <c r="E257" s="385"/>
      <c r="F257" s="385"/>
      <c r="G257" s="385"/>
      <c r="H257" s="385"/>
      <c r="I257" s="442"/>
      <c r="J257" s="442"/>
      <c r="K257" s="442"/>
      <c r="L257" s="442"/>
      <c r="M257" s="442"/>
      <c r="N257" s="442"/>
      <c r="O257" s="443"/>
      <c r="P257" s="385"/>
      <c r="Q257" s="385"/>
      <c r="R257" s="385"/>
      <c r="S257" s="385"/>
      <c r="T257" s="385"/>
      <c r="U257" s="385"/>
      <c r="V257" s="385"/>
      <c r="W257" s="385"/>
      <c r="X257" s="385"/>
      <c r="Y257" s="385"/>
      <c r="Z257" s="385"/>
      <c r="AA257" s="385"/>
      <c r="AB257" s="385"/>
      <c r="AC257" s="385"/>
      <c r="AD257" s="385"/>
      <c r="AE257" s="385"/>
      <c r="AF257" s="385"/>
      <c r="AG257" s="385"/>
      <c r="AH257" s="385"/>
      <c r="AI257" s="385"/>
      <c r="AJ257" s="385"/>
      <c r="AK257" s="385"/>
      <c r="AL257" s="385"/>
      <c r="AM257" s="385"/>
      <c r="AN257" s="385"/>
      <c r="AO257" s="385"/>
      <c r="AP257" s="385"/>
      <c r="AQ257" s="385"/>
      <c r="AR257" s="385"/>
      <c r="AS257" s="385"/>
      <c r="AT257" s="385"/>
      <c r="AU257" s="385"/>
      <c r="AV257" s="385"/>
      <c r="AW257" s="385"/>
      <c r="AX257" s="385"/>
    </row>
    <row r="258" spans="1:50" ht="10.8" hidden="1" thickTop="1" x14ac:dyDescent="0.2">
      <c r="A258" s="385"/>
      <c r="B258" s="385"/>
      <c r="C258" s="385"/>
      <c r="D258" s="385"/>
      <c r="E258" s="385"/>
      <c r="F258" s="385"/>
      <c r="G258" s="385"/>
      <c r="H258" s="385"/>
      <c r="I258" s="442"/>
      <c r="J258" s="442"/>
      <c r="K258" s="442"/>
      <c r="L258" s="442"/>
      <c r="M258" s="442"/>
      <c r="N258" s="442"/>
      <c r="O258" s="443"/>
      <c r="P258" s="385"/>
      <c r="Q258" s="385"/>
      <c r="R258" s="385"/>
      <c r="S258" s="385"/>
      <c r="T258" s="385"/>
      <c r="U258" s="385"/>
      <c r="V258" s="385"/>
      <c r="W258" s="385"/>
      <c r="X258" s="385"/>
      <c r="Y258" s="385"/>
      <c r="Z258" s="385"/>
      <c r="AA258" s="385"/>
      <c r="AB258" s="385"/>
      <c r="AC258" s="385"/>
      <c r="AD258" s="385"/>
      <c r="AE258" s="385"/>
      <c r="AF258" s="385"/>
      <c r="AG258" s="385"/>
      <c r="AH258" s="385"/>
      <c r="AI258" s="385"/>
      <c r="AJ258" s="385"/>
      <c r="AK258" s="385"/>
      <c r="AL258" s="385"/>
      <c r="AM258" s="385"/>
      <c r="AN258" s="385"/>
      <c r="AO258" s="385"/>
      <c r="AP258" s="385"/>
      <c r="AQ258" s="385"/>
      <c r="AR258" s="385"/>
      <c r="AS258" s="385"/>
      <c r="AT258" s="385"/>
      <c r="AU258" s="385"/>
      <c r="AV258" s="385"/>
      <c r="AW258" s="385"/>
      <c r="AX258" s="385"/>
    </row>
    <row r="259" spans="1:50" ht="10.8" hidden="1" thickTop="1" x14ac:dyDescent="0.2">
      <c r="A259" s="385"/>
      <c r="B259" s="385"/>
      <c r="C259" s="385"/>
      <c r="D259" s="385"/>
      <c r="E259" s="385"/>
      <c r="F259" s="385"/>
      <c r="G259" s="385"/>
      <c r="H259" s="385"/>
      <c r="I259" s="442"/>
      <c r="J259" s="442"/>
      <c r="K259" s="442"/>
      <c r="L259" s="442"/>
      <c r="M259" s="442"/>
      <c r="N259" s="442"/>
      <c r="O259" s="443"/>
      <c r="P259" s="385"/>
      <c r="Q259" s="385"/>
      <c r="R259" s="385"/>
      <c r="S259" s="385"/>
      <c r="T259" s="385"/>
      <c r="U259" s="385"/>
      <c r="V259" s="385"/>
      <c r="W259" s="385"/>
      <c r="X259" s="385"/>
      <c r="Y259" s="385"/>
      <c r="Z259" s="385"/>
      <c r="AA259" s="385"/>
      <c r="AB259" s="385"/>
      <c r="AC259" s="385"/>
      <c r="AD259" s="385"/>
      <c r="AE259" s="385"/>
      <c r="AF259" s="385"/>
      <c r="AG259" s="385"/>
      <c r="AH259" s="385"/>
      <c r="AI259" s="385"/>
      <c r="AJ259" s="385"/>
      <c r="AK259" s="385"/>
      <c r="AL259" s="385"/>
      <c r="AM259" s="385"/>
      <c r="AN259" s="385"/>
      <c r="AO259" s="385"/>
      <c r="AP259" s="385"/>
      <c r="AQ259" s="385"/>
      <c r="AR259" s="385"/>
      <c r="AS259" s="385"/>
      <c r="AT259" s="385"/>
      <c r="AU259" s="385"/>
      <c r="AV259" s="385"/>
      <c r="AW259" s="385"/>
      <c r="AX259" s="385"/>
    </row>
    <row r="260" spans="1:50" ht="10.8" hidden="1" thickTop="1" x14ac:dyDescent="0.2">
      <c r="A260" s="385"/>
      <c r="B260" s="385"/>
      <c r="C260" s="385"/>
      <c r="D260" s="385"/>
      <c r="E260" s="385"/>
      <c r="F260" s="385"/>
      <c r="G260" s="385"/>
      <c r="H260" s="385"/>
      <c r="I260" s="442"/>
      <c r="J260" s="442"/>
      <c r="K260" s="442"/>
      <c r="L260" s="442"/>
      <c r="M260" s="442"/>
      <c r="N260" s="442"/>
      <c r="O260" s="443"/>
      <c r="P260" s="385"/>
      <c r="Q260" s="385"/>
      <c r="R260" s="385"/>
      <c r="S260" s="385"/>
      <c r="T260" s="385"/>
      <c r="U260" s="385"/>
      <c r="V260" s="385"/>
      <c r="W260" s="385"/>
      <c r="X260" s="385"/>
      <c r="Y260" s="385"/>
      <c r="Z260" s="385"/>
      <c r="AA260" s="385"/>
      <c r="AB260" s="385"/>
      <c r="AC260" s="385"/>
      <c r="AD260" s="385"/>
      <c r="AE260" s="385"/>
      <c r="AF260" s="385"/>
      <c r="AG260" s="385"/>
      <c r="AH260" s="385"/>
      <c r="AI260" s="385"/>
      <c r="AJ260" s="385"/>
      <c r="AK260" s="385"/>
      <c r="AL260" s="385"/>
      <c r="AM260" s="385"/>
      <c r="AN260" s="385"/>
      <c r="AO260" s="385"/>
      <c r="AP260" s="385"/>
      <c r="AQ260" s="385"/>
      <c r="AR260" s="385"/>
      <c r="AS260" s="385"/>
      <c r="AT260" s="385"/>
      <c r="AU260" s="385"/>
      <c r="AV260" s="385"/>
      <c r="AW260" s="385"/>
      <c r="AX260" s="385"/>
    </row>
    <row r="261" spans="1:50" ht="10.8" hidden="1" thickTop="1" x14ac:dyDescent="0.2">
      <c r="A261" s="385"/>
      <c r="B261" s="385"/>
      <c r="C261" s="385"/>
      <c r="D261" s="385"/>
      <c r="E261" s="385"/>
      <c r="F261" s="385"/>
      <c r="G261" s="385"/>
      <c r="H261" s="385"/>
      <c r="I261" s="442"/>
      <c r="J261" s="442"/>
      <c r="K261" s="442"/>
      <c r="L261" s="442"/>
      <c r="M261" s="442"/>
      <c r="N261" s="442"/>
      <c r="O261" s="443"/>
      <c r="P261" s="385"/>
      <c r="Q261" s="385"/>
      <c r="R261" s="385"/>
      <c r="S261" s="385"/>
      <c r="T261" s="385"/>
      <c r="U261" s="385"/>
      <c r="V261" s="385"/>
      <c r="W261" s="385"/>
      <c r="X261" s="385"/>
      <c r="Y261" s="385"/>
      <c r="Z261" s="385"/>
      <c r="AA261" s="385"/>
      <c r="AB261" s="385"/>
      <c r="AC261" s="385"/>
      <c r="AD261" s="385"/>
      <c r="AE261" s="385"/>
      <c r="AF261" s="385"/>
      <c r="AG261" s="385"/>
      <c r="AH261" s="385"/>
      <c r="AI261" s="385"/>
      <c r="AJ261" s="385"/>
      <c r="AK261" s="385"/>
      <c r="AL261" s="385"/>
      <c r="AM261" s="385"/>
      <c r="AN261" s="385"/>
      <c r="AO261" s="385"/>
      <c r="AP261" s="385"/>
      <c r="AQ261" s="385"/>
      <c r="AR261" s="385"/>
      <c r="AS261" s="385"/>
      <c r="AT261" s="385"/>
      <c r="AU261" s="385"/>
      <c r="AV261" s="385"/>
      <c r="AW261" s="385"/>
      <c r="AX261" s="385"/>
    </row>
    <row r="262" spans="1:50" ht="10.8" hidden="1" thickTop="1" x14ac:dyDescent="0.2">
      <c r="A262" s="385"/>
      <c r="B262" s="444"/>
      <c r="C262" s="385"/>
      <c r="D262" s="385"/>
      <c r="E262" s="385"/>
      <c r="F262" s="385"/>
      <c r="G262" s="385"/>
      <c r="H262" s="385"/>
      <c r="I262" s="442"/>
      <c r="J262" s="442"/>
      <c r="K262" s="442"/>
      <c r="L262" s="442"/>
      <c r="M262" s="442"/>
      <c r="N262" s="442"/>
      <c r="O262" s="443"/>
      <c r="P262" s="385"/>
      <c r="Q262" s="385"/>
      <c r="R262" s="385"/>
      <c r="S262" s="385"/>
      <c r="T262" s="385"/>
      <c r="U262" s="385"/>
      <c r="V262" s="385"/>
      <c r="W262" s="385"/>
      <c r="X262" s="385"/>
      <c r="Y262" s="385"/>
      <c r="Z262" s="385"/>
      <c r="AA262" s="385"/>
      <c r="AB262" s="385"/>
      <c r="AC262" s="385"/>
      <c r="AD262" s="385"/>
      <c r="AE262" s="385"/>
      <c r="AF262" s="385"/>
      <c r="AG262" s="385"/>
      <c r="AH262" s="385"/>
      <c r="AI262" s="385"/>
      <c r="AJ262" s="385"/>
      <c r="AK262" s="385"/>
      <c r="AL262" s="385"/>
      <c r="AM262" s="385"/>
      <c r="AN262" s="385"/>
      <c r="AO262" s="385"/>
      <c r="AP262" s="385"/>
      <c r="AQ262" s="385"/>
      <c r="AR262" s="385"/>
      <c r="AS262" s="385"/>
      <c r="AT262" s="385"/>
      <c r="AU262" s="385"/>
      <c r="AV262" s="385"/>
      <c r="AW262" s="385"/>
      <c r="AX262" s="385"/>
    </row>
    <row r="263" spans="1:50" ht="10.8" hidden="1" thickTop="1" x14ac:dyDescent="0.2">
      <c r="A263" s="385"/>
      <c r="B263" s="385"/>
      <c r="C263" s="385"/>
      <c r="D263" s="385"/>
      <c r="E263" s="385"/>
      <c r="F263" s="385"/>
      <c r="G263" s="385"/>
      <c r="H263" s="385"/>
      <c r="I263" s="442"/>
      <c r="J263" s="442"/>
      <c r="K263" s="442"/>
      <c r="L263" s="442"/>
      <c r="M263" s="442"/>
      <c r="N263" s="442"/>
      <c r="O263" s="443"/>
      <c r="P263" s="385"/>
      <c r="Q263" s="385"/>
      <c r="R263" s="385"/>
      <c r="S263" s="385"/>
      <c r="T263" s="385"/>
      <c r="U263" s="385"/>
      <c r="V263" s="385"/>
      <c r="W263" s="385"/>
      <c r="X263" s="385"/>
      <c r="Y263" s="385"/>
      <c r="Z263" s="385"/>
      <c r="AA263" s="385"/>
      <c r="AB263" s="385"/>
      <c r="AC263" s="385"/>
      <c r="AD263" s="385"/>
      <c r="AE263" s="385"/>
      <c r="AF263" s="385"/>
      <c r="AG263" s="385"/>
      <c r="AH263" s="385"/>
      <c r="AI263" s="385"/>
      <c r="AJ263" s="385"/>
      <c r="AK263" s="385"/>
      <c r="AL263" s="385"/>
      <c r="AM263" s="385"/>
      <c r="AN263" s="385"/>
      <c r="AO263" s="385"/>
      <c r="AP263" s="385"/>
      <c r="AQ263" s="385"/>
      <c r="AR263" s="385"/>
      <c r="AS263" s="385"/>
      <c r="AT263" s="385"/>
      <c r="AU263" s="385"/>
      <c r="AV263" s="385"/>
      <c r="AW263" s="385"/>
      <c r="AX263" s="385"/>
    </row>
    <row r="264" spans="1:50" ht="10.8" hidden="1" thickTop="1" x14ac:dyDescent="0.2">
      <c r="A264" s="385"/>
      <c r="B264" s="385"/>
      <c r="C264" s="385"/>
      <c r="D264" s="445"/>
      <c r="E264" s="445"/>
      <c r="F264" s="445"/>
      <c r="G264" s="445"/>
      <c r="H264" s="445"/>
      <c r="I264" s="454"/>
      <c r="J264" s="454"/>
      <c r="K264" s="454"/>
      <c r="L264" s="442"/>
      <c r="M264" s="442"/>
      <c r="N264" s="442"/>
      <c r="O264" s="443"/>
      <c r="P264" s="385"/>
      <c r="Q264" s="385"/>
      <c r="R264" s="385"/>
      <c r="S264" s="385"/>
      <c r="T264" s="385"/>
      <c r="U264" s="385"/>
      <c r="V264" s="385"/>
      <c r="W264" s="385"/>
      <c r="X264" s="385"/>
      <c r="Y264" s="385"/>
      <c r="Z264" s="385"/>
      <c r="AA264" s="385"/>
      <c r="AB264" s="385"/>
      <c r="AC264" s="385"/>
      <c r="AD264" s="385"/>
      <c r="AE264" s="385"/>
      <c r="AF264" s="385"/>
      <c r="AG264" s="385"/>
      <c r="AH264" s="385"/>
      <c r="AI264" s="385"/>
      <c r="AJ264" s="385"/>
      <c r="AK264" s="385"/>
      <c r="AL264" s="385"/>
      <c r="AM264" s="385"/>
      <c r="AN264" s="385"/>
      <c r="AO264" s="385"/>
      <c r="AP264" s="385"/>
      <c r="AQ264" s="385"/>
      <c r="AR264" s="385"/>
      <c r="AS264" s="385"/>
      <c r="AT264" s="385"/>
      <c r="AU264" s="385"/>
      <c r="AV264" s="385"/>
      <c r="AW264" s="385"/>
      <c r="AX264" s="385"/>
    </row>
    <row r="265" spans="1:50" ht="10.8" hidden="1" thickTop="1" x14ac:dyDescent="0.2">
      <c r="A265" s="385"/>
      <c r="B265" s="385"/>
      <c r="C265" s="385"/>
      <c r="D265" s="445"/>
      <c r="E265" s="445"/>
      <c r="F265" s="445"/>
      <c r="G265" s="445"/>
      <c r="H265" s="445"/>
      <c r="I265" s="454"/>
      <c r="J265" s="454"/>
      <c r="K265" s="454"/>
      <c r="L265" s="442"/>
      <c r="M265" s="442"/>
      <c r="N265" s="442"/>
      <c r="O265" s="443"/>
      <c r="P265" s="385"/>
      <c r="Q265" s="385"/>
      <c r="R265" s="385"/>
      <c r="S265" s="385"/>
      <c r="T265" s="385"/>
      <c r="U265" s="385"/>
      <c r="V265" s="385"/>
      <c r="W265" s="385"/>
      <c r="X265" s="385"/>
      <c r="Y265" s="385"/>
      <c r="Z265" s="385"/>
      <c r="AA265" s="385"/>
      <c r="AB265" s="385"/>
      <c r="AC265" s="385"/>
      <c r="AD265" s="385"/>
      <c r="AE265" s="385"/>
      <c r="AF265" s="385"/>
      <c r="AG265" s="385"/>
      <c r="AH265" s="385"/>
      <c r="AI265" s="385"/>
      <c r="AJ265" s="385"/>
      <c r="AK265" s="385"/>
      <c r="AL265" s="385"/>
      <c r="AM265" s="385"/>
      <c r="AN265" s="385"/>
      <c r="AO265" s="385"/>
      <c r="AP265" s="385"/>
      <c r="AQ265" s="385"/>
      <c r="AR265" s="385"/>
      <c r="AS265" s="385"/>
      <c r="AT265" s="385"/>
      <c r="AU265" s="385"/>
      <c r="AV265" s="385"/>
      <c r="AW265" s="385"/>
      <c r="AX265" s="385"/>
    </row>
    <row r="266" spans="1:50" ht="10.8" hidden="1" thickTop="1" x14ac:dyDescent="0.2">
      <c r="A266" s="385"/>
      <c r="B266" s="385"/>
      <c r="C266" s="385"/>
      <c r="D266" s="445"/>
      <c r="E266" s="445"/>
      <c r="F266" s="445"/>
      <c r="G266" s="445"/>
      <c r="H266" s="445"/>
      <c r="I266" s="454"/>
      <c r="J266" s="454"/>
      <c r="K266" s="454"/>
      <c r="L266" s="442"/>
      <c r="M266" s="442"/>
      <c r="N266" s="442"/>
      <c r="O266" s="443"/>
      <c r="P266" s="385"/>
      <c r="Q266" s="385"/>
      <c r="R266" s="385"/>
      <c r="S266" s="385"/>
      <c r="T266" s="385"/>
      <c r="U266" s="385"/>
      <c r="V266" s="385"/>
      <c r="W266" s="385"/>
      <c r="X266" s="385"/>
      <c r="Y266" s="385"/>
      <c r="Z266" s="385"/>
      <c r="AA266" s="385"/>
      <c r="AB266" s="385"/>
      <c r="AC266" s="385"/>
      <c r="AD266" s="385"/>
      <c r="AE266" s="385"/>
      <c r="AF266" s="385"/>
      <c r="AG266" s="385"/>
      <c r="AH266" s="385"/>
      <c r="AI266" s="385"/>
      <c r="AJ266" s="385"/>
      <c r="AK266" s="385"/>
      <c r="AL266" s="385"/>
      <c r="AM266" s="385"/>
      <c r="AN266" s="385"/>
      <c r="AO266" s="385"/>
      <c r="AP266" s="385"/>
      <c r="AQ266" s="385"/>
      <c r="AR266" s="385"/>
      <c r="AS266" s="385"/>
      <c r="AT266" s="385"/>
      <c r="AU266" s="385"/>
      <c r="AV266" s="385"/>
      <c r="AW266" s="385"/>
      <c r="AX266" s="385"/>
    </row>
    <row r="267" spans="1:50" ht="10.8" hidden="1" thickTop="1" x14ac:dyDescent="0.2">
      <c r="A267" s="385"/>
      <c r="B267" s="385"/>
      <c r="C267" s="385"/>
      <c r="D267" s="445"/>
      <c r="E267" s="445"/>
      <c r="F267" s="445"/>
      <c r="G267" s="445"/>
      <c r="H267" s="445"/>
      <c r="I267" s="454"/>
      <c r="J267" s="454"/>
      <c r="K267" s="454"/>
      <c r="L267" s="442"/>
      <c r="M267" s="442"/>
      <c r="N267" s="442"/>
      <c r="O267" s="443"/>
      <c r="P267" s="385"/>
      <c r="Q267" s="385"/>
      <c r="R267" s="385"/>
      <c r="S267" s="385"/>
      <c r="T267" s="385"/>
      <c r="U267" s="385"/>
      <c r="V267" s="385"/>
      <c r="W267" s="385"/>
      <c r="X267" s="385"/>
      <c r="Y267" s="385"/>
      <c r="Z267" s="385"/>
      <c r="AA267" s="385"/>
      <c r="AB267" s="385"/>
      <c r="AC267" s="385"/>
      <c r="AD267" s="385"/>
      <c r="AE267" s="385"/>
      <c r="AF267" s="385"/>
      <c r="AG267" s="385"/>
      <c r="AH267" s="385"/>
      <c r="AI267" s="385"/>
      <c r="AJ267" s="385"/>
      <c r="AK267" s="385"/>
      <c r="AL267" s="385"/>
      <c r="AM267" s="385"/>
      <c r="AN267" s="385"/>
      <c r="AO267" s="385"/>
      <c r="AP267" s="385"/>
      <c r="AQ267" s="385"/>
      <c r="AR267" s="385"/>
      <c r="AS267" s="385"/>
      <c r="AT267" s="385"/>
      <c r="AU267" s="385"/>
      <c r="AV267" s="385"/>
      <c r="AW267" s="385"/>
      <c r="AX267" s="385"/>
    </row>
    <row r="268" spans="1:50" ht="10.8" hidden="1" thickTop="1" x14ac:dyDescent="0.2">
      <c r="A268" s="385"/>
      <c r="B268" s="385"/>
      <c r="C268" s="385"/>
      <c r="D268" s="445"/>
      <c r="E268" s="445"/>
      <c r="F268" s="445"/>
      <c r="G268" s="445"/>
      <c r="H268" s="445"/>
      <c r="I268" s="454"/>
      <c r="J268" s="454"/>
      <c r="K268" s="454"/>
      <c r="L268" s="442"/>
      <c r="M268" s="442"/>
      <c r="N268" s="442"/>
      <c r="O268" s="443"/>
      <c r="P268" s="385"/>
      <c r="Q268" s="385"/>
      <c r="R268" s="385"/>
      <c r="S268" s="385"/>
      <c r="T268" s="385"/>
      <c r="U268" s="385"/>
      <c r="V268" s="385"/>
      <c r="W268" s="385"/>
      <c r="X268" s="385"/>
      <c r="Y268" s="385"/>
      <c r="Z268" s="385"/>
      <c r="AA268" s="385"/>
      <c r="AB268" s="385"/>
      <c r="AC268" s="385"/>
      <c r="AD268" s="385"/>
      <c r="AE268" s="385"/>
      <c r="AF268" s="385"/>
      <c r="AG268" s="385"/>
      <c r="AH268" s="385"/>
      <c r="AI268" s="385"/>
      <c r="AJ268" s="385"/>
      <c r="AK268" s="385"/>
      <c r="AL268" s="385"/>
      <c r="AM268" s="385"/>
      <c r="AN268" s="385"/>
      <c r="AO268" s="385"/>
      <c r="AP268" s="385"/>
      <c r="AQ268" s="385"/>
      <c r="AR268" s="385"/>
      <c r="AS268" s="385"/>
      <c r="AT268" s="385"/>
      <c r="AU268" s="385"/>
      <c r="AV268" s="385"/>
      <c r="AW268" s="385"/>
      <c r="AX268" s="385"/>
    </row>
    <row r="269" spans="1:50" ht="10.8" hidden="1" thickTop="1" x14ac:dyDescent="0.2">
      <c r="A269" s="385"/>
      <c r="B269" s="385"/>
      <c r="C269" s="385"/>
      <c r="D269" s="445"/>
      <c r="E269" s="445"/>
      <c r="F269" s="445"/>
      <c r="G269" s="445"/>
      <c r="H269" s="445"/>
      <c r="I269" s="454"/>
      <c r="J269" s="454"/>
      <c r="K269" s="442"/>
      <c r="L269" s="442"/>
      <c r="M269" s="442"/>
      <c r="N269" s="442"/>
      <c r="O269" s="443"/>
      <c r="P269" s="385"/>
      <c r="Q269" s="385"/>
      <c r="R269" s="385"/>
      <c r="S269" s="385"/>
      <c r="T269" s="385"/>
      <c r="U269" s="385"/>
      <c r="V269" s="385"/>
      <c r="W269" s="385"/>
      <c r="X269" s="385"/>
      <c r="Y269" s="385"/>
      <c r="Z269" s="385"/>
      <c r="AA269" s="385"/>
      <c r="AB269" s="385"/>
      <c r="AC269" s="385"/>
      <c r="AD269" s="385"/>
      <c r="AE269" s="385"/>
      <c r="AF269" s="385"/>
      <c r="AG269" s="385"/>
      <c r="AH269" s="385"/>
      <c r="AI269" s="385"/>
      <c r="AJ269" s="385"/>
      <c r="AK269" s="385"/>
      <c r="AL269" s="385"/>
      <c r="AM269" s="385"/>
      <c r="AN269" s="385"/>
      <c r="AO269" s="385"/>
      <c r="AP269" s="385"/>
      <c r="AQ269" s="385"/>
      <c r="AR269" s="385"/>
      <c r="AS269" s="385"/>
      <c r="AT269" s="385"/>
      <c r="AU269" s="385"/>
      <c r="AV269" s="385"/>
      <c r="AW269" s="385"/>
      <c r="AX269" s="385"/>
    </row>
    <row r="270" spans="1:50" ht="10.8" hidden="1" thickTop="1" x14ac:dyDescent="0.2">
      <c r="A270" s="385"/>
      <c r="B270" s="385"/>
      <c r="C270" s="385"/>
      <c r="D270" s="445"/>
      <c r="E270" s="445"/>
      <c r="F270" s="445"/>
      <c r="G270" s="445"/>
      <c r="H270" s="445"/>
      <c r="I270" s="454"/>
      <c r="J270" s="454"/>
      <c r="K270" s="442"/>
      <c r="L270" s="442"/>
      <c r="M270" s="442"/>
      <c r="N270" s="442"/>
      <c r="O270" s="443"/>
      <c r="P270" s="385"/>
      <c r="Q270" s="385"/>
      <c r="R270" s="385"/>
      <c r="S270" s="385"/>
      <c r="T270" s="385"/>
      <c r="U270" s="385"/>
      <c r="V270" s="385"/>
      <c r="W270" s="385"/>
      <c r="X270" s="385"/>
      <c r="Y270" s="385"/>
      <c r="Z270" s="385"/>
      <c r="AA270" s="385"/>
      <c r="AB270" s="385"/>
      <c r="AC270" s="385"/>
      <c r="AD270" s="385"/>
      <c r="AE270" s="385"/>
      <c r="AF270" s="385"/>
      <c r="AG270" s="385"/>
      <c r="AH270" s="385"/>
      <c r="AI270" s="385"/>
      <c r="AJ270" s="385"/>
      <c r="AK270" s="385"/>
      <c r="AL270" s="385"/>
      <c r="AM270" s="385"/>
      <c r="AN270" s="385"/>
      <c r="AO270" s="385"/>
      <c r="AP270" s="385"/>
      <c r="AQ270" s="385"/>
      <c r="AR270" s="385"/>
      <c r="AS270" s="385"/>
      <c r="AT270" s="385"/>
      <c r="AU270" s="385"/>
      <c r="AV270" s="385"/>
      <c r="AW270" s="385"/>
      <c r="AX270" s="385"/>
    </row>
    <row r="271" spans="1:50" ht="10.8" hidden="1" thickTop="1" x14ac:dyDescent="0.2">
      <c r="A271" s="385"/>
      <c r="B271" s="385"/>
      <c r="C271" s="385"/>
      <c r="D271" s="445"/>
      <c r="E271" s="445"/>
      <c r="F271" s="445"/>
      <c r="G271" s="445"/>
      <c r="H271" s="445"/>
      <c r="I271" s="454"/>
      <c r="J271" s="454"/>
      <c r="K271" s="442"/>
      <c r="L271" s="442"/>
      <c r="M271" s="442"/>
      <c r="N271" s="442"/>
      <c r="O271" s="443"/>
      <c r="P271" s="385"/>
      <c r="Q271" s="385"/>
      <c r="R271" s="385"/>
      <c r="S271" s="385"/>
      <c r="T271" s="385"/>
      <c r="U271" s="385"/>
      <c r="V271" s="385"/>
      <c r="W271" s="385"/>
      <c r="X271" s="385"/>
      <c r="Y271" s="385"/>
      <c r="Z271" s="385"/>
      <c r="AA271" s="385"/>
      <c r="AB271" s="385"/>
      <c r="AC271" s="385"/>
      <c r="AD271" s="385"/>
      <c r="AE271" s="385"/>
      <c r="AF271" s="385"/>
      <c r="AG271" s="385"/>
      <c r="AH271" s="385"/>
      <c r="AI271" s="385"/>
      <c r="AJ271" s="385"/>
      <c r="AK271" s="385"/>
      <c r="AL271" s="385"/>
      <c r="AM271" s="385"/>
      <c r="AN271" s="385"/>
      <c r="AO271" s="385"/>
      <c r="AP271" s="385"/>
      <c r="AQ271" s="385"/>
      <c r="AR271" s="385"/>
      <c r="AS271" s="385"/>
      <c r="AT271" s="385"/>
      <c r="AU271" s="385"/>
      <c r="AV271" s="385"/>
      <c r="AW271" s="385"/>
      <c r="AX271" s="385"/>
    </row>
    <row r="272" spans="1:50" ht="10.8" hidden="1" thickTop="1" x14ac:dyDescent="0.2">
      <c r="A272" s="385"/>
      <c r="B272" s="385"/>
      <c r="C272" s="385"/>
      <c r="D272" s="445"/>
      <c r="E272" s="445"/>
      <c r="F272" s="445"/>
      <c r="G272" s="445"/>
      <c r="H272" s="445"/>
      <c r="I272" s="454"/>
      <c r="J272" s="454"/>
      <c r="K272" s="442"/>
      <c r="L272" s="442"/>
      <c r="M272" s="442"/>
      <c r="N272" s="442"/>
      <c r="O272" s="443"/>
      <c r="P272" s="385"/>
      <c r="Q272" s="385"/>
      <c r="R272" s="385"/>
      <c r="S272" s="385"/>
      <c r="T272" s="385"/>
      <c r="U272" s="385"/>
      <c r="V272" s="385"/>
      <c r="W272" s="385"/>
      <c r="X272" s="385"/>
      <c r="Y272" s="385"/>
      <c r="Z272" s="385"/>
      <c r="AA272" s="385"/>
      <c r="AB272" s="385"/>
      <c r="AC272" s="385"/>
      <c r="AD272" s="385"/>
      <c r="AE272" s="385"/>
      <c r="AF272" s="385"/>
      <c r="AG272" s="385"/>
      <c r="AH272" s="385"/>
      <c r="AI272" s="385"/>
      <c r="AJ272" s="385"/>
      <c r="AK272" s="385"/>
      <c r="AL272" s="385"/>
      <c r="AM272" s="385"/>
      <c r="AN272" s="385"/>
      <c r="AO272" s="385"/>
      <c r="AP272" s="385"/>
      <c r="AQ272" s="385"/>
      <c r="AR272" s="385"/>
      <c r="AS272" s="385"/>
      <c r="AT272" s="385"/>
      <c r="AU272" s="385"/>
      <c r="AV272" s="385"/>
      <c r="AW272" s="385"/>
      <c r="AX272" s="385"/>
    </row>
    <row r="273" spans="1:50" ht="10.8" hidden="1" thickTop="1" x14ac:dyDescent="0.2">
      <c r="A273" s="385"/>
      <c r="B273" s="385"/>
      <c r="C273" s="385"/>
      <c r="D273" s="385"/>
      <c r="E273" s="385"/>
      <c r="F273" s="385"/>
      <c r="G273" s="385"/>
      <c r="H273" s="385"/>
      <c r="I273" s="442"/>
      <c r="J273" s="442"/>
      <c r="K273" s="442"/>
      <c r="L273" s="442"/>
      <c r="M273" s="442"/>
      <c r="N273" s="442"/>
      <c r="O273" s="443"/>
      <c r="P273" s="385"/>
      <c r="Q273" s="385"/>
      <c r="R273" s="385"/>
      <c r="S273" s="385"/>
      <c r="T273" s="385"/>
      <c r="U273" s="385"/>
      <c r="V273" s="385"/>
      <c r="W273" s="385"/>
      <c r="X273" s="385"/>
      <c r="Y273" s="385"/>
      <c r="Z273" s="385"/>
      <c r="AA273" s="385"/>
      <c r="AB273" s="385"/>
      <c r="AC273" s="385"/>
      <c r="AD273" s="385"/>
      <c r="AE273" s="385"/>
      <c r="AF273" s="385"/>
      <c r="AG273" s="385"/>
      <c r="AH273" s="385"/>
      <c r="AI273" s="385"/>
      <c r="AJ273" s="385"/>
      <c r="AK273" s="385"/>
      <c r="AL273" s="385"/>
      <c r="AM273" s="385"/>
      <c r="AN273" s="385"/>
      <c r="AO273" s="385"/>
      <c r="AP273" s="385"/>
      <c r="AQ273" s="385"/>
      <c r="AR273" s="385"/>
      <c r="AS273" s="385"/>
      <c r="AT273" s="385"/>
      <c r="AU273" s="385"/>
      <c r="AV273" s="385"/>
      <c r="AW273" s="385"/>
      <c r="AX273" s="385"/>
    </row>
    <row r="274" spans="1:50" ht="10.8" hidden="1" thickTop="1" x14ac:dyDescent="0.2">
      <c r="A274" s="385"/>
      <c r="B274" s="385"/>
      <c r="C274" s="385"/>
      <c r="D274" s="385"/>
      <c r="E274" s="385"/>
      <c r="F274" s="385"/>
      <c r="G274" s="385"/>
      <c r="H274" s="385"/>
      <c r="I274" s="442"/>
      <c r="J274" s="442"/>
      <c r="K274" s="442"/>
      <c r="L274" s="442"/>
      <c r="M274" s="442"/>
      <c r="N274" s="442"/>
      <c r="O274" s="443"/>
      <c r="P274" s="385"/>
      <c r="Q274" s="385"/>
      <c r="R274" s="385"/>
      <c r="S274" s="385"/>
      <c r="T274" s="385"/>
      <c r="U274" s="385"/>
      <c r="V274" s="385"/>
      <c r="W274" s="385"/>
      <c r="X274" s="385"/>
      <c r="Y274" s="385"/>
      <c r="Z274" s="385"/>
      <c r="AA274" s="385"/>
      <c r="AB274" s="385"/>
      <c r="AC274" s="385"/>
      <c r="AD274" s="385"/>
      <c r="AE274" s="385"/>
      <c r="AF274" s="385"/>
      <c r="AG274" s="385"/>
      <c r="AH274" s="385"/>
      <c r="AI274" s="385"/>
      <c r="AJ274" s="385"/>
      <c r="AK274" s="385"/>
      <c r="AL274" s="385"/>
      <c r="AM274" s="385"/>
      <c r="AN274" s="385"/>
      <c r="AO274" s="385"/>
      <c r="AP274" s="385"/>
      <c r="AQ274" s="385"/>
      <c r="AR274" s="385"/>
      <c r="AS274" s="385"/>
      <c r="AT274" s="385"/>
      <c r="AU274" s="385"/>
      <c r="AV274" s="385"/>
      <c r="AW274" s="385"/>
      <c r="AX274" s="385"/>
    </row>
    <row r="275" spans="1:50" ht="10.8" hidden="1" thickTop="1" x14ac:dyDescent="0.2">
      <c r="A275" s="385"/>
      <c r="B275" s="385"/>
      <c r="C275" s="385"/>
      <c r="D275" s="385"/>
      <c r="E275" s="385"/>
      <c r="F275" s="385"/>
      <c r="G275" s="385"/>
      <c r="H275" s="385"/>
      <c r="I275" s="442"/>
      <c r="J275" s="442"/>
      <c r="K275" s="442"/>
      <c r="L275" s="442"/>
      <c r="M275" s="442"/>
      <c r="N275" s="442"/>
      <c r="O275" s="443"/>
      <c r="P275" s="385"/>
      <c r="Q275" s="385"/>
      <c r="R275" s="385"/>
      <c r="S275" s="385"/>
      <c r="T275" s="385"/>
      <c r="U275" s="385"/>
      <c r="V275" s="385"/>
      <c r="W275" s="385"/>
      <c r="X275" s="385"/>
      <c r="Y275" s="385"/>
      <c r="Z275" s="385"/>
      <c r="AA275" s="385"/>
      <c r="AB275" s="385"/>
      <c r="AC275" s="385"/>
      <c r="AD275" s="385"/>
      <c r="AE275" s="385"/>
      <c r="AF275" s="385"/>
      <c r="AG275" s="385"/>
      <c r="AH275" s="385"/>
      <c r="AI275" s="385"/>
      <c r="AJ275" s="385"/>
      <c r="AK275" s="385"/>
      <c r="AL275" s="385"/>
      <c r="AM275" s="385"/>
      <c r="AN275" s="385"/>
      <c r="AO275" s="385"/>
      <c r="AP275" s="385"/>
      <c r="AQ275" s="385"/>
      <c r="AR275" s="385"/>
      <c r="AS275" s="385"/>
      <c r="AT275" s="385"/>
      <c r="AU275" s="385"/>
      <c r="AV275" s="385"/>
      <c r="AW275" s="385"/>
      <c r="AX275" s="385"/>
    </row>
    <row r="276" spans="1:50" ht="10.8" hidden="1" thickTop="1" x14ac:dyDescent="0.2">
      <c r="A276" s="385"/>
      <c r="B276" s="385"/>
      <c r="C276" s="385"/>
      <c r="D276" s="385"/>
      <c r="E276" s="385"/>
      <c r="F276" s="385"/>
      <c r="G276" s="385"/>
      <c r="H276" s="385"/>
      <c r="I276" s="442"/>
      <c r="J276" s="442"/>
      <c r="K276" s="442"/>
      <c r="L276" s="442"/>
      <c r="M276" s="442"/>
      <c r="N276" s="442"/>
      <c r="O276" s="443"/>
      <c r="P276" s="385"/>
      <c r="Q276" s="385"/>
      <c r="R276" s="385"/>
      <c r="S276" s="385"/>
      <c r="T276" s="385"/>
      <c r="U276" s="385"/>
      <c r="V276" s="385"/>
      <c r="W276" s="385"/>
      <c r="X276" s="385"/>
      <c r="Y276" s="385"/>
      <c r="Z276" s="385"/>
      <c r="AA276" s="385"/>
      <c r="AB276" s="385"/>
      <c r="AC276" s="385"/>
      <c r="AD276" s="385"/>
      <c r="AE276" s="385"/>
      <c r="AF276" s="385"/>
      <c r="AG276" s="385"/>
      <c r="AH276" s="385"/>
      <c r="AI276" s="385"/>
      <c r="AJ276" s="385"/>
      <c r="AK276" s="385"/>
      <c r="AL276" s="385"/>
      <c r="AM276" s="385"/>
      <c r="AN276" s="385"/>
      <c r="AO276" s="385"/>
      <c r="AP276" s="385"/>
      <c r="AQ276" s="385"/>
      <c r="AR276" s="385"/>
      <c r="AS276" s="385"/>
      <c r="AT276" s="385"/>
      <c r="AU276" s="385"/>
      <c r="AV276" s="385"/>
      <c r="AW276" s="385"/>
      <c r="AX276" s="385"/>
    </row>
    <row r="277" spans="1:50" ht="10.8" hidden="1" thickTop="1" x14ac:dyDescent="0.2">
      <c r="A277" s="385"/>
      <c r="B277" s="385"/>
      <c r="C277" s="385"/>
      <c r="D277" s="385"/>
      <c r="E277" s="385"/>
      <c r="F277" s="385"/>
      <c r="G277" s="385"/>
      <c r="H277" s="385"/>
      <c r="I277" s="442"/>
      <c r="J277" s="442"/>
      <c r="K277" s="442"/>
      <c r="L277" s="442"/>
      <c r="M277" s="442"/>
      <c r="N277" s="442"/>
      <c r="O277" s="443"/>
      <c r="P277" s="385"/>
      <c r="Q277" s="385"/>
      <c r="R277" s="385"/>
      <c r="S277" s="385"/>
      <c r="T277" s="385"/>
      <c r="U277" s="385"/>
      <c r="V277" s="385"/>
      <c r="W277" s="385"/>
      <c r="X277" s="385"/>
      <c r="Y277" s="385"/>
      <c r="Z277" s="385"/>
      <c r="AA277" s="385"/>
      <c r="AB277" s="385"/>
      <c r="AC277" s="385"/>
      <c r="AD277" s="385"/>
      <c r="AE277" s="385"/>
      <c r="AF277" s="385"/>
      <c r="AG277" s="385"/>
      <c r="AH277" s="385"/>
      <c r="AI277" s="385"/>
      <c r="AJ277" s="385"/>
      <c r="AK277" s="385"/>
      <c r="AL277" s="385"/>
      <c r="AM277" s="385"/>
      <c r="AN277" s="385"/>
      <c r="AO277" s="385"/>
      <c r="AP277" s="385"/>
      <c r="AQ277" s="385"/>
      <c r="AR277" s="385"/>
      <c r="AS277" s="385"/>
      <c r="AT277" s="385"/>
      <c r="AU277" s="385"/>
      <c r="AV277" s="385"/>
      <c r="AW277" s="385"/>
      <c r="AX277" s="385"/>
    </row>
    <row r="278" spans="1:50" ht="10.8" hidden="1" thickTop="1" x14ac:dyDescent="0.2">
      <c r="A278" s="385"/>
      <c r="B278" s="385"/>
      <c r="C278" s="385"/>
      <c r="D278" s="385"/>
      <c r="E278" s="385"/>
      <c r="F278" s="385"/>
      <c r="G278" s="385"/>
      <c r="H278" s="385"/>
      <c r="I278" s="442"/>
      <c r="J278" s="442"/>
      <c r="K278" s="442"/>
      <c r="L278" s="442"/>
      <c r="M278" s="442"/>
      <c r="N278" s="442"/>
      <c r="O278" s="443"/>
      <c r="P278" s="385"/>
      <c r="Q278" s="385"/>
      <c r="R278" s="385"/>
      <c r="S278" s="385"/>
      <c r="T278" s="385"/>
      <c r="U278" s="385"/>
      <c r="V278" s="385"/>
      <c r="W278" s="385"/>
      <c r="X278" s="385"/>
      <c r="Y278" s="385"/>
      <c r="Z278" s="385"/>
      <c r="AA278" s="385"/>
      <c r="AB278" s="385"/>
      <c r="AC278" s="385"/>
      <c r="AD278" s="385"/>
      <c r="AE278" s="385"/>
      <c r="AF278" s="385"/>
      <c r="AG278" s="385"/>
      <c r="AH278" s="385"/>
      <c r="AI278" s="385"/>
      <c r="AJ278" s="385"/>
      <c r="AK278" s="385"/>
      <c r="AL278" s="385"/>
      <c r="AM278" s="385"/>
      <c r="AN278" s="385"/>
      <c r="AO278" s="385"/>
      <c r="AP278" s="385"/>
      <c r="AQ278" s="385"/>
      <c r="AR278" s="385"/>
      <c r="AS278" s="385"/>
      <c r="AT278" s="385"/>
      <c r="AU278" s="385"/>
      <c r="AV278" s="385"/>
      <c r="AW278" s="385"/>
      <c r="AX278" s="385"/>
    </row>
    <row r="279" spans="1:50" ht="10.8" hidden="1" thickTop="1" x14ac:dyDescent="0.2">
      <c r="A279" s="385"/>
      <c r="B279" s="385"/>
      <c r="C279" s="385"/>
      <c r="D279" s="385"/>
      <c r="E279" s="385"/>
      <c r="F279" s="385"/>
      <c r="G279" s="385"/>
      <c r="H279" s="385"/>
      <c r="I279" s="442"/>
      <c r="J279" s="442"/>
      <c r="K279" s="442"/>
      <c r="L279" s="442"/>
      <c r="M279" s="442"/>
      <c r="N279" s="442"/>
      <c r="O279" s="443"/>
      <c r="P279" s="385"/>
      <c r="Q279" s="385"/>
      <c r="R279" s="385"/>
      <c r="S279" s="385"/>
      <c r="T279" s="385"/>
      <c r="U279" s="385"/>
      <c r="V279" s="385"/>
      <c r="W279" s="385"/>
      <c r="X279" s="385"/>
      <c r="Y279" s="385"/>
      <c r="Z279" s="385"/>
      <c r="AA279" s="385"/>
      <c r="AB279" s="385"/>
      <c r="AC279" s="385"/>
      <c r="AD279" s="385"/>
      <c r="AE279" s="385"/>
      <c r="AF279" s="385"/>
      <c r="AG279" s="385"/>
      <c r="AH279" s="385"/>
      <c r="AI279" s="385"/>
      <c r="AJ279" s="385"/>
      <c r="AK279" s="385"/>
      <c r="AL279" s="385"/>
      <c r="AM279" s="385"/>
      <c r="AN279" s="385"/>
      <c r="AO279" s="385"/>
      <c r="AP279" s="385"/>
      <c r="AQ279" s="385"/>
      <c r="AR279" s="385"/>
      <c r="AS279" s="385"/>
      <c r="AT279" s="385"/>
      <c r="AU279" s="385"/>
      <c r="AV279" s="385"/>
      <c r="AW279" s="385"/>
      <c r="AX279" s="385"/>
    </row>
    <row r="280" spans="1:50" ht="10.8" hidden="1" thickTop="1" x14ac:dyDescent="0.2">
      <c r="A280" s="385"/>
      <c r="B280" s="444"/>
      <c r="C280" s="385"/>
      <c r="D280" s="385"/>
      <c r="E280" s="385"/>
      <c r="F280" s="385"/>
      <c r="G280" s="385"/>
      <c r="H280" s="385"/>
      <c r="I280" s="442"/>
      <c r="J280" s="442"/>
      <c r="K280" s="442"/>
      <c r="L280" s="442"/>
      <c r="M280" s="442"/>
      <c r="N280" s="442"/>
      <c r="O280" s="443"/>
      <c r="P280" s="385"/>
      <c r="Q280" s="385"/>
      <c r="R280" s="385"/>
      <c r="S280" s="385"/>
      <c r="T280" s="385"/>
      <c r="U280" s="385"/>
      <c r="V280" s="385"/>
      <c r="W280" s="385"/>
      <c r="X280" s="385"/>
      <c r="Y280" s="385"/>
      <c r="Z280" s="385"/>
      <c r="AA280" s="385"/>
      <c r="AB280" s="385"/>
      <c r="AC280" s="385"/>
      <c r="AD280" s="385"/>
      <c r="AE280" s="385"/>
      <c r="AF280" s="385"/>
      <c r="AG280" s="385"/>
      <c r="AH280" s="385"/>
      <c r="AI280" s="385"/>
      <c r="AJ280" s="385"/>
      <c r="AK280" s="385"/>
      <c r="AL280" s="385"/>
      <c r="AM280" s="385"/>
      <c r="AN280" s="385"/>
      <c r="AO280" s="385"/>
      <c r="AP280" s="385"/>
      <c r="AQ280" s="385"/>
      <c r="AR280" s="385"/>
      <c r="AS280" s="385"/>
      <c r="AT280" s="385"/>
      <c r="AU280" s="385"/>
      <c r="AV280" s="385"/>
      <c r="AW280" s="385"/>
      <c r="AX280" s="385"/>
    </row>
    <row r="281" spans="1:50" ht="10.8" hidden="1" thickTop="1" x14ac:dyDescent="0.2">
      <c r="A281" s="385"/>
      <c r="B281" s="385"/>
      <c r="C281" s="385"/>
      <c r="D281" s="385"/>
      <c r="E281" s="385"/>
      <c r="F281" s="385"/>
      <c r="G281" s="385"/>
      <c r="H281" s="385"/>
      <c r="I281" s="442"/>
      <c r="J281" s="442"/>
      <c r="K281" s="442"/>
      <c r="L281" s="442"/>
      <c r="M281" s="447"/>
      <c r="N281" s="447"/>
      <c r="O281" s="443"/>
      <c r="P281" s="385"/>
      <c r="Q281" s="385"/>
      <c r="R281" s="385"/>
      <c r="S281" s="385"/>
      <c r="T281" s="385"/>
      <c r="U281" s="385"/>
      <c r="V281" s="385"/>
      <c r="W281" s="385"/>
      <c r="X281" s="385"/>
      <c r="Y281" s="385"/>
      <c r="Z281" s="385"/>
      <c r="AA281" s="385"/>
      <c r="AB281" s="385"/>
      <c r="AC281" s="385"/>
      <c r="AD281" s="385"/>
      <c r="AE281" s="385"/>
      <c r="AF281" s="385"/>
      <c r="AG281" s="385"/>
      <c r="AH281" s="385"/>
      <c r="AI281" s="385"/>
      <c r="AJ281" s="385"/>
      <c r="AK281" s="385"/>
      <c r="AL281" s="385"/>
      <c r="AM281" s="385"/>
      <c r="AN281" s="385"/>
      <c r="AO281" s="385"/>
      <c r="AP281" s="385"/>
      <c r="AQ281" s="385"/>
      <c r="AR281" s="385"/>
      <c r="AS281" s="385"/>
      <c r="AT281" s="385"/>
      <c r="AU281" s="385"/>
      <c r="AV281" s="385"/>
      <c r="AW281" s="385"/>
      <c r="AX281" s="385"/>
    </row>
    <row r="282" spans="1:50" ht="10.8" hidden="1" thickTop="1" x14ac:dyDescent="0.2">
      <c r="A282" s="385"/>
      <c r="B282" s="385"/>
      <c r="C282" s="385"/>
      <c r="D282" s="385"/>
      <c r="E282" s="385"/>
      <c r="F282" s="385"/>
      <c r="G282" s="385"/>
      <c r="H282" s="385"/>
      <c r="I282" s="442"/>
      <c r="J282" s="442"/>
      <c r="K282" s="442"/>
      <c r="L282" s="442"/>
      <c r="M282" s="442"/>
      <c r="N282" s="442"/>
      <c r="O282" s="443"/>
      <c r="P282" s="385"/>
      <c r="Q282" s="385"/>
      <c r="R282" s="385"/>
      <c r="S282" s="385"/>
      <c r="T282" s="385"/>
      <c r="U282" s="385"/>
      <c r="V282" s="385"/>
      <c r="W282" s="385"/>
      <c r="X282" s="385"/>
      <c r="Y282" s="385"/>
      <c r="Z282" s="385"/>
      <c r="AA282" s="385"/>
      <c r="AB282" s="385"/>
      <c r="AC282" s="385"/>
      <c r="AD282" s="385"/>
      <c r="AE282" s="385"/>
      <c r="AF282" s="385"/>
      <c r="AG282" s="385"/>
      <c r="AH282" s="385"/>
      <c r="AI282" s="385"/>
      <c r="AJ282" s="385"/>
      <c r="AK282" s="385"/>
      <c r="AL282" s="385"/>
      <c r="AM282" s="385"/>
      <c r="AN282" s="385"/>
      <c r="AO282" s="385"/>
      <c r="AP282" s="385"/>
      <c r="AQ282" s="385"/>
      <c r="AR282" s="385"/>
      <c r="AS282" s="385"/>
      <c r="AT282" s="385"/>
      <c r="AU282" s="385"/>
      <c r="AV282" s="385"/>
      <c r="AW282" s="385"/>
      <c r="AX282" s="385"/>
    </row>
    <row r="283" spans="1:50" ht="10.8" hidden="1" thickTop="1" x14ac:dyDescent="0.2">
      <c r="A283" s="385"/>
      <c r="B283" s="385"/>
      <c r="C283" s="385"/>
      <c r="D283" s="445"/>
      <c r="E283" s="445"/>
      <c r="F283" s="445"/>
      <c r="G283" s="445"/>
      <c r="H283" s="445"/>
      <c r="I283" s="454"/>
      <c r="J283" s="454"/>
      <c r="K283" s="454"/>
      <c r="L283" s="442"/>
      <c r="M283" s="442"/>
      <c r="N283" s="442"/>
      <c r="O283" s="443"/>
      <c r="P283" s="385"/>
      <c r="Q283" s="385"/>
      <c r="R283" s="385"/>
      <c r="S283" s="385"/>
      <c r="T283" s="385"/>
      <c r="U283" s="385"/>
      <c r="V283" s="385"/>
      <c r="W283" s="385"/>
      <c r="X283" s="385"/>
      <c r="Y283" s="385"/>
      <c r="Z283" s="385"/>
      <c r="AA283" s="385"/>
      <c r="AB283" s="385"/>
      <c r="AC283" s="385"/>
      <c r="AD283" s="385"/>
      <c r="AE283" s="385"/>
      <c r="AF283" s="385"/>
      <c r="AG283" s="385"/>
      <c r="AH283" s="385"/>
      <c r="AI283" s="385"/>
      <c r="AJ283" s="385"/>
      <c r="AK283" s="385"/>
      <c r="AL283" s="385"/>
      <c r="AM283" s="385"/>
      <c r="AN283" s="385"/>
      <c r="AO283" s="385"/>
      <c r="AP283" s="385"/>
      <c r="AQ283" s="385"/>
      <c r="AR283" s="385"/>
      <c r="AS283" s="385"/>
      <c r="AT283" s="385"/>
      <c r="AU283" s="385"/>
      <c r="AV283" s="385"/>
      <c r="AW283" s="385"/>
      <c r="AX283" s="385"/>
    </row>
    <row r="284" spans="1:50" ht="10.8" hidden="1" thickTop="1" x14ac:dyDescent="0.2">
      <c r="A284" s="385"/>
      <c r="B284" s="385"/>
      <c r="C284" s="385"/>
      <c r="D284" s="445"/>
      <c r="E284" s="445"/>
      <c r="F284" s="445"/>
      <c r="G284" s="445"/>
      <c r="H284" s="445"/>
      <c r="I284" s="454"/>
      <c r="J284" s="454"/>
      <c r="K284" s="454"/>
      <c r="L284" s="442"/>
      <c r="M284" s="442"/>
      <c r="N284" s="442"/>
      <c r="O284" s="443"/>
      <c r="P284" s="385"/>
      <c r="Q284" s="385"/>
      <c r="R284" s="385"/>
      <c r="S284" s="385"/>
      <c r="T284" s="385"/>
      <c r="U284" s="385"/>
      <c r="V284" s="385"/>
      <c r="W284" s="385"/>
      <c r="X284" s="385"/>
      <c r="Y284" s="385"/>
      <c r="Z284" s="385"/>
      <c r="AA284" s="385"/>
      <c r="AB284" s="385"/>
      <c r="AC284" s="385"/>
      <c r="AD284" s="385"/>
      <c r="AE284" s="385"/>
      <c r="AF284" s="385"/>
      <c r="AG284" s="385"/>
      <c r="AH284" s="385"/>
      <c r="AI284" s="385"/>
      <c r="AJ284" s="385"/>
      <c r="AK284" s="385"/>
      <c r="AL284" s="385"/>
      <c r="AM284" s="385"/>
      <c r="AN284" s="385"/>
      <c r="AO284" s="385"/>
      <c r="AP284" s="385"/>
      <c r="AQ284" s="385"/>
      <c r="AR284" s="385"/>
      <c r="AS284" s="385"/>
      <c r="AT284" s="385"/>
      <c r="AU284" s="385"/>
      <c r="AV284" s="385"/>
      <c r="AW284" s="385"/>
      <c r="AX284" s="385"/>
    </row>
    <row r="285" spans="1:50" ht="10.8" hidden="1" thickTop="1" x14ac:dyDescent="0.2">
      <c r="A285" s="385"/>
      <c r="B285" s="385"/>
      <c r="C285" s="385"/>
      <c r="D285" s="445"/>
      <c r="E285" s="445"/>
      <c r="F285" s="445"/>
      <c r="G285" s="445"/>
      <c r="H285" s="445"/>
      <c r="I285" s="454"/>
      <c r="J285" s="454"/>
      <c r="K285" s="454"/>
      <c r="L285" s="442"/>
      <c r="M285" s="442"/>
      <c r="N285" s="442"/>
      <c r="O285" s="443"/>
      <c r="P285" s="385"/>
      <c r="Q285" s="385"/>
      <c r="R285" s="385"/>
      <c r="S285" s="385"/>
      <c r="T285" s="385"/>
      <c r="U285" s="385"/>
      <c r="V285" s="385"/>
      <c r="W285" s="385"/>
      <c r="X285" s="385"/>
      <c r="Y285" s="385"/>
      <c r="Z285" s="385"/>
      <c r="AA285" s="385"/>
      <c r="AB285" s="385"/>
      <c r="AC285" s="385"/>
      <c r="AD285" s="385"/>
      <c r="AE285" s="385"/>
      <c r="AF285" s="385"/>
      <c r="AG285" s="385"/>
      <c r="AH285" s="385"/>
      <c r="AI285" s="385"/>
      <c r="AJ285" s="385"/>
      <c r="AK285" s="385"/>
      <c r="AL285" s="385"/>
      <c r="AM285" s="385"/>
      <c r="AN285" s="385"/>
      <c r="AO285" s="385"/>
      <c r="AP285" s="385"/>
      <c r="AQ285" s="385"/>
      <c r="AR285" s="385"/>
      <c r="AS285" s="385"/>
      <c r="AT285" s="385"/>
      <c r="AU285" s="385"/>
      <c r="AV285" s="385"/>
      <c r="AW285" s="385"/>
      <c r="AX285" s="385"/>
    </row>
    <row r="286" spans="1:50" ht="10.8" hidden="1" thickTop="1" x14ac:dyDescent="0.2">
      <c r="A286" s="385"/>
      <c r="B286" s="385"/>
      <c r="C286" s="385"/>
      <c r="D286" s="445"/>
      <c r="E286" s="445"/>
      <c r="F286" s="445"/>
      <c r="G286" s="445"/>
      <c r="H286" s="445"/>
      <c r="I286" s="454"/>
      <c r="J286" s="454"/>
      <c r="K286" s="454"/>
      <c r="L286" s="442"/>
      <c r="M286" s="442"/>
      <c r="N286" s="442"/>
      <c r="O286" s="443"/>
      <c r="P286" s="385"/>
      <c r="Q286" s="385"/>
      <c r="R286" s="385"/>
      <c r="S286" s="385"/>
      <c r="T286" s="385"/>
      <c r="U286" s="385"/>
      <c r="V286" s="385"/>
      <c r="W286" s="385"/>
      <c r="X286" s="385"/>
      <c r="Y286" s="385"/>
      <c r="Z286" s="385"/>
      <c r="AA286" s="385"/>
      <c r="AB286" s="385"/>
      <c r="AC286" s="385"/>
      <c r="AD286" s="385"/>
      <c r="AE286" s="385"/>
      <c r="AF286" s="385"/>
      <c r="AG286" s="385"/>
      <c r="AH286" s="385"/>
      <c r="AI286" s="385"/>
      <c r="AJ286" s="385"/>
      <c r="AK286" s="385"/>
      <c r="AL286" s="385"/>
      <c r="AM286" s="385"/>
      <c r="AN286" s="385"/>
      <c r="AO286" s="385"/>
      <c r="AP286" s="385"/>
      <c r="AQ286" s="385"/>
      <c r="AR286" s="385"/>
      <c r="AS286" s="385"/>
      <c r="AT286" s="385"/>
      <c r="AU286" s="385"/>
      <c r="AV286" s="385"/>
      <c r="AW286" s="385"/>
      <c r="AX286" s="385"/>
    </row>
    <row r="287" spans="1:50" ht="10.8" hidden="1" thickTop="1" x14ac:dyDescent="0.2">
      <c r="A287" s="385"/>
      <c r="B287" s="385"/>
      <c r="C287" s="385"/>
      <c r="D287" s="385"/>
      <c r="E287" s="385"/>
      <c r="F287" s="385"/>
      <c r="G287" s="385"/>
      <c r="H287" s="385"/>
      <c r="I287" s="442"/>
      <c r="J287" s="442"/>
      <c r="K287" s="442"/>
      <c r="L287" s="442"/>
      <c r="M287" s="442"/>
      <c r="N287" s="442"/>
      <c r="O287" s="443"/>
      <c r="P287" s="385"/>
      <c r="Q287" s="385"/>
      <c r="R287" s="385"/>
      <c r="S287" s="385"/>
      <c r="T287" s="385"/>
      <c r="U287" s="385"/>
      <c r="V287" s="385"/>
      <c r="W287" s="385"/>
      <c r="X287" s="385"/>
      <c r="Y287" s="385"/>
      <c r="Z287" s="385"/>
      <c r="AA287" s="385"/>
      <c r="AB287" s="385"/>
      <c r="AC287" s="385"/>
      <c r="AD287" s="385"/>
      <c r="AE287" s="385"/>
      <c r="AF287" s="385"/>
      <c r="AG287" s="385"/>
      <c r="AH287" s="385"/>
      <c r="AI287" s="385"/>
      <c r="AJ287" s="385"/>
      <c r="AK287" s="385"/>
      <c r="AL287" s="385"/>
      <c r="AM287" s="385"/>
      <c r="AN287" s="385"/>
      <c r="AO287" s="385"/>
      <c r="AP287" s="385"/>
      <c r="AQ287" s="385"/>
      <c r="AR287" s="385"/>
      <c r="AS287" s="385"/>
      <c r="AT287" s="385"/>
      <c r="AU287" s="385"/>
      <c r="AV287" s="385"/>
      <c r="AW287" s="385"/>
      <c r="AX287" s="385"/>
    </row>
    <row r="288" spans="1:50" ht="10.8" hidden="1" thickTop="1" x14ac:dyDescent="0.2">
      <c r="A288" s="385"/>
      <c r="B288" s="385"/>
      <c r="C288" s="385"/>
      <c r="D288" s="385"/>
      <c r="E288" s="385"/>
      <c r="F288" s="385"/>
      <c r="G288" s="385"/>
      <c r="H288" s="385"/>
      <c r="I288" s="442"/>
      <c r="J288" s="442"/>
      <c r="K288" s="442"/>
      <c r="L288" s="442"/>
      <c r="M288" s="442"/>
      <c r="N288" s="442"/>
      <c r="O288" s="443"/>
      <c r="P288" s="385"/>
      <c r="Q288" s="385"/>
      <c r="R288" s="385"/>
      <c r="S288" s="385"/>
      <c r="T288" s="385"/>
      <c r="U288" s="385"/>
      <c r="V288" s="385"/>
      <c r="W288" s="385"/>
      <c r="X288" s="385"/>
      <c r="Y288" s="385"/>
      <c r="Z288" s="385"/>
      <c r="AA288" s="385"/>
      <c r="AB288" s="385"/>
      <c r="AC288" s="385"/>
      <c r="AD288" s="385"/>
      <c r="AE288" s="385"/>
      <c r="AF288" s="385"/>
      <c r="AG288" s="385"/>
      <c r="AH288" s="385"/>
      <c r="AI288" s="385"/>
      <c r="AJ288" s="385"/>
      <c r="AK288" s="385"/>
      <c r="AL288" s="385"/>
      <c r="AM288" s="385"/>
      <c r="AN288" s="385"/>
      <c r="AO288" s="385"/>
      <c r="AP288" s="385"/>
      <c r="AQ288" s="385"/>
      <c r="AR288" s="385"/>
      <c r="AS288" s="385"/>
      <c r="AT288" s="385"/>
      <c r="AU288" s="385"/>
      <c r="AV288" s="385"/>
      <c r="AW288" s="385"/>
      <c r="AX288" s="385"/>
    </row>
    <row r="289" spans="1:50" ht="10.8" hidden="1" thickTop="1" x14ac:dyDescent="0.2">
      <c r="A289" s="385"/>
      <c r="B289" s="385"/>
      <c r="C289" s="385"/>
      <c r="D289" s="385"/>
      <c r="E289" s="385"/>
      <c r="F289" s="385"/>
      <c r="G289" s="385"/>
      <c r="H289" s="385"/>
      <c r="I289" s="442"/>
      <c r="J289" s="442"/>
      <c r="K289" s="442"/>
      <c r="L289" s="442"/>
      <c r="M289" s="442"/>
      <c r="N289" s="442"/>
      <c r="O289" s="443"/>
      <c r="P289" s="385"/>
      <c r="Q289" s="385"/>
      <c r="R289" s="385"/>
      <c r="S289" s="385"/>
      <c r="T289" s="385"/>
      <c r="U289" s="385"/>
      <c r="V289" s="385"/>
      <c r="W289" s="385"/>
      <c r="X289" s="385"/>
      <c r="Y289" s="385"/>
      <c r="Z289" s="385"/>
      <c r="AA289" s="385"/>
      <c r="AB289" s="385"/>
      <c r="AC289" s="385"/>
      <c r="AD289" s="385"/>
      <c r="AE289" s="385"/>
      <c r="AF289" s="385"/>
      <c r="AG289" s="385"/>
      <c r="AH289" s="385"/>
      <c r="AI289" s="385"/>
      <c r="AJ289" s="385"/>
      <c r="AK289" s="385"/>
      <c r="AL289" s="385"/>
      <c r="AM289" s="385"/>
      <c r="AN289" s="385"/>
      <c r="AO289" s="385"/>
      <c r="AP289" s="385"/>
      <c r="AQ289" s="385"/>
      <c r="AR289" s="385"/>
      <c r="AS289" s="385"/>
      <c r="AT289" s="385"/>
      <c r="AU289" s="385"/>
      <c r="AV289" s="385"/>
      <c r="AW289" s="385"/>
      <c r="AX289" s="385"/>
    </row>
    <row r="290" spans="1:50" ht="10.8" hidden="1" thickTop="1" x14ac:dyDescent="0.2">
      <c r="A290" s="385"/>
      <c r="B290" s="385"/>
      <c r="C290" s="385"/>
      <c r="D290" s="385"/>
      <c r="E290" s="385"/>
      <c r="F290" s="385"/>
      <c r="G290" s="385"/>
      <c r="H290" s="385"/>
      <c r="I290" s="442"/>
      <c r="J290" s="442"/>
      <c r="K290" s="442"/>
      <c r="L290" s="442"/>
      <c r="M290" s="442"/>
      <c r="N290" s="442"/>
      <c r="O290" s="443"/>
      <c r="P290" s="385"/>
      <c r="Q290" s="385"/>
      <c r="R290" s="385"/>
      <c r="S290" s="385"/>
      <c r="T290" s="385"/>
      <c r="U290" s="385"/>
      <c r="V290" s="385"/>
      <c r="W290" s="385"/>
      <c r="X290" s="385"/>
      <c r="Y290" s="385"/>
      <c r="Z290" s="385"/>
      <c r="AA290" s="385"/>
      <c r="AB290" s="385"/>
      <c r="AC290" s="385"/>
      <c r="AD290" s="385"/>
      <c r="AE290" s="385"/>
      <c r="AF290" s="385"/>
      <c r="AG290" s="385"/>
      <c r="AH290" s="385"/>
      <c r="AI290" s="385"/>
      <c r="AJ290" s="385"/>
      <c r="AK290" s="385"/>
      <c r="AL290" s="385"/>
      <c r="AM290" s="385"/>
      <c r="AN290" s="385"/>
      <c r="AO290" s="385"/>
      <c r="AP290" s="385"/>
      <c r="AQ290" s="385"/>
      <c r="AR290" s="385"/>
      <c r="AS290" s="385"/>
      <c r="AT290" s="385"/>
      <c r="AU290" s="385"/>
      <c r="AV290" s="385"/>
      <c r="AW290" s="385"/>
      <c r="AX290" s="385"/>
    </row>
    <row r="291" spans="1:50" ht="10.8" hidden="1" thickTop="1" x14ac:dyDescent="0.2">
      <c r="A291" s="385"/>
      <c r="B291" s="385"/>
      <c r="C291" s="385"/>
      <c r="D291" s="385"/>
      <c r="E291" s="385"/>
      <c r="F291" s="385"/>
      <c r="G291" s="385"/>
      <c r="H291" s="385"/>
      <c r="I291" s="442"/>
      <c r="J291" s="442"/>
      <c r="K291" s="442"/>
      <c r="L291" s="442"/>
      <c r="M291" s="442"/>
      <c r="N291" s="442"/>
      <c r="O291" s="443"/>
      <c r="P291" s="385"/>
      <c r="Q291" s="385"/>
      <c r="R291" s="385"/>
      <c r="S291" s="385"/>
      <c r="T291" s="385"/>
      <c r="U291" s="385"/>
      <c r="V291" s="385"/>
      <c r="W291" s="385"/>
      <c r="X291" s="385"/>
      <c r="Y291" s="385"/>
      <c r="Z291" s="385"/>
      <c r="AA291" s="385"/>
      <c r="AB291" s="385"/>
      <c r="AC291" s="385"/>
      <c r="AD291" s="385"/>
      <c r="AE291" s="385"/>
      <c r="AF291" s="385"/>
      <c r="AG291" s="385"/>
      <c r="AH291" s="385"/>
      <c r="AI291" s="385"/>
      <c r="AJ291" s="385"/>
      <c r="AK291" s="385"/>
      <c r="AL291" s="385"/>
      <c r="AM291" s="385"/>
      <c r="AN291" s="385"/>
      <c r="AO291" s="385"/>
      <c r="AP291" s="385"/>
      <c r="AQ291" s="385"/>
      <c r="AR291" s="385"/>
      <c r="AS291" s="385"/>
      <c r="AT291" s="385"/>
      <c r="AU291" s="385"/>
      <c r="AV291" s="385"/>
      <c r="AW291" s="385"/>
      <c r="AX291" s="385"/>
    </row>
    <row r="292" spans="1:50" ht="10.8" hidden="1" thickTop="1" x14ac:dyDescent="0.2">
      <c r="A292" s="385"/>
      <c r="B292" s="385"/>
      <c r="C292" s="385"/>
      <c r="D292" s="385"/>
      <c r="E292" s="385"/>
      <c r="F292" s="385"/>
      <c r="G292" s="385"/>
      <c r="H292" s="385"/>
      <c r="I292" s="442"/>
      <c r="J292" s="442"/>
      <c r="K292" s="442"/>
      <c r="L292" s="442"/>
      <c r="M292" s="442"/>
      <c r="N292" s="442"/>
      <c r="O292" s="443"/>
      <c r="P292" s="385"/>
      <c r="Q292" s="385"/>
      <c r="R292" s="385"/>
      <c r="S292" s="385"/>
      <c r="T292" s="385"/>
      <c r="U292" s="385"/>
      <c r="V292" s="385"/>
      <c r="W292" s="385"/>
      <c r="X292" s="385"/>
      <c r="Y292" s="385"/>
      <c r="Z292" s="385"/>
      <c r="AA292" s="385"/>
      <c r="AB292" s="385"/>
      <c r="AC292" s="385"/>
      <c r="AD292" s="385"/>
      <c r="AE292" s="385"/>
      <c r="AF292" s="385"/>
      <c r="AG292" s="385"/>
      <c r="AH292" s="385"/>
      <c r="AI292" s="385"/>
      <c r="AJ292" s="385"/>
      <c r="AK292" s="385"/>
      <c r="AL292" s="385"/>
      <c r="AM292" s="385"/>
      <c r="AN292" s="385"/>
      <c r="AO292" s="385"/>
      <c r="AP292" s="385"/>
      <c r="AQ292" s="385"/>
      <c r="AR292" s="385"/>
      <c r="AS292" s="385"/>
      <c r="AT292" s="385"/>
      <c r="AU292" s="385"/>
      <c r="AV292" s="385"/>
      <c r="AW292" s="385"/>
      <c r="AX292" s="385"/>
    </row>
    <row r="293" spans="1:50" ht="10.8" hidden="1" thickTop="1" x14ac:dyDescent="0.2">
      <c r="A293" s="385"/>
      <c r="B293" s="385"/>
      <c r="C293" s="385"/>
      <c r="D293" s="385"/>
      <c r="E293" s="385"/>
      <c r="F293" s="385"/>
      <c r="G293" s="385"/>
      <c r="H293" s="385"/>
      <c r="I293" s="442"/>
      <c r="J293" s="442"/>
      <c r="K293" s="442"/>
      <c r="L293" s="442"/>
      <c r="M293" s="442"/>
      <c r="N293" s="442"/>
      <c r="O293" s="443"/>
      <c r="P293" s="385"/>
      <c r="Q293" s="385"/>
      <c r="R293" s="385"/>
      <c r="S293" s="385"/>
      <c r="T293" s="385"/>
      <c r="U293" s="385"/>
      <c r="V293" s="385"/>
      <c r="W293" s="385"/>
      <c r="X293" s="385"/>
      <c r="Y293" s="385"/>
      <c r="Z293" s="385"/>
      <c r="AA293" s="385"/>
      <c r="AB293" s="385"/>
      <c r="AC293" s="385"/>
      <c r="AD293" s="385"/>
      <c r="AE293" s="385"/>
      <c r="AF293" s="385"/>
      <c r="AG293" s="385"/>
      <c r="AH293" s="385"/>
      <c r="AI293" s="385"/>
      <c r="AJ293" s="385"/>
      <c r="AK293" s="385"/>
      <c r="AL293" s="385"/>
      <c r="AM293" s="385"/>
      <c r="AN293" s="385"/>
      <c r="AO293" s="385"/>
      <c r="AP293" s="385"/>
      <c r="AQ293" s="385"/>
      <c r="AR293" s="385"/>
      <c r="AS293" s="385"/>
      <c r="AT293" s="385"/>
      <c r="AU293" s="385"/>
      <c r="AV293" s="385"/>
      <c r="AW293" s="385"/>
      <c r="AX293" s="385"/>
    </row>
    <row r="294" spans="1:50" ht="10.8" hidden="1" thickTop="1" x14ac:dyDescent="0.2">
      <c r="A294" s="385"/>
      <c r="B294" s="385"/>
      <c r="C294" s="385"/>
      <c r="D294" s="385"/>
      <c r="E294" s="385"/>
      <c r="F294" s="385"/>
      <c r="G294" s="385"/>
      <c r="H294" s="385"/>
      <c r="I294" s="442"/>
      <c r="J294" s="442"/>
      <c r="K294" s="442"/>
      <c r="L294" s="442"/>
      <c r="M294" s="442"/>
      <c r="N294" s="442"/>
      <c r="O294" s="443"/>
      <c r="P294" s="385"/>
      <c r="Q294" s="385"/>
      <c r="R294" s="385"/>
      <c r="S294" s="385"/>
      <c r="T294" s="385"/>
      <c r="U294" s="385"/>
      <c r="V294" s="385"/>
      <c r="W294" s="385"/>
      <c r="X294" s="385"/>
      <c r="Y294" s="385"/>
      <c r="Z294" s="385"/>
      <c r="AA294" s="385"/>
      <c r="AB294" s="385"/>
      <c r="AC294" s="385"/>
      <c r="AD294" s="385"/>
      <c r="AE294" s="385"/>
      <c r="AF294" s="385"/>
      <c r="AG294" s="385"/>
      <c r="AH294" s="385"/>
      <c r="AI294" s="385"/>
      <c r="AJ294" s="385"/>
      <c r="AK294" s="385"/>
      <c r="AL294" s="385"/>
      <c r="AM294" s="385"/>
      <c r="AN294" s="385"/>
      <c r="AO294" s="385"/>
      <c r="AP294" s="385"/>
      <c r="AQ294" s="385"/>
      <c r="AR294" s="385"/>
      <c r="AS294" s="385"/>
      <c r="AT294" s="385"/>
      <c r="AU294" s="385"/>
      <c r="AV294" s="385"/>
      <c r="AW294" s="385"/>
      <c r="AX294" s="385"/>
    </row>
    <row r="295" spans="1:50" ht="10.8" hidden="1" thickTop="1" x14ac:dyDescent="0.2">
      <c r="A295" s="385"/>
      <c r="B295" s="385"/>
      <c r="C295" s="385"/>
      <c r="D295" s="385"/>
      <c r="E295" s="385"/>
      <c r="F295" s="385"/>
      <c r="G295" s="385"/>
      <c r="H295" s="385"/>
      <c r="I295" s="442"/>
      <c r="J295" s="442"/>
      <c r="K295" s="442"/>
      <c r="L295" s="442"/>
      <c r="M295" s="442"/>
      <c r="N295" s="442"/>
      <c r="O295" s="443"/>
      <c r="P295" s="385"/>
      <c r="Q295" s="385"/>
      <c r="R295" s="385"/>
      <c r="S295" s="385"/>
      <c r="T295" s="385"/>
      <c r="U295" s="385"/>
      <c r="V295" s="385"/>
      <c r="W295" s="385"/>
      <c r="X295" s="385"/>
      <c r="Y295" s="385"/>
      <c r="Z295" s="385"/>
      <c r="AA295" s="385"/>
      <c r="AB295" s="385"/>
      <c r="AC295" s="385"/>
      <c r="AD295" s="385"/>
      <c r="AE295" s="385"/>
      <c r="AF295" s="385"/>
      <c r="AG295" s="385"/>
      <c r="AH295" s="385"/>
      <c r="AI295" s="385"/>
      <c r="AJ295" s="385"/>
      <c r="AK295" s="385"/>
      <c r="AL295" s="385"/>
      <c r="AM295" s="385"/>
      <c r="AN295" s="385"/>
      <c r="AO295" s="385"/>
      <c r="AP295" s="385"/>
      <c r="AQ295" s="385"/>
      <c r="AR295" s="385"/>
      <c r="AS295" s="385"/>
      <c r="AT295" s="385"/>
      <c r="AU295" s="385"/>
      <c r="AV295" s="385"/>
      <c r="AW295" s="385"/>
      <c r="AX295" s="385"/>
    </row>
    <row r="296" spans="1:50" ht="10.8" hidden="1" thickTop="1" x14ac:dyDescent="0.2">
      <c r="A296" s="385"/>
      <c r="B296" s="385"/>
      <c r="C296" s="385"/>
      <c r="D296" s="385"/>
      <c r="E296" s="385"/>
      <c r="F296" s="385"/>
      <c r="G296" s="385"/>
      <c r="H296" s="385"/>
      <c r="I296" s="442"/>
      <c r="J296" s="442"/>
      <c r="K296" s="442"/>
      <c r="L296" s="442"/>
      <c r="M296" s="442"/>
      <c r="N296" s="442"/>
      <c r="O296" s="443"/>
      <c r="P296" s="385"/>
      <c r="Q296" s="385"/>
      <c r="R296" s="385"/>
      <c r="S296" s="385"/>
      <c r="T296" s="385"/>
      <c r="U296" s="385"/>
      <c r="V296" s="385"/>
      <c r="W296" s="385"/>
      <c r="X296" s="385"/>
      <c r="Y296" s="385"/>
      <c r="Z296" s="385"/>
      <c r="AA296" s="385"/>
      <c r="AB296" s="385"/>
      <c r="AC296" s="385"/>
      <c r="AD296" s="385"/>
      <c r="AE296" s="385"/>
      <c r="AF296" s="385"/>
      <c r="AG296" s="385"/>
      <c r="AH296" s="385"/>
      <c r="AI296" s="385"/>
      <c r="AJ296" s="385"/>
      <c r="AK296" s="385"/>
      <c r="AL296" s="385"/>
      <c r="AM296" s="385"/>
      <c r="AN296" s="385"/>
      <c r="AO296" s="385"/>
      <c r="AP296" s="385"/>
      <c r="AQ296" s="385"/>
      <c r="AR296" s="385"/>
      <c r="AS296" s="385"/>
      <c r="AT296" s="385"/>
      <c r="AU296" s="385"/>
      <c r="AV296" s="385"/>
      <c r="AW296" s="385"/>
      <c r="AX296" s="385"/>
    </row>
    <row r="297" spans="1:50" ht="10.8" hidden="1" thickTop="1" x14ac:dyDescent="0.2">
      <c r="A297" s="385"/>
      <c r="B297" s="385"/>
      <c r="C297" s="385"/>
      <c r="D297" s="385"/>
      <c r="E297" s="385"/>
      <c r="F297" s="385"/>
      <c r="G297" s="385"/>
      <c r="H297" s="385"/>
      <c r="I297" s="442"/>
      <c r="J297" s="442"/>
      <c r="K297" s="442"/>
      <c r="L297" s="442"/>
      <c r="M297" s="442"/>
      <c r="N297" s="442"/>
      <c r="O297" s="443"/>
      <c r="P297" s="385"/>
      <c r="Q297" s="385"/>
      <c r="R297" s="385"/>
      <c r="S297" s="385"/>
      <c r="T297" s="385"/>
      <c r="U297" s="385"/>
      <c r="V297" s="385"/>
      <c r="W297" s="385"/>
      <c r="X297" s="385"/>
      <c r="Y297" s="385"/>
      <c r="Z297" s="385"/>
      <c r="AA297" s="385"/>
      <c r="AB297" s="385"/>
      <c r="AC297" s="385"/>
      <c r="AD297" s="385"/>
      <c r="AE297" s="385"/>
      <c r="AF297" s="385"/>
      <c r="AG297" s="385"/>
      <c r="AH297" s="385"/>
      <c r="AI297" s="385"/>
      <c r="AJ297" s="385"/>
      <c r="AK297" s="385"/>
      <c r="AL297" s="385"/>
      <c r="AM297" s="385"/>
      <c r="AN297" s="385"/>
      <c r="AO297" s="385"/>
      <c r="AP297" s="385"/>
      <c r="AQ297" s="385"/>
      <c r="AR297" s="385"/>
      <c r="AS297" s="385"/>
      <c r="AT297" s="385"/>
      <c r="AU297" s="385"/>
      <c r="AV297" s="385"/>
      <c r="AW297" s="385"/>
      <c r="AX297" s="385"/>
    </row>
    <row r="298" spans="1:50" ht="10.8" hidden="1" thickTop="1" x14ac:dyDescent="0.2">
      <c r="A298" s="385"/>
      <c r="B298" s="385"/>
      <c r="C298" s="385"/>
      <c r="D298" s="385"/>
      <c r="E298" s="385"/>
      <c r="F298" s="385"/>
      <c r="G298" s="385"/>
      <c r="H298" s="385"/>
      <c r="I298" s="442"/>
      <c r="J298" s="442"/>
      <c r="K298" s="442"/>
      <c r="L298" s="442"/>
      <c r="M298" s="442"/>
      <c r="N298" s="442"/>
      <c r="O298" s="443"/>
      <c r="P298" s="385"/>
      <c r="Q298" s="385"/>
      <c r="R298" s="385"/>
      <c r="S298" s="385"/>
      <c r="T298" s="385"/>
      <c r="U298" s="385"/>
      <c r="V298" s="385"/>
      <c r="W298" s="385"/>
      <c r="X298" s="385"/>
      <c r="Y298" s="385"/>
      <c r="Z298" s="385"/>
      <c r="AA298" s="385"/>
      <c r="AB298" s="385"/>
      <c r="AC298" s="385"/>
      <c r="AD298" s="385"/>
      <c r="AE298" s="385"/>
      <c r="AF298" s="385"/>
      <c r="AG298" s="385"/>
      <c r="AH298" s="385"/>
      <c r="AI298" s="385"/>
      <c r="AJ298" s="385"/>
      <c r="AK298" s="385"/>
      <c r="AL298" s="385"/>
      <c r="AM298" s="385"/>
      <c r="AN298" s="385"/>
      <c r="AO298" s="385"/>
      <c r="AP298" s="385"/>
      <c r="AQ298" s="385"/>
      <c r="AR298" s="385"/>
      <c r="AS298" s="385"/>
      <c r="AT298" s="385"/>
      <c r="AU298" s="385"/>
      <c r="AV298" s="385"/>
      <c r="AW298" s="385"/>
      <c r="AX298" s="385"/>
    </row>
    <row r="299" spans="1:50" ht="10.8" hidden="1" thickTop="1" x14ac:dyDescent="0.2">
      <c r="A299" s="385"/>
      <c r="B299" s="385"/>
      <c r="C299" s="385"/>
      <c r="D299" s="385"/>
      <c r="E299" s="385"/>
      <c r="F299" s="385"/>
      <c r="G299" s="385"/>
      <c r="H299" s="385"/>
      <c r="I299" s="442"/>
      <c r="J299" s="442"/>
      <c r="K299" s="442"/>
      <c r="L299" s="442"/>
      <c r="M299" s="442"/>
      <c r="N299" s="442"/>
      <c r="O299" s="443"/>
      <c r="P299" s="385"/>
      <c r="Q299" s="385"/>
      <c r="R299" s="385"/>
      <c r="S299" s="385"/>
      <c r="T299" s="385"/>
      <c r="U299" s="385"/>
      <c r="V299" s="385"/>
      <c r="W299" s="385"/>
      <c r="X299" s="385"/>
      <c r="Y299" s="385"/>
      <c r="Z299" s="385"/>
      <c r="AA299" s="385"/>
      <c r="AB299" s="385"/>
      <c r="AC299" s="385"/>
      <c r="AD299" s="385"/>
      <c r="AE299" s="385"/>
      <c r="AF299" s="385"/>
      <c r="AG299" s="385"/>
      <c r="AH299" s="385"/>
      <c r="AI299" s="385"/>
      <c r="AJ299" s="385"/>
      <c r="AK299" s="385"/>
      <c r="AL299" s="385"/>
      <c r="AM299" s="385"/>
      <c r="AN299" s="385"/>
      <c r="AO299" s="385"/>
      <c r="AP299" s="385"/>
      <c r="AQ299" s="385"/>
      <c r="AR299" s="385"/>
      <c r="AS299" s="385"/>
      <c r="AT299" s="385"/>
      <c r="AU299" s="385"/>
      <c r="AV299" s="385"/>
      <c r="AW299" s="385"/>
      <c r="AX299" s="385"/>
    </row>
    <row r="300" spans="1:50" ht="10.8" hidden="1" thickTop="1" x14ac:dyDescent="0.2">
      <c r="A300" s="385"/>
      <c r="B300" s="385"/>
      <c r="C300" s="385"/>
      <c r="D300" s="385"/>
      <c r="E300" s="385"/>
      <c r="F300" s="385"/>
      <c r="G300" s="385"/>
      <c r="H300" s="385"/>
      <c r="I300" s="442"/>
      <c r="J300" s="442"/>
      <c r="K300" s="442"/>
      <c r="L300" s="442"/>
      <c r="M300" s="442"/>
      <c r="N300" s="442"/>
      <c r="O300" s="443"/>
      <c r="P300" s="385"/>
      <c r="Q300" s="385"/>
      <c r="R300" s="385"/>
      <c r="S300" s="385"/>
      <c r="T300" s="385"/>
      <c r="U300" s="385"/>
      <c r="V300" s="385"/>
      <c r="W300" s="385"/>
      <c r="X300" s="385"/>
      <c r="Y300" s="385"/>
      <c r="Z300" s="385"/>
      <c r="AA300" s="385"/>
      <c r="AB300" s="385"/>
      <c r="AC300" s="385"/>
      <c r="AD300" s="385"/>
      <c r="AE300" s="385"/>
      <c r="AF300" s="385"/>
      <c r="AG300" s="385"/>
      <c r="AH300" s="385"/>
      <c r="AI300" s="385"/>
      <c r="AJ300" s="385"/>
      <c r="AK300" s="385"/>
      <c r="AL300" s="385"/>
      <c r="AM300" s="385"/>
      <c r="AN300" s="385"/>
      <c r="AO300" s="385"/>
      <c r="AP300" s="385"/>
      <c r="AQ300" s="385"/>
      <c r="AR300" s="385"/>
      <c r="AS300" s="385"/>
      <c r="AT300" s="385"/>
      <c r="AU300" s="385"/>
      <c r="AV300" s="385"/>
      <c r="AW300" s="385"/>
      <c r="AX300" s="385"/>
    </row>
    <row r="301" spans="1:50" ht="10.8" hidden="1" thickTop="1" x14ac:dyDescent="0.2">
      <c r="A301" s="385"/>
      <c r="B301" s="385"/>
      <c r="C301" s="385"/>
      <c r="D301" s="385"/>
      <c r="E301" s="385"/>
      <c r="F301" s="385"/>
      <c r="G301" s="385"/>
      <c r="H301" s="385"/>
      <c r="I301" s="442"/>
      <c r="J301" s="442"/>
      <c r="K301" s="442"/>
      <c r="L301" s="442"/>
      <c r="M301" s="442"/>
      <c r="N301" s="442"/>
      <c r="O301" s="443"/>
      <c r="P301" s="385"/>
      <c r="Q301" s="385"/>
      <c r="R301" s="385"/>
      <c r="S301" s="385"/>
      <c r="T301" s="385"/>
      <c r="U301" s="385"/>
      <c r="V301" s="385"/>
      <c r="W301" s="385"/>
      <c r="X301" s="385"/>
      <c r="Y301" s="385"/>
      <c r="Z301" s="385"/>
      <c r="AA301" s="385"/>
      <c r="AB301" s="385"/>
      <c r="AC301" s="385"/>
      <c r="AD301" s="385"/>
      <c r="AE301" s="385"/>
      <c r="AF301" s="385"/>
      <c r="AG301" s="385"/>
      <c r="AH301" s="385"/>
      <c r="AI301" s="385"/>
      <c r="AJ301" s="385"/>
      <c r="AK301" s="385"/>
      <c r="AL301" s="385"/>
      <c r="AM301" s="385"/>
      <c r="AN301" s="385"/>
      <c r="AO301" s="385"/>
      <c r="AP301" s="385"/>
      <c r="AQ301" s="385"/>
      <c r="AR301" s="385"/>
      <c r="AS301" s="385"/>
      <c r="AT301" s="385"/>
      <c r="AU301" s="385"/>
      <c r="AV301" s="385"/>
      <c r="AW301" s="385"/>
      <c r="AX301" s="385"/>
    </row>
    <row r="302" spans="1:50" ht="10.8" hidden="1" thickTop="1" x14ac:dyDescent="0.2">
      <c r="A302" s="385"/>
      <c r="B302" s="385"/>
      <c r="C302" s="385"/>
      <c r="D302" s="385"/>
      <c r="E302" s="385"/>
      <c r="F302" s="385"/>
      <c r="G302" s="385"/>
      <c r="H302" s="385"/>
      <c r="I302" s="442"/>
      <c r="J302" s="442"/>
      <c r="K302" s="442"/>
      <c r="L302" s="442"/>
      <c r="M302" s="442"/>
      <c r="N302" s="442"/>
      <c r="O302" s="443"/>
      <c r="P302" s="385"/>
      <c r="Q302" s="385"/>
      <c r="R302" s="385"/>
      <c r="S302" s="385"/>
      <c r="T302" s="385"/>
      <c r="U302" s="385"/>
      <c r="V302" s="385"/>
      <c r="W302" s="385"/>
      <c r="X302" s="385"/>
      <c r="Y302" s="385"/>
      <c r="Z302" s="385"/>
      <c r="AA302" s="385"/>
      <c r="AB302" s="385"/>
      <c r="AC302" s="385"/>
      <c r="AD302" s="385"/>
      <c r="AE302" s="385"/>
      <c r="AF302" s="385"/>
      <c r="AG302" s="385"/>
      <c r="AH302" s="385"/>
      <c r="AI302" s="385"/>
      <c r="AJ302" s="385"/>
      <c r="AK302" s="385"/>
      <c r="AL302" s="385"/>
      <c r="AM302" s="385"/>
      <c r="AN302" s="385"/>
      <c r="AO302" s="385"/>
      <c r="AP302" s="385"/>
      <c r="AQ302" s="385"/>
      <c r="AR302" s="385"/>
      <c r="AS302" s="385"/>
      <c r="AT302" s="385"/>
      <c r="AU302" s="385"/>
      <c r="AV302" s="385"/>
      <c r="AW302" s="385"/>
      <c r="AX302" s="385"/>
    </row>
    <row r="303" spans="1:50" ht="10.8" hidden="1" thickTop="1" x14ac:dyDescent="0.2">
      <c r="A303" s="385"/>
      <c r="B303" s="385"/>
      <c r="C303" s="385"/>
      <c r="D303" s="385"/>
      <c r="E303" s="385"/>
      <c r="F303" s="385"/>
      <c r="G303" s="385"/>
      <c r="H303" s="385"/>
      <c r="I303" s="442"/>
      <c r="J303" s="442"/>
      <c r="K303" s="442"/>
      <c r="L303" s="442"/>
      <c r="M303" s="442"/>
      <c r="N303" s="442"/>
      <c r="O303" s="443"/>
      <c r="P303" s="385"/>
      <c r="Q303" s="385"/>
      <c r="R303" s="385"/>
      <c r="S303" s="385"/>
      <c r="T303" s="385"/>
      <c r="U303" s="385"/>
      <c r="V303" s="385"/>
      <c r="W303" s="385"/>
      <c r="X303" s="385"/>
      <c r="Y303" s="385"/>
      <c r="Z303" s="385"/>
      <c r="AA303" s="385"/>
      <c r="AB303" s="385"/>
      <c r="AC303" s="385"/>
      <c r="AD303" s="385"/>
      <c r="AE303" s="385"/>
      <c r="AF303" s="385"/>
      <c r="AG303" s="385"/>
      <c r="AH303" s="385"/>
      <c r="AI303" s="385"/>
      <c r="AJ303" s="385"/>
      <c r="AK303" s="385"/>
      <c r="AL303" s="385"/>
      <c r="AM303" s="385"/>
      <c r="AN303" s="385"/>
      <c r="AO303" s="385"/>
      <c r="AP303" s="385"/>
      <c r="AQ303" s="385"/>
      <c r="AR303" s="385"/>
      <c r="AS303" s="385"/>
      <c r="AT303" s="385"/>
      <c r="AU303" s="385"/>
      <c r="AV303" s="385"/>
      <c r="AW303" s="385"/>
      <c r="AX303" s="385"/>
    </row>
    <row r="304" spans="1:50" ht="10.8" hidden="1" thickTop="1" x14ac:dyDescent="0.2">
      <c r="A304" s="385"/>
      <c r="B304" s="385"/>
      <c r="C304" s="385"/>
      <c r="D304" s="385"/>
      <c r="E304" s="385"/>
      <c r="F304" s="385"/>
      <c r="G304" s="385"/>
      <c r="H304" s="385"/>
      <c r="I304" s="442"/>
      <c r="J304" s="442"/>
      <c r="K304" s="442"/>
      <c r="L304" s="442"/>
      <c r="M304" s="442"/>
      <c r="N304" s="442"/>
      <c r="O304" s="443"/>
      <c r="P304" s="385"/>
      <c r="Q304" s="385"/>
      <c r="R304" s="385"/>
      <c r="S304" s="385"/>
      <c r="T304" s="385"/>
      <c r="U304" s="385"/>
      <c r="V304" s="385"/>
      <c r="W304" s="385"/>
      <c r="X304" s="385"/>
      <c r="Y304" s="385"/>
      <c r="Z304" s="385"/>
      <c r="AA304" s="385"/>
      <c r="AB304" s="385"/>
      <c r="AC304" s="385"/>
      <c r="AD304" s="385"/>
      <c r="AE304" s="385"/>
      <c r="AF304" s="385"/>
      <c r="AG304" s="385"/>
      <c r="AH304" s="385"/>
      <c r="AI304" s="385"/>
      <c r="AJ304" s="385"/>
      <c r="AK304" s="385"/>
      <c r="AL304" s="385"/>
      <c r="AM304" s="385"/>
      <c r="AN304" s="385"/>
      <c r="AO304" s="385"/>
      <c r="AP304" s="385"/>
      <c r="AQ304" s="385"/>
      <c r="AR304" s="385"/>
      <c r="AS304" s="385"/>
      <c r="AT304" s="385"/>
      <c r="AU304" s="385"/>
      <c r="AV304" s="385"/>
      <c r="AW304" s="385"/>
      <c r="AX304" s="385"/>
    </row>
    <row r="305" spans="1:50" ht="10.8" hidden="1" thickTop="1" x14ac:dyDescent="0.2">
      <c r="A305" s="385"/>
      <c r="B305" s="385"/>
      <c r="C305" s="385"/>
      <c r="D305" s="385"/>
      <c r="E305" s="385"/>
      <c r="F305" s="385"/>
      <c r="G305" s="385"/>
      <c r="H305" s="385"/>
      <c r="I305" s="442"/>
      <c r="J305" s="442"/>
      <c r="K305" s="442"/>
      <c r="L305" s="442"/>
      <c r="M305" s="442"/>
      <c r="N305" s="442"/>
      <c r="O305" s="443"/>
      <c r="P305" s="385"/>
      <c r="Q305" s="385"/>
      <c r="R305" s="385"/>
      <c r="S305" s="385"/>
      <c r="T305" s="385"/>
      <c r="U305" s="385"/>
      <c r="V305" s="385"/>
      <c r="W305" s="385"/>
      <c r="X305" s="385"/>
      <c r="Y305" s="385"/>
      <c r="Z305" s="385"/>
      <c r="AA305" s="385"/>
      <c r="AB305" s="385"/>
      <c r="AC305" s="385"/>
      <c r="AD305" s="385"/>
      <c r="AE305" s="385"/>
      <c r="AF305" s="385"/>
      <c r="AG305" s="385"/>
      <c r="AH305" s="385"/>
      <c r="AI305" s="385"/>
      <c r="AJ305" s="385"/>
      <c r="AK305" s="385"/>
      <c r="AL305" s="385"/>
      <c r="AM305" s="385"/>
      <c r="AN305" s="385"/>
      <c r="AO305" s="385"/>
      <c r="AP305" s="385"/>
      <c r="AQ305" s="385"/>
      <c r="AR305" s="385"/>
      <c r="AS305" s="385"/>
      <c r="AT305" s="385"/>
      <c r="AU305" s="385"/>
      <c r="AV305" s="385"/>
      <c r="AW305" s="385"/>
      <c r="AX305" s="385"/>
    </row>
    <row r="306" spans="1:50" ht="10.8" hidden="1" thickTop="1" x14ac:dyDescent="0.2">
      <c r="A306" s="385"/>
      <c r="B306" s="385"/>
      <c r="C306" s="385"/>
      <c r="D306" s="385"/>
      <c r="E306" s="385"/>
      <c r="F306" s="385"/>
      <c r="G306" s="385"/>
      <c r="H306" s="385"/>
      <c r="I306" s="442"/>
      <c r="J306" s="442"/>
      <c r="K306" s="442"/>
      <c r="L306" s="442"/>
      <c r="M306" s="442"/>
      <c r="N306" s="442"/>
      <c r="O306" s="443"/>
      <c r="P306" s="385"/>
      <c r="Q306" s="385"/>
      <c r="R306" s="385"/>
      <c r="S306" s="385"/>
      <c r="T306" s="385"/>
      <c r="U306" s="385"/>
      <c r="V306" s="385"/>
      <c r="W306" s="385"/>
      <c r="X306" s="385"/>
      <c r="Y306" s="385"/>
      <c r="Z306" s="385"/>
      <c r="AA306" s="385"/>
      <c r="AB306" s="385"/>
      <c r="AC306" s="385"/>
      <c r="AD306" s="385"/>
      <c r="AE306" s="385"/>
      <c r="AF306" s="385"/>
      <c r="AG306" s="385"/>
      <c r="AH306" s="385"/>
      <c r="AI306" s="385"/>
      <c r="AJ306" s="385"/>
      <c r="AK306" s="385"/>
      <c r="AL306" s="385"/>
      <c r="AM306" s="385"/>
      <c r="AN306" s="385"/>
      <c r="AO306" s="385"/>
      <c r="AP306" s="385"/>
      <c r="AQ306" s="385"/>
      <c r="AR306" s="385"/>
      <c r="AS306" s="385"/>
      <c r="AT306" s="385"/>
      <c r="AU306" s="385"/>
      <c r="AV306" s="385"/>
      <c r="AW306" s="385"/>
      <c r="AX306" s="385"/>
    </row>
    <row r="307" spans="1:50" ht="10.8" hidden="1" thickTop="1" x14ac:dyDescent="0.2">
      <c r="A307" s="385"/>
      <c r="B307" s="444"/>
      <c r="C307" s="385"/>
      <c r="D307" s="385"/>
      <c r="E307" s="385"/>
      <c r="F307" s="385"/>
      <c r="G307" s="385"/>
      <c r="H307" s="385"/>
      <c r="I307" s="442"/>
      <c r="J307" s="442"/>
      <c r="K307" s="442"/>
      <c r="L307" s="442"/>
      <c r="M307" s="442"/>
      <c r="N307" s="442"/>
      <c r="O307" s="443"/>
      <c r="P307" s="385"/>
      <c r="Q307" s="385"/>
      <c r="R307" s="385"/>
      <c r="S307" s="385"/>
      <c r="T307" s="385"/>
      <c r="U307" s="385"/>
      <c r="V307" s="385"/>
      <c r="W307" s="385"/>
      <c r="X307" s="385"/>
      <c r="Y307" s="385"/>
      <c r="Z307" s="385"/>
      <c r="AA307" s="385"/>
      <c r="AB307" s="385"/>
      <c r="AC307" s="385"/>
      <c r="AD307" s="385"/>
      <c r="AE307" s="385"/>
      <c r="AF307" s="385"/>
      <c r="AG307" s="385"/>
      <c r="AH307" s="385"/>
      <c r="AI307" s="385"/>
      <c r="AJ307" s="385"/>
      <c r="AK307" s="385"/>
      <c r="AL307" s="385"/>
      <c r="AM307" s="385"/>
      <c r="AN307" s="385"/>
      <c r="AO307" s="385"/>
      <c r="AP307" s="385"/>
      <c r="AQ307" s="385"/>
      <c r="AR307" s="385"/>
      <c r="AS307" s="385"/>
      <c r="AT307" s="385"/>
      <c r="AU307" s="385"/>
      <c r="AV307" s="385"/>
      <c r="AW307" s="385"/>
      <c r="AX307" s="385"/>
    </row>
    <row r="308" spans="1:50" ht="10.8" hidden="1" thickTop="1" x14ac:dyDescent="0.2">
      <c r="A308" s="385"/>
      <c r="B308" s="385"/>
      <c r="C308" s="385"/>
      <c r="D308" s="385"/>
      <c r="E308" s="385"/>
      <c r="F308" s="385"/>
      <c r="G308" s="385"/>
      <c r="H308" s="385"/>
      <c r="I308" s="442"/>
      <c r="J308" s="442"/>
      <c r="K308" s="442"/>
      <c r="L308" s="442"/>
      <c r="M308" s="447"/>
      <c r="N308" s="447"/>
      <c r="O308" s="443"/>
      <c r="P308" s="385"/>
      <c r="Q308" s="385"/>
      <c r="R308" s="385"/>
      <c r="S308" s="385"/>
      <c r="T308" s="385"/>
      <c r="U308" s="385"/>
      <c r="V308" s="385"/>
      <c r="W308" s="385"/>
      <c r="X308" s="385"/>
      <c r="Y308" s="385"/>
      <c r="Z308" s="385"/>
      <c r="AA308" s="385"/>
      <c r="AB308" s="385"/>
      <c r="AC308" s="385"/>
      <c r="AD308" s="385"/>
      <c r="AE308" s="385"/>
      <c r="AF308" s="385"/>
      <c r="AG308" s="385"/>
      <c r="AH308" s="385"/>
      <c r="AI308" s="385"/>
      <c r="AJ308" s="385"/>
      <c r="AK308" s="385"/>
      <c r="AL308" s="385"/>
      <c r="AM308" s="385"/>
      <c r="AN308" s="385"/>
      <c r="AO308" s="385"/>
      <c r="AP308" s="385"/>
      <c r="AQ308" s="385"/>
      <c r="AR308" s="385"/>
      <c r="AS308" s="385"/>
      <c r="AT308" s="385"/>
      <c r="AU308" s="385"/>
      <c r="AV308" s="385"/>
      <c r="AW308" s="385"/>
      <c r="AX308" s="385"/>
    </row>
    <row r="309" spans="1:50" ht="10.8" hidden="1" thickTop="1" x14ac:dyDescent="0.2">
      <c r="A309" s="385"/>
      <c r="B309" s="385"/>
      <c r="C309" s="385"/>
      <c r="D309" s="445"/>
      <c r="E309" s="445"/>
      <c r="F309" s="445"/>
      <c r="G309" s="445"/>
      <c r="H309" s="445"/>
      <c r="I309" s="454"/>
      <c r="J309" s="454"/>
      <c r="K309" s="454"/>
      <c r="L309" s="442"/>
      <c r="M309" s="442"/>
      <c r="N309" s="442"/>
      <c r="O309" s="443"/>
      <c r="P309" s="385"/>
      <c r="Q309" s="385"/>
      <c r="R309" s="385"/>
      <c r="S309" s="385"/>
      <c r="T309" s="385"/>
      <c r="U309" s="385"/>
      <c r="V309" s="385"/>
      <c r="W309" s="385"/>
      <c r="X309" s="385"/>
      <c r="Y309" s="385"/>
      <c r="Z309" s="385"/>
      <c r="AA309" s="385"/>
      <c r="AB309" s="385"/>
      <c r="AC309" s="385"/>
      <c r="AD309" s="385"/>
      <c r="AE309" s="385"/>
      <c r="AF309" s="385"/>
      <c r="AG309" s="385"/>
      <c r="AH309" s="385"/>
      <c r="AI309" s="385"/>
      <c r="AJ309" s="385"/>
      <c r="AK309" s="385"/>
      <c r="AL309" s="385"/>
      <c r="AM309" s="385"/>
      <c r="AN309" s="385"/>
      <c r="AO309" s="385"/>
      <c r="AP309" s="385"/>
      <c r="AQ309" s="385"/>
      <c r="AR309" s="385"/>
      <c r="AS309" s="385"/>
      <c r="AT309" s="385"/>
      <c r="AU309" s="385"/>
      <c r="AV309" s="385"/>
      <c r="AW309" s="385"/>
      <c r="AX309" s="385"/>
    </row>
    <row r="310" spans="1:50" ht="10.8" hidden="1" thickTop="1" x14ac:dyDescent="0.2">
      <c r="A310" s="385"/>
      <c r="B310" s="385"/>
      <c r="C310" s="385"/>
      <c r="D310" s="445"/>
      <c r="E310" s="445"/>
      <c r="F310" s="445"/>
      <c r="G310" s="445"/>
      <c r="H310" s="445"/>
      <c r="I310" s="454"/>
      <c r="J310" s="454"/>
      <c r="K310" s="454"/>
      <c r="L310" s="442"/>
      <c r="M310" s="442"/>
      <c r="N310" s="442"/>
      <c r="O310" s="443"/>
      <c r="P310" s="385"/>
      <c r="Q310" s="385"/>
      <c r="R310" s="385"/>
      <c r="S310" s="385"/>
      <c r="T310" s="385"/>
      <c r="U310" s="385"/>
      <c r="V310" s="385"/>
      <c r="W310" s="385"/>
      <c r="X310" s="385"/>
      <c r="Y310" s="385"/>
      <c r="Z310" s="385"/>
      <c r="AA310" s="385"/>
      <c r="AB310" s="385"/>
      <c r="AC310" s="385"/>
      <c r="AD310" s="385"/>
      <c r="AE310" s="385"/>
      <c r="AF310" s="385"/>
      <c r="AG310" s="385"/>
      <c r="AH310" s="385"/>
      <c r="AI310" s="385"/>
      <c r="AJ310" s="385"/>
      <c r="AK310" s="385"/>
      <c r="AL310" s="385"/>
      <c r="AM310" s="385"/>
      <c r="AN310" s="385"/>
      <c r="AO310" s="385"/>
      <c r="AP310" s="385"/>
      <c r="AQ310" s="385"/>
      <c r="AR310" s="385"/>
      <c r="AS310" s="385"/>
      <c r="AT310" s="385"/>
      <c r="AU310" s="385"/>
      <c r="AV310" s="385"/>
      <c r="AW310" s="385"/>
      <c r="AX310" s="385"/>
    </row>
    <row r="311" spans="1:50" ht="10.8" hidden="1" thickTop="1" x14ac:dyDescent="0.2">
      <c r="A311" s="385"/>
      <c r="B311" s="385"/>
      <c r="C311" s="385"/>
      <c r="D311" s="445"/>
      <c r="E311" s="445"/>
      <c r="F311" s="445"/>
      <c r="G311" s="445"/>
      <c r="H311" s="445"/>
      <c r="I311" s="454"/>
      <c r="J311" s="454"/>
      <c r="K311" s="454"/>
      <c r="L311" s="442"/>
      <c r="M311" s="442"/>
      <c r="N311" s="442"/>
      <c r="O311" s="443"/>
      <c r="P311" s="385"/>
      <c r="Q311" s="385"/>
      <c r="R311" s="385"/>
      <c r="S311" s="385"/>
      <c r="T311" s="385"/>
      <c r="U311" s="385"/>
      <c r="V311" s="385"/>
      <c r="W311" s="385"/>
      <c r="X311" s="385"/>
      <c r="Y311" s="385"/>
      <c r="Z311" s="385"/>
      <c r="AA311" s="385"/>
      <c r="AB311" s="385"/>
      <c r="AC311" s="385"/>
      <c r="AD311" s="385"/>
      <c r="AE311" s="385"/>
      <c r="AF311" s="385"/>
      <c r="AG311" s="385"/>
      <c r="AH311" s="385"/>
      <c r="AI311" s="385"/>
      <c r="AJ311" s="385"/>
      <c r="AK311" s="385"/>
      <c r="AL311" s="385"/>
      <c r="AM311" s="385"/>
      <c r="AN311" s="385"/>
      <c r="AO311" s="385"/>
      <c r="AP311" s="385"/>
      <c r="AQ311" s="385"/>
      <c r="AR311" s="385"/>
      <c r="AS311" s="385"/>
      <c r="AT311" s="385"/>
      <c r="AU311" s="385"/>
      <c r="AV311" s="385"/>
      <c r="AW311" s="385"/>
      <c r="AX311" s="385"/>
    </row>
    <row r="312" spans="1:50" ht="10.8" hidden="1" thickTop="1" x14ac:dyDescent="0.2">
      <c r="A312" s="385"/>
      <c r="B312" s="385"/>
      <c r="C312" s="385"/>
      <c r="D312" s="445"/>
      <c r="E312" s="445"/>
      <c r="F312" s="445"/>
      <c r="G312" s="445"/>
      <c r="H312" s="445"/>
      <c r="I312" s="454"/>
      <c r="J312" s="454"/>
      <c r="K312" s="454"/>
      <c r="L312" s="442"/>
      <c r="M312" s="442"/>
      <c r="N312" s="442"/>
      <c r="O312" s="443"/>
      <c r="P312" s="385"/>
      <c r="Q312" s="385"/>
      <c r="R312" s="385"/>
      <c r="S312" s="385"/>
      <c r="T312" s="385"/>
      <c r="U312" s="385"/>
      <c r="V312" s="385"/>
      <c r="W312" s="385"/>
      <c r="X312" s="385"/>
      <c r="Y312" s="385"/>
      <c r="Z312" s="385"/>
      <c r="AA312" s="385"/>
      <c r="AB312" s="385"/>
      <c r="AC312" s="385"/>
      <c r="AD312" s="385"/>
      <c r="AE312" s="385"/>
      <c r="AF312" s="385"/>
      <c r="AG312" s="385"/>
      <c r="AH312" s="385"/>
      <c r="AI312" s="385"/>
      <c r="AJ312" s="385"/>
      <c r="AK312" s="385"/>
      <c r="AL312" s="385"/>
      <c r="AM312" s="385"/>
      <c r="AN312" s="385"/>
      <c r="AO312" s="385"/>
      <c r="AP312" s="385"/>
      <c r="AQ312" s="385"/>
      <c r="AR312" s="385"/>
      <c r="AS312" s="385"/>
      <c r="AT312" s="385"/>
      <c r="AU312" s="385"/>
      <c r="AV312" s="385"/>
      <c r="AW312" s="385"/>
      <c r="AX312" s="385"/>
    </row>
    <row r="313" spans="1:50" ht="10.8" hidden="1" thickTop="1" x14ac:dyDescent="0.2">
      <c r="A313" s="385"/>
      <c r="B313" s="385"/>
      <c r="C313" s="385"/>
      <c r="D313" s="445"/>
      <c r="E313" s="445"/>
      <c r="F313" s="445"/>
      <c r="G313" s="445"/>
      <c r="H313" s="445"/>
      <c r="I313" s="454"/>
      <c r="J313" s="454"/>
      <c r="K313" s="454"/>
      <c r="L313" s="442"/>
      <c r="M313" s="442"/>
      <c r="N313" s="442"/>
      <c r="O313" s="443"/>
      <c r="P313" s="385"/>
      <c r="Q313" s="385"/>
      <c r="R313" s="385"/>
      <c r="S313" s="385"/>
      <c r="T313" s="385"/>
      <c r="U313" s="385"/>
      <c r="V313" s="385"/>
      <c r="W313" s="385"/>
      <c r="X313" s="385"/>
      <c r="Y313" s="385"/>
      <c r="Z313" s="385"/>
      <c r="AA313" s="385"/>
      <c r="AB313" s="385"/>
      <c r="AC313" s="385"/>
      <c r="AD313" s="385"/>
      <c r="AE313" s="385"/>
      <c r="AF313" s="385"/>
      <c r="AG313" s="385"/>
      <c r="AH313" s="385"/>
      <c r="AI313" s="385"/>
      <c r="AJ313" s="385"/>
      <c r="AK313" s="385"/>
      <c r="AL313" s="385"/>
      <c r="AM313" s="385"/>
      <c r="AN313" s="385"/>
      <c r="AO313" s="385"/>
      <c r="AP313" s="385"/>
      <c r="AQ313" s="385"/>
      <c r="AR313" s="385"/>
      <c r="AS313" s="385"/>
      <c r="AT313" s="385"/>
      <c r="AU313" s="385"/>
      <c r="AV313" s="385"/>
      <c r="AW313" s="385"/>
      <c r="AX313" s="385"/>
    </row>
    <row r="314" spans="1:50" ht="10.8" hidden="1" thickTop="1" x14ac:dyDescent="0.2">
      <c r="A314" s="385"/>
      <c r="B314" s="385"/>
      <c r="C314" s="385"/>
      <c r="D314" s="385"/>
      <c r="E314" s="385"/>
      <c r="F314" s="385"/>
      <c r="G314" s="385"/>
      <c r="H314" s="385"/>
      <c r="I314" s="442"/>
      <c r="J314" s="442"/>
      <c r="K314" s="442"/>
      <c r="L314" s="442"/>
      <c r="M314" s="442"/>
      <c r="N314" s="442"/>
      <c r="O314" s="443"/>
      <c r="P314" s="385"/>
      <c r="Q314" s="385"/>
      <c r="R314" s="385"/>
      <c r="S314" s="385"/>
      <c r="T314" s="385"/>
      <c r="U314" s="385"/>
      <c r="V314" s="385"/>
      <c r="W314" s="385"/>
      <c r="X314" s="385"/>
      <c r="Y314" s="385"/>
      <c r="Z314" s="385"/>
      <c r="AA314" s="385"/>
      <c r="AB314" s="385"/>
      <c r="AC314" s="385"/>
      <c r="AD314" s="385"/>
      <c r="AE314" s="385"/>
      <c r="AF314" s="385"/>
      <c r="AG314" s="385"/>
      <c r="AH314" s="385"/>
      <c r="AI314" s="385"/>
      <c r="AJ314" s="385"/>
      <c r="AK314" s="385"/>
      <c r="AL314" s="385"/>
      <c r="AM314" s="385"/>
      <c r="AN314" s="385"/>
      <c r="AO314" s="385"/>
      <c r="AP314" s="385"/>
      <c r="AQ314" s="385"/>
      <c r="AR314" s="385"/>
      <c r="AS314" s="385"/>
      <c r="AT314" s="385"/>
      <c r="AU314" s="385"/>
      <c r="AV314" s="385"/>
      <c r="AW314" s="385"/>
      <c r="AX314" s="385"/>
    </row>
    <row r="315" spans="1:50" ht="10.8" hidden="1" thickTop="1" x14ac:dyDescent="0.2">
      <c r="A315" s="385"/>
      <c r="B315" s="385"/>
      <c r="C315" s="385"/>
      <c r="D315" s="385"/>
      <c r="E315" s="385"/>
      <c r="F315" s="385"/>
      <c r="G315" s="385"/>
      <c r="H315" s="385"/>
      <c r="I315" s="442"/>
      <c r="J315" s="442"/>
      <c r="K315" s="442"/>
      <c r="L315" s="442"/>
      <c r="M315" s="442"/>
      <c r="N315" s="442"/>
      <c r="O315" s="443"/>
      <c r="P315" s="385"/>
      <c r="Q315" s="385"/>
      <c r="R315" s="385"/>
      <c r="S315" s="385"/>
      <c r="T315" s="385"/>
      <c r="U315" s="385"/>
      <c r="V315" s="385"/>
      <c r="W315" s="385"/>
      <c r="X315" s="385"/>
      <c r="Y315" s="385"/>
      <c r="Z315" s="385"/>
      <c r="AA315" s="385"/>
      <c r="AB315" s="385"/>
      <c r="AC315" s="385"/>
      <c r="AD315" s="385"/>
      <c r="AE315" s="385"/>
      <c r="AF315" s="385"/>
      <c r="AG315" s="385"/>
      <c r="AH315" s="385"/>
      <c r="AI315" s="385"/>
      <c r="AJ315" s="385"/>
      <c r="AK315" s="385"/>
      <c r="AL315" s="385"/>
      <c r="AM315" s="385"/>
      <c r="AN315" s="385"/>
      <c r="AO315" s="385"/>
      <c r="AP315" s="385"/>
      <c r="AQ315" s="385"/>
      <c r="AR315" s="385"/>
      <c r="AS315" s="385"/>
      <c r="AT315" s="385"/>
      <c r="AU315" s="385"/>
      <c r="AV315" s="385"/>
      <c r="AW315" s="385"/>
      <c r="AX315" s="385"/>
    </row>
    <row r="316" spans="1:50" ht="10.8" hidden="1" thickTop="1" x14ac:dyDescent="0.2">
      <c r="A316" s="385"/>
      <c r="B316" s="385"/>
      <c r="C316" s="385"/>
      <c r="D316" s="385"/>
      <c r="E316" s="385"/>
      <c r="F316" s="385"/>
      <c r="G316" s="385"/>
      <c r="H316" s="385"/>
      <c r="I316" s="442"/>
      <c r="J316" s="442"/>
      <c r="K316" s="442"/>
      <c r="L316" s="442"/>
      <c r="M316" s="442"/>
      <c r="N316" s="442"/>
      <c r="O316" s="443"/>
      <c r="P316" s="385"/>
      <c r="Q316" s="385"/>
      <c r="R316" s="385"/>
      <c r="S316" s="385"/>
      <c r="T316" s="385"/>
      <c r="U316" s="385"/>
      <c r="V316" s="385"/>
      <c r="W316" s="385"/>
      <c r="X316" s="385"/>
      <c r="Y316" s="385"/>
      <c r="Z316" s="385"/>
      <c r="AA316" s="385"/>
      <c r="AB316" s="385"/>
      <c r="AC316" s="385"/>
      <c r="AD316" s="385"/>
      <c r="AE316" s="385"/>
      <c r="AF316" s="385"/>
      <c r="AG316" s="385"/>
      <c r="AH316" s="385"/>
      <c r="AI316" s="385"/>
      <c r="AJ316" s="385"/>
      <c r="AK316" s="385"/>
      <c r="AL316" s="385"/>
      <c r="AM316" s="385"/>
      <c r="AN316" s="385"/>
      <c r="AO316" s="385"/>
      <c r="AP316" s="385"/>
      <c r="AQ316" s="385"/>
      <c r="AR316" s="385"/>
      <c r="AS316" s="385"/>
      <c r="AT316" s="385"/>
      <c r="AU316" s="385"/>
      <c r="AV316" s="385"/>
      <c r="AW316" s="385"/>
      <c r="AX316" s="385"/>
    </row>
    <row r="317" spans="1:50" ht="10.8" hidden="1" thickTop="1" x14ac:dyDescent="0.2">
      <c r="A317" s="385"/>
      <c r="B317" s="385"/>
      <c r="C317" s="385"/>
      <c r="D317" s="385"/>
      <c r="E317" s="385"/>
      <c r="F317" s="385"/>
      <c r="G317" s="385"/>
      <c r="H317" s="385"/>
      <c r="I317" s="442"/>
      <c r="J317" s="442"/>
      <c r="K317" s="442"/>
      <c r="L317" s="442"/>
      <c r="M317" s="442"/>
      <c r="N317" s="442"/>
      <c r="O317" s="443"/>
      <c r="P317" s="385"/>
      <c r="Q317" s="385"/>
      <c r="R317" s="385"/>
      <c r="S317" s="385"/>
      <c r="T317" s="385"/>
      <c r="U317" s="385"/>
      <c r="V317" s="385"/>
      <c r="W317" s="385"/>
      <c r="X317" s="385"/>
      <c r="Y317" s="385"/>
      <c r="Z317" s="385"/>
      <c r="AA317" s="385"/>
      <c r="AB317" s="385"/>
      <c r="AC317" s="385"/>
      <c r="AD317" s="385"/>
      <c r="AE317" s="385"/>
      <c r="AF317" s="385"/>
      <c r="AG317" s="385"/>
      <c r="AH317" s="385"/>
      <c r="AI317" s="385"/>
      <c r="AJ317" s="385"/>
      <c r="AK317" s="385"/>
      <c r="AL317" s="385"/>
      <c r="AM317" s="385"/>
      <c r="AN317" s="385"/>
      <c r="AO317" s="385"/>
      <c r="AP317" s="385"/>
      <c r="AQ317" s="385"/>
      <c r="AR317" s="385"/>
      <c r="AS317" s="385"/>
      <c r="AT317" s="385"/>
      <c r="AU317" s="385"/>
      <c r="AV317" s="385"/>
      <c r="AW317" s="385"/>
      <c r="AX317" s="385"/>
    </row>
    <row r="318" spans="1:50" ht="10.8" hidden="1" thickTop="1" x14ac:dyDescent="0.2">
      <c r="A318" s="385"/>
      <c r="B318" s="385"/>
      <c r="C318" s="385"/>
      <c r="D318" s="385"/>
      <c r="E318" s="385"/>
      <c r="F318" s="385"/>
      <c r="G318" s="385"/>
      <c r="H318" s="385"/>
      <c r="I318" s="442"/>
      <c r="J318" s="442"/>
      <c r="K318" s="442"/>
      <c r="L318" s="442"/>
      <c r="M318" s="442"/>
      <c r="N318" s="442"/>
      <c r="O318" s="443"/>
      <c r="P318" s="385"/>
      <c r="Q318" s="385"/>
      <c r="R318" s="385"/>
      <c r="S318" s="385"/>
      <c r="T318" s="385"/>
      <c r="U318" s="385"/>
      <c r="V318" s="385"/>
      <c r="W318" s="385"/>
      <c r="X318" s="385"/>
      <c r="Y318" s="385"/>
      <c r="Z318" s="385"/>
      <c r="AA318" s="385"/>
      <c r="AB318" s="385"/>
      <c r="AC318" s="385"/>
      <c r="AD318" s="385"/>
      <c r="AE318" s="385"/>
      <c r="AF318" s="385"/>
      <c r="AG318" s="385"/>
      <c r="AH318" s="385"/>
      <c r="AI318" s="385"/>
      <c r="AJ318" s="385"/>
      <c r="AK318" s="385"/>
      <c r="AL318" s="385"/>
      <c r="AM318" s="385"/>
      <c r="AN318" s="385"/>
      <c r="AO318" s="385"/>
      <c r="AP318" s="385"/>
      <c r="AQ318" s="385"/>
      <c r="AR318" s="385"/>
      <c r="AS318" s="385"/>
      <c r="AT318" s="385"/>
      <c r="AU318" s="385"/>
      <c r="AV318" s="385"/>
      <c r="AW318" s="385"/>
      <c r="AX318" s="385"/>
    </row>
    <row r="319" spans="1:50" ht="10.8" hidden="1" thickTop="1" x14ac:dyDescent="0.2">
      <c r="A319" s="385"/>
      <c r="B319" s="385"/>
      <c r="C319" s="385"/>
      <c r="D319" s="385"/>
      <c r="E319" s="385"/>
      <c r="F319" s="385"/>
      <c r="G319" s="385"/>
      <c r="H319" s="385"/>
      <c r="I319" s="442"/>
      <c r="J319" s="442"/>
      <c r="K319" s="442"/>
      <c r="L319" s="442"/>
      <c r="M319" s="442"/>
      <c r="N319" s="447"/>
      <c r="O319" s="443"/>
      <c r="P319" s="385"/>
      <c r="Q319" s="385"/>
      <c r="R319" s="385"/>
      <c r="S319" s="385"/>
      <c r="T319" s="385"/>
      <c r="U319" s="385"/>
      <c r="V319" s="385"/>
      <c r="W319" s="385"/>
      <c r="X319" s="385"/>
      <c r="Y319" s="385"/>
      <c r="Z319" s="385"/>
      <c r="AA319" s="385"/>
      <c r="AB319" s="385"/>
      <c r="AC319" s="385"/>
      <c r="AD319" s="385"/>
      <c r="AE319" s="385"/>
      <c r="AF319" s="385"/>
      <c r="AG319" s="385"/>
      <c r="AH319" s="385"/>
      <c r="AI319" s="385"/>
      <c r="AJ319" s="385"/>
      <c r="AK319" s="385"/>
      <c r="AL319" s="385"/>
      <c r="AM319" s="385"/>
      <c r="AN319" s="385"/>
      <c r="AO319" s="385"/>
      <c r="AP319" s="385"/>
      <c r="AQ319" s="385"/>
      <c r="AR319" s="385"/>
      <c r="AS319" s="385"/>
      <c r="AT319" s="385"/>
      <c r="AU319" s="385"/>
      <c r="AV319" s="385"/>
      <c r="AW319" s="385"/>
      <c r="AX319" s="385"/>
    </row>
    <row r="320" spans="1:50" ht="10.8" hidden="1" thickTop="1" x14ac:dyDescent="0.2">
      <c r="A320" s="385"/>
      <c r="B320" s="385"/>
      <c r="C320" s="385"/>
      <c r="D320" s="385"/>
      <c r="E320" s="385"/>
      <c r="F320" s="385"/>
      <c r="G320" s="385"/>
      <c r="H320" s="385"/>
      <c r="I320" s="442"/>
      <c r="J320" s="442"/>
      <c r="K320" s="442"/>
      <c r="L320" s="442"/>
      <c r="M320" s="442"/>
      <c r="N320" s="447"/>
      <c r="O320" s="443"/>
      <c r="P320" s="385"/>
      <c r="Q320" s="385"/>
      <c r="R320" s="385"/>
      <c r="S320" s="385"/>
      <c r="T320" s="385"/>
      <c r="U320" s="385"/>
      <c r="V320" s="385"/>
      <c r="W320" s="385"/>
      <c r="X320" s="385"/>
      <c r="Y320" s="385"/>
      <c r="Z320" s="385"/>
      <c r="AA320" s="385"/>
      <c r="AB320" s="385"/>
      <c r="AC320" s="385"/>
      <c r="AD320" s="385"/>
      <c r="AE320" s="385"/>
      <c r="AF320" s="385"/>
      <c r="AG320" s="385"/>
      <c r="AH320" s="385"/>
      <c r="AI320" s="385"/>
      <c r="AJ320" s="385"/>
      <c r="AK320" s="385"/>
      <c r="AL320" s="385"/>
      <c r="AM320" s="385"/>
      <c r="AN320" s="385"/>
      <c r="AO320" s="385"/>
      <c r="AP320" s="385"/>
      <c r="AQ320" s="385"/>
      <c r="AR320" s="385"/>
      <c r="AS320" s="385"/>
      <c r="AT320" s="385"/>
      <c r="AU320" s="385"/>
      <c r="AV320" s="385"/>
      <c r="AW320" s="385"/>
      <c r="AX320" s="385"/>
    </row>
    <row r="321" spans="1:50" ht="10.8" hidden="1" thickTop="1" x14ac:dyDescent="0.2">
      <c r="A321" s="385"/>
      <c r="B321" s="385"/>
      <c r="C321" s="385"/>
      <c r="D321" s="385"/>
      <c r="E321" s="385"/>
      <c r="F321" s="385"/>
      <c r="G321" s="385"/>
      <c r="H321" s="385"/>
      <c r="I321" s="442"/>
      <c r="J321" s="442"/>
      <c r="K321" s="442"/>
      <c r="L321" s="442"/>
      <c r="M321" s="442"/>
      <c r="N321" s="447"/>
      <c r="O321" s="443"/>
      <c r="P321" s="385"/>
      <c r="Q321" s="385"/>
      <c r="R321" s="385"/>
      <c r="S321" s="385"/>
      <c r="T321" s="385"/>
      <c r="U321" s="385"/>
      <c r="V321" s="385"/>
      <c r="W321" s="385"/>
      <c r="X321" s="385"/>
      <c r="Y321" s="385"/>
      <c r="Z321" s="385"/>
      <c r="AA321" s="385"/>
      <c r="AB321" s="385"/>
      <c r="AC321" s="385"/>
      <c r="AD321" s="385"/>
      <c r="AE321" s="385"/>
      <c r="AF321" s="385"/>
      <c r="AG321" s="385"/>
      <c r="AH321" s="385"/>
      <c r="AI321" s="385"/>
      <c r="AJ321" s="385"/>
      <c r="AK321" s="385"/>
      <c r="AL321" s="385"/>
      <c r="AM321" s="385"/>
      <c r="AN321" s="385"/>
      <c r="AO321" s="385"/>
      <c r="AP321" s="385"/>
      <c r="AQ321" s="385"/>
      <c r="AR321" s="385"/>
      <c r="AS321" s="385"/>
      <c r="AT321" s="385"/>
      <c r="AU321" s="385"/>
      <c r="AV321" s="385"/>
      <c r="AW321" s="385"/>
      <c r="AX321" s="385"/>
    </row>
    <row r="322" spans="1:50" ht="10.8" hidden="1" thickTop="1" x14ac:dyDescent="0.2">
      <c r="A322" s="385"/>
      <c r="B322" s="385"/>
      <c r="C322" s="385"/>
      <c r="D322" s="385"/>
      <c r="E322" s="385"/>
      <c r="F322" s="385"/>
      <c r="G322" s="385"/>
      <c r="H322" s="385"/>
      <c r="I322" s="442"/>
      <c r="J322" s="442"/>
      <c r="K322" s="442"/>
      <c r="L322" s="442"/>
      <c r="M322" s="442"/>
      <c r="N322" s="447"/>
      <c r="O322" s="443"/>
      <c r="P322" s="385"/>
      <c r="Q322" s="385"/>
      <c r="R322" s="385"/>
      <c r="S322" s="385"/>
      <c r="T322" s="385"/>
      <c r="U322" s="385"/>
      <c r="V322" s="385"/>
      <c r="W322" s="385"/>
      <c r="X322" s="385"/>
      <c r="Y322" s="385"/>
      <c r="Z322" s="385"/>
      <c r="AA322" s="385"/>
      <c r="AB322" s="385"/>
      <c r="AC322" s="385"/>
      <c r="AD322" s="385"/>
      <c r="AE322" s="385"/>
      <c r="AF322" s="385"/>
      <c r="AG322" s="385"/>
      <c r="AH322" s="385"/>
      <c r="AI322" s="385"/>
      <c r="AJ322" s="385"/>
      <c r="AK322" s="385"/>
      <c r="AL322" s="385"/>
      <c r="AM322" s="385"/>
      <c r="AN322" s="385"/>
      <c r="AO322" s="385"/>
      <c r="AP322" s="385"/>
      <c r="AQ322" s="385"/>
      <c r="AR322" s="385"/>
      <c r="AS322" s="385"/>
      <c r="AT322" s="385"/>
      <c r="AU322" s="385"/>
      <c r="AV322" s="385"/>
      <c r="AW322" s="385"/>
      <c r="AX322" s="385"/>
    </row>
    <row r="323" spans="1:50" ht="10.8" hidden="1" thickTop="1" x14ac:dyDescent="0.2">
      <c r="A323" s="385"/>
      <c r="B323" s="385"/>
      <c r="C323" s="385"/>
      <c r="D323" s="385"/>
      <c r="E323" s="385"/>
      <c r="F323" s="385"/>
      <c r="G323" s="385"/>
      <c r="H323" s="385"/>
      <c r="I323" s="442"/>
      <c r="J323" s="442"/>
      <c r="K323" s="442"/>
      <c r="L323" s="442"/>
      <c r="M323" s="442"/>
      <c r="N323" s="442"/>
      <c r="O323" s="443"/>
      <c r="P323" s="385"/>
      <c r="Q323" s="385"/>
      <c r="R323" s="385"/>
      <c r="S323" s="385"/>
      <c r="T323" s="385"/>
      <c r="U323" s="385"/>
      <c r="V323" s="385"/>
      <c r="W323" s="385"/>
      <c r="X323" s="385"/>
      <c r="Y323" s="385"/>
      <c r="Z323" s="385"/>
      <c r="AA323" s="385"/>
      <c r="AB323" s="385"/>
      <c r="AC323" s="385"/>
      <c r="AD323" s="385"/>
      <c r="AE323" s="385"/>
      <c r="AF323" s="385"/>
      <c r="AG323" s="385"/>
      <c r="AH323" s="385"/>
      <c r="AI323" s="385"/>
      <c r="AJ323" s="385"/>
      <c r="AK323" s="385"/>
      <c r="AL323" s="385"/>
      <c r="AM323" s="385"/>
      <c r="AN323" s="385"/>
      <c r="AO323" s="385"/>
      <c r="AP323" s="385"/>
      <c r="AQ323" s="385"/>
      <c r="AR323" s="385"/>
      <c r="AS323" s="385"/>
      <c r="AT323" s="385"/>
      <c r="AU323" s="385"/>
      <c r="AV323" s="385"/>
      <c r="AW323" s="385"/>
      <c r="AX323" s="385"/>
    </row>
    <row r="324" spans="1:50" ht="10.8" hidden="1" thickTop="1" x14ac:dyDescent="0.2">
      <c r="A324" s="385"/>
      <c r="B324" s="385"/>
      <c r="C324" s="385"/>
      <c r="D324" s="385"/>
      <c r="E324" s="385"/>
      <c r="F324" s="385"/>
      <c r="G324" s="385"/>
      <c r="H324" s="385"/>
      <c r="I324" s="442"/>
      <c r="J324" s="442"/>
      <c r="K324" s="442"/>
      <c r="L324" s="442"/>
      <c r="M324" s="442"/>
      <c r="N324" s="442"/>
      <c r="O324" s="443"/>
      <c r="P324" s="385"/>
      <c r="Q324" s="385"/>
      <c r="R324" s="385"/>
      <c r="S324" s="385"/>
      <c r="T324" s="385"/>
      <c r="U324" s="385"/>
      <c r="V324" s="385"/>
      <c r="W324" s="385"/>
      <c r="X324" s="385"/>
      <c r="Y324" s="385"/>
      <c r="Z324" s="385"/>
      <c r="AA324" s="385"/>
      <c r="AB324" s="385"/>
      <c r="AC324" s="385"/>
      <c r="AD324" s="385"/>
      <c r="AE324" s="385"/>
      <c r="AF324" s="385"/>
      <c r="AG324" s="385"/>
      <c r="AH324" s="385"/>
      <c r="AI324" s="385"/>
      <c r="AJ324" s="385"/>
      <c r="AK324" s="385"/>
      <c r="AL324" s="385"/>
      <c r="AM324" s="385"/>
      <c r="AN324" s="385"/>
      <c r="AO324" s="385"/>
      <c r="AP324" s="385"/>
      <c r="AQ324" s="385"/>
      <c r="AR324" s="385"/>
      <c r="AS324" s="385"/>
      <c r="AT324" s="385"/>
      <c r="AU324" s="385"/>
      <c r="AV324" s="385"/>
      <c r="AW324" s="385"/>
      <c r="AX324" s="385"/>
    </row>
    <row r="325" spans="1:50" ht="12" hidden="1" customHeight="1" x14ac:dyDescent="0.2">
      <c r="A325" s="385"/>
      <c r="B325" s="385"/>
      <c r="C325" s="385"/>
      <c r="D325" s="385"/>
      <c r="E325" s="385"/>
      <c r="F325" s="385"/>
      <c r="G325" s="385"/>
      <c r="H325" s="385"/>
      <c r="I325" s="442"/>
      <c r="J325" s="442"/>
      <c r="K325" s="442"/>
      <c r="L325" s="442"/>
      <c r="M325" s="442"/>
      <c r="N325" s="442"/>
      <c r="O325" s="443"/>
      <c r="P325" s="385"/>
      <c r="Q325" s="385"/>
      <c r="R325" s="385"/>
      <c r="S325" s="385"/>
      <c r="T325" s="385"/>
      <c r="U325" s="385"/>
      <c r="V325" s="385"/>
      <c r="W325" s="385"/>
      <c r="X325" s="385"/>
      <c r="Y325" s="385"/>
      <c r="Z325" s="385"/>
      <c r="AA325" s="385"/>
      <c r="AB325" s="385"/>
      <c r="AC325" s="385"/>
      <c r="AD325" s="385"/>
      <c r="AE325" s="385"/>
      <c r="AF325" s="385"/>
      <c r="AG325" s="385"/>
      <c r="AH325" s="385"/>
      <c r="AI325" s="385"/>
      <c r="AJ325" s="385"/>
      <c r="AK325" s="385"/>
      <c r="AL325" s="385"/>
      <c r="AM325" s="385"/>
      <c r="AN325" s="385"/>
      <c r="AO325" s="385"/>
      <c r="AP325" s="385"/>
      <c r="AQ325" s="385"/>
      <c r="AR325" s="385"/>
      <c r="AS325" s="385"/>
      <c r="AT325" s="385"/>
      <c r="AU325" s="385"/>
      <c r="AV325" s="385"/>
      <c r="AW325" s="385"/>
      <c r="AX325" s="385"/>
    </row>
    <row r="326" spans="1:50" ht="10.8" hidden="1" thickTop="1" x14ac:dyDescent="0.2">
      <c r="A326" s="385"/>
      <c r="B326" s="385"/>
      <c r="C326" s="385"/>
      <c r="D326" s="385"/>
      <c r="E326" s="385"/>
      <c r="F326" s="385"/>
      <c r="G326" s="385"/>
      <c r="H326" s="385"/>
      <c r="I326" s="442"/>
      <c r="J326" s="442"/>
      <c r="K326" s="442"/>
      <c r="L326" s="442"/>
      <c r="M326" s="442"/>
      <c r="N326" s="442"/>
      <c r="O326" s="443"/>
      <c r="P326" s="385"/>
      <c r="Q326" s="385"/>
      <c r="R326" s="385"/>
      <c r="S326" s="385"/>
      <c r="T326" s="385"/>
      <c r="U326" s="385"/>
      <c r="V326" s="385"/>
      <c r="W326" s="385"/>
      <c r="X326" s="385"/>
      <c r="Y326" s="385"/>
      <c r="Z326" s="385"/>
      <c r="AA326" s="385"/>
      <c r="AB326" s="385"/>
      <c r="AC326" s="385"/>
      <c r="AD326" s="385"/>
      <c r="AE326" s="385"/>
      <c r="AF326" s="385"/>
      <c r="AG326" s="385"/>
      <c r="AH326" s="385"/>
      <c r="AI326" s="385"/>
      <c r="AJ326" s="385"/>
      <c r="AK326" s="385"/>
      <c r="AL326" s="385"/>
      <c r="AM326" s="385"/>
      <c r="AN326" s="385"/>
      <c r="AO326" s="385"/>
      <c r="AP326" s="385"/>
      <c r="AQ326" s="385"/>
      <c r="AR326" s="385"/>
      <c r="AS326" s="385"/>
      <c r="AT326" s="385"/>
      <c r="AU326" s="385"/>
      <c r="AV326" s="385"/>
      <c r="AW326" s="385"/>
      <c r="AX326" s="385"/>
    </row>
    <row r="327" spans="1:50" ht="10.8" hidden="1" thickTop="1" x14ac:dyDescent="0.2">
      <c r="A327" s="385"/>
      <c r="B327" s="385"/>
      <c r="C327" s="385"/>
      <c r="D327" s="385"/>
      <c r="E327" s="385"/>
      <c r="F327" s="385"/>
      <c r="G327" s="385"/>
      <c r="H327" s="385"/>
      <c r="I327" s="442"/>
      <c r="J327" s="442"/>
      <c r="K327" s="442"/>
      <c r="L327" s="442"/>
      <c r="M327" s="442"/>
      <c r="N327" s="442"/>
      <c r="O327" s="443"/>
      <c r="P327" s="385"/>
      <c r="Q327" s="385"/>
      <c r="R327" s="385"/>
      <c r="S327" s="385"/>
      <c r="T327" s="385"/>
      <c r="U327" s="385"/>
      <c r="V327" s="385"/>
      <c r="W327" s="385"/>
      <c r="X327" s="385"/>
      <c r="Y327" s="385"/>
      <c r="Z327" s="385"/>
      <c r="AA327" s="385"/>
      <c r="AB327" s="385"/>
      <c r="AC327" s="385"/>
      <c r="AD327" s="385"/>
      <c r="AE327" s="385"/>
      <c r="AF327" s="385"/>
      <c r="AG327" s="385"/>
      <c r="AH327" s="385"/>
      <c r="AI327" s="385"/>
      <c r="AJ327" s="385"/>
      <c r="AK327" s="385"/>
      <c r="AL327" s="385"/>
      <c r="AM327" s="385"/>
      <c r="AN327" s="385"/>
      <c r="AO327" s="385"/>
      <c r="AP327" s="385"/>
      <c r="AQ327" s="385"/>
      <c r="AR327" s="385"/>
      <c r="AS327" s="385"/>
      <c r="AT327" s="385"/>
      <c r="AU327" s="385"/>
      <c r="AV327" s="385"/>
      <c r="AW327" s="385"/>
      <c r="AX327" s="385"/>
    </row>
    <row r="328" spans="1:50" ht="10.8" hidden="1" thickTop="1" x14ac:dyDescent="0.2">
      <c r="A328" s="385"/>
      <c r="B328" s="385"/>
      <c r="C328" s="385"/>
      <c r="D328" s="385"/>
      <c r="E328" s="385"/>
      <c r="F328" s="385"/>
      <c r="G328" s="385"/>
      <c r="H328" s="385"/>
      <c r="I328" s="442"/>
      <c r="J328" s="442"/>
      <c r="K328" s="442"/>
      <c r="L328" s="442"/>
      <c r="M328" s="442"/>
      <c r="N328" s="442"/>
      <c r="O328" s="443"/>
      <c r="P328" s="385"/>
      <c r="Q328" s="385"/>
      <c r="R328" s="385"/>
      <c r="S328" s="385"/>
      <c r="T328" s="385"/>
      <c r="U328" s="385"/>
      <c r="V328" s="385"/>
      <c r="W328" s="385"/>
      <c r="X328" s="385"/>
      <c r="Y328" s="385"/>
      <c r="Z328" s="385"/>
      <c r="AA328" s="385"/>
      <c r="AB328" s="385"/>
      <c r="AC328" s="385"/>
      <c r="AD328" s="385"/>
      <c r="AE328" s="385"/>
      <c r="AF328" s="385"/>
      <c r="AG328" s="385"/>
      <c r="AH328" s="385"/>
      <c r="AI328" s="385"/>
      <c r="AJ328" s="385"/>
      <c r="AK328" s="385"/>
      <c r="AL328" s="385"/>
      <c r="AM328" s="385"/>
      <c r="AN328" s="385"/>
      <c r="AO328" s="385"/>
      <c r="AP328" s="385"/>
      <c r="AQ328" s="385"/>
      <c r="AR328" s="385"/>
      <c r="AS328" s="385"/>
      <c r="AT328" s="385"/>
      <c r="AU328" s="385"/>
      <c r="AV328" s="385"/>
      <c r="AW328" s="385"/>
      <c r="AX328" s="385"/>
    </row>
    <row r="329" spans="1:50" ht="10.8" hidden="1" thickTop="1" x14ac:dyDescent="0.2">
      <c r="A329" s="385"/>
      <c r="B329" s="385"/>
      <c r="C329" s="385"/>
      <c r="D329" s="385"/>
      <c r="E329" s="385"/>
      <c r="F329" s="385"/>
      <c r="G329" s="385"/>
      <c r="H329" s="385"/>
      <c r="I329" s="442"/>
      <c r="J329" s="442"/>
      <c r="K329" s="442"/>
      <c r="L329" s="442"/>
      <c r="M329" s="442"/>
      <c r="N329" s="442"/>
      <c r="O329" s="443"/>
      <c r="P329" s="385"/>
      <c r="Q329" s="385"/>
      <c r="R329" s="385"/>
      <c r="S329" s="385"/>
      <c r="T329" s="385"/>
      <c r="U329" s="385"/>
      <c r="V329" s="385"/>
      <c r="W329" s="385"/>
      <c r="X329" s="385"/>
      <c r="Y329" s="385"/>
      <c r="Z329" s="385"/>
      <c r="AA329" s="385"/>
      <c r="AB329" s="385"/>
      <c r="AC329" s="385"/>
      <c r="AD329" s="385"/>
      <c r="AE329" s="385"/>
      <c r="AF329" s="385"/>
      <c r="AG329" s="385"/>
      <c r="AH329" s="385"/>
      <c r="AI329" s="385"/>
      <c r="AJ329" s="385"/>
      <c r="AK329" s="385"/>
      <c r="AL329" s="385"/>
      <c r="AM329" s="385"/>
      <c r="AN329" s="385"/>
      <c r="AO329" s="385"/>
      <c r="AP329" s="385"/>
      <c r="AQ329" s="385"/>
      <c r="AR329" s="385"/>
      <c r="AS329" s="385"/>
      <c r="AT329" s="385"/>
      <c r="AU329" s="385"/>
      <c r="AV329" s="385"/>
      <c r="AW329" s="385"/>
      <c r="AX329" s="385"/>
    </row>
    <row r="330" spans="1:50" ht="10.8" hidden="1" thickTop="1" x14ac:dyDescent="0.2">
      <c r="A330" s="385"/>
      <c r="B330" s="385"/>
      <c r="C330" s="385"/>
      <c r="D330" s="385"/>
      <c r="E330" s="385"/>
      <c r="F330" s="385"/>
      <c r="G330" s="385"/>
      <c r="H330" s="385"/>
      <c r="I330" s="442"/>
      <c r="J330" s="442"/>
      <c r="K330" s="442"/>
      <c r="L330" s="442"/>
      <c r="M330" s="442"/>
      <c r="N330" s="442"/>
      <c r="O330" s="443"/>
      <c r="P330" s="385"/>
      <c r="Q330" s="385"/>
      <c r="R330" s="385"/>
      <c r="S330" s="385"/>
      <c r="T330" s="385"/>
      <c r="U330" s="385"/>
      <c r="V330" s="385"/>
      <c r="W330" s="385"/>
      <c r="X330" s="385"/>
      <c r="Y330" s="385"/>
      <c r="Z330" s="385"/>
      <c r="AA330" s="385"/>
      <c r="AB330" s="385"/>
      <c r="AC330" s="385"/>
      <c r="AD330" s="385"/>
      <c r="AE330" s="385"/>
      <c r="AF330" s="385"/>
      <c r="AG330" s="385"/>
      <c r="AH330" s="385"/>
      <c r="AI330" s="385"/>
      <c r="AJ330" s="385"/>
      <c r="AK330" s="385"/>
      <c r="AL330" s="385"/>
      <c r="AM330" s="385"/>
      <c r="AN330" s="385"/>
      <c r="AO330" s="385"/>
      <c r="AP330" s="385"/>
      <c r="AQ330" s="385"/>
      <c r="AR330" s="385"/>
      <c r="AS330" s="385"/>
      <c r="AT330" s="385"/>
      <c r="AU330" s="385"/>
      <c r="AV330" s="385"/>
      <c r="AW330" s="385"/>
      <c r="AX330" s="385"/>
    </row>
    <row r="331" spans="1:50" ht="10.8" hidden="1" thickTop="1" x14ac:dyDescent="0.2">
      <c r="A331" s="385"/>
      <c r="B331" s="385"/>
      <c r="C331" s="385"/>
      <c r="D331" s="385"/>
      <c r="E331" s="385"/>
      <c r="F331" s="385"/>
      <c r="G331" s="385"/>
      <c r="H331" s="385"/>
      <c r="I331" s="442"/>
      <c r="J331" s="442"/>
      <c r="K331" s="442"/>
      <c r="L331" s="442"/>
      <c r="M331" s="442"/>
      <c r="N331" s="442"/>
      <c r="O331" s="443"/>
      <c r="P331" s="385"/>
      <c r="Q331" s="385"/>
      <c r="R331" s="385"/>
      <c r="S331" s="385"/>
      <c r="T331" s="385"/>
      <c r="U331" s="385"/>
      <c r="V331" s="385"/>
      <c r="W331" s="385"/>
      <c r="X331" s="385"/>
      <c r="Y331" s="385"/>
      <c r="Z331" s="385"/>
      <c r="AA331" s="385"/>
      <c r="AB331" s="385"/>
      <c r="AC331" s="385"/>
      <c r="AD331" s="385"/>
      <c r="AE331" s="385"/>
      <c r="AF331" s="385"/>
      <c r="AG331" s="385"/>
      <c r="AH331" s="385"/>
      <c r="AI331" s="385"/>
      <c r="AJ331" s="385"/>
      <c r="AK331" s="385"/>
      <c r="AL331" s="385"/>
      <c r="AM331" s="385"/>
      <c r="AN331" s="385"/>
      <c r="AO331" s="385"/>
      <c r="AP331" s="385"/>
      <c r="AQ331" s="385"/>
      <c r="AR331" s="385"/>
      <c r="AS331" s="385"/>
      <c r="AT331" s="385"/>
      <c r="AU331" s="385"/>
      <c r="AV331" s="385"/>
      <c r="AW331" s="385"/>
      <c r="AX331" s="385"/>
    </row>
    <row r="332" spans="1:50" ht="10.8" hidden="1" thickTop="1" x14ac:dyDescent="0.2">
      <c r="A332" s="385"/>
      <c r="B332" s="385"/>
      <c r="C332" s="385"/>
      <c r="D332" s="385"/>
      <c r="E332" s="385"/>
      <c r="F332" s="385"/>
      <c r="G332" s="385"/>
      <c r="H332" s="385"/>
      <c r="I332" s="442"/>
      <c r="J332" s="442"/>
      <c r="K332" s="442"/>
      <c r="L332" s="442"/>
      <c r="M332" s="442"/>
      <c r="N332" s="442"/>
      <c r="O332" s="443"/>
      <c r="P332" s="385"/>
      <c r="Q332" s="385"/>
      <c r="R332" s="385"/>
      <c r="S332" s="385"/>
      <c r="T332" s="385"/>
      <c r="U332" s="385"/>
      <c r="V332" s="385"/>
      <c r="W332" s="385"/>
      <c r="X332" s="385"/>
      <c r="Y332" s="385"/>
      <c r="Z332" s="385"/>
      <c r="AA332" s="385"/>
      <c r="AB332" s="385"/>
      <c r="AC332" s="385"/>
      <c r="AD332" s="385"/>
      <c r="AE332" s="385"/>
      <c r="AF332" s="385"/>
      <c r="AG332" s="385"/>
      <c r="AH332" s="385"/>
      <c r="AI332" s="385"/>
      <c r="AJ332" s="385"/>
      <c r="AK332" s="385"/>
      <c r="AL332" s="385"/>
      <c r="AM332" s="385"/>
      <c r="AN332" s="385"/>
      <c r="AO332" s="385"/>
      <c r="AP332" s="385"/>
      <c r="AQ332" s="385"/>
      <c r="AR332" s="385"/>
      <c r="AS332" s="385"/>
      <c r="AT332" s="385"/>
      <c r="AU332" s="385"/>
      <c r="AV332" s="385"/>
      <c r="AW332" s="385"/>
      <c r="AX332" s="385"/>
    </row>
    <row r="333" spans="1:50" ht="10.8" hidden="1" thickTop="1" x14ac:dyDescent="0.2">
      <c r="A333" s="385"/>
      <c r="B333" s="444"/>
      <c r="C333" s="385"/>
      <c r="D333" s="385"/>
      <c r="E333" s="385"/>
      <c r="F333" s="385"/>
      <c r="G333" s="385"/>
      <c r="H333" s="385"/>
      <c r="I333" s="442"/>
      <c r="J333" s="442"/>
      <c r="K333" s="442"/>
      <c r="L333" s="442"/>
      <c r="M333" s="442"/>
      <c r="N333" s="442"/>
      <c r="O333" s="443"/>
      <c r="P333" s="385"/>
      <c r="Q333" s="385"/>
      <c r="R333" s="385"/>
      <c r="S333" s="385"/>
      <c r="T333" s="385"/>
      <c r="U333" s="385"/>
      <c r="V333" s="385"/>
      <c r="W333" s="385"/>
      <c r="X333" s="385"/>
      <c r="Y333" s="385"/>
      <c r="Z333" s="385"/>
      <c r="AA333" s="385"/>
      <c r="AB333" s="385"/>
      <c r="AC333" s="385"/>
      <c r="AD333" s="385"/>
      <c r="AE333" s="385"/>
      <c r="AF333" s="385"/>
      <c r="AG333" s="385"/>
      <c r="AH333" s="385"/>
      <c r="AI333" s="385"/>
      <c r="AJ333" s="385"/>
      <c r="AK333" s="385"/>
      <c r="AL333" s="385"/>
      <c r="AM333" s="385"/>
      <c r="AN333" s="385"/>
      <c r="AO333" s="385"/>
      <c r="AP333" s="385"/>
      <c r="AQ333" s="385"/>
      <c r="AR333" s="385"/>
      <c r="AS333" s="385"/>
      <c r="AT333" s="385"/>
      <c r="AU333" s="385"/>
      <c r="AV333" s="385"/>
      <c r="AW333" s="385"/>
      <c r="AX333" s="385"/>
    </row>
    <row r="334" spans="1:50" ht="10.8" hidden="1" thickTop="1" x14ac:dyDescent="0.2">
      <c r="A334" s="385"/>
      <c r="B334" s="446"/>
      <c r="C334" s="385"/>
      <c r="D334" s="385"/>
      <c r="E334" s="385"/>
      <c r="F334" s="385"/>
      <c r="G334" s="385"/>
      <c r="H334" s="385"/>
      <c r="I334" s="442"/>
      <c r="J334" s="442"/>
      <c r="K334" s="442"/>
      <c r="L334" s="442"/>
      <c r="M334" s="442"/>
      <c r="N334" s="442"/>
      <c r="O334" s="443"/>
      <c r="P334" s="385"/>
      <c r="Q334" s="385"/>
      <c r="R334" s="385"/>
      <c r="S334" s="385"/>
      <c r="T334" s="385"/>
      <c r="U334" s="385"/>
      <c r="V334" s="385"/>
      <c r="W334" s="385"/>
      <c r="X334" s="385"/>
      <c r="Y334" s="385"/>
      <c r="Z334" s="385"/>
      <c r="AA334" s="385"/>
      <c r="AB334" s="385"/>
      <c r="AC334" s="385"/>
      <c r="AD334" s="385"/>
      <c r="AE334" s="385"/>
      <c r="AF334" s="385"/>
      <c r="AG334" s="385"/>
      <c r="AH334" s="385"/>
      <c r="AI334" s="385"/>
      <c r="AJ334" s="385"/>
      <c r="AK334" s="385"/>
      <c r="AL334" s="385"/>
      <c r="AM334" s="385"/>
      <c r="AN334" s="385"/>
      <c r="AO334" s="385"/>
      <c r="AP334" s="385"/>
      <c r="AQ334" s="385"/>
      <c r="AR334" s="385"/>
      <c r="AS334" s="385"/>
      <c r="AT334" s="385"/>
      <c r="AU334" s="385"/>
      <c r="AV334" s="385"/>
      <c r="AW334" s="385"/>
      <c r="AX334" s="385"/>
    </row>
    <row r="335" spans="1:50" ht="10.8" hidden="1" thickTop="1" x14ac:dyDescent="0.2">
      <c r="A335" s="385"/>
      <c r="B335" s="385"/>
      <c r="C335" s="385"/>
      <c r="D335" s="445"/>
      <c r="E335" s="445"/>
      <c r="F335" s="445"/>
      <c r="G335" s="445"/>
      <c r="H335" s="445"/>
      <c r="I335" s="454"/>
      <c r="J335" s="454"/>
      <c r="K335" s="454"/>
      <c r="L335" s="442"/>
      <c r="M335" s="442"/>
      <c r="N335" s="442"/>
      <c r="O335" s="443"/>
      <c r="P335" s="385"/>
      <c r="Q335" s="385"/>
      <c r="R335" s="385"/>
      <c r="S335" s="385"/>
      <c r="T335" s="385"/>
      <c r="U335" s="385"/>
      <c r="V335" s="385"/>
      <c r="W335" s="385"/>
      <c r="X335" s="385"/>
      <c r="Y335" s="385"/>
      <c r="Z335" s="385"/>
      <c r="AA335" s="385"/>
      <c r="AB335" s="385"/>
      <c r="AC335" s="385"/>
      <c r="AD335" s="385"/>
      <c r="AE335" s="385"/>
      <c r="AF335" s="385"/>
      <c r="AG335" s="385"/>
      <c r="AH335" s="385"/>
      <c r="AI335" s="385"/>
      <c r="AJ335" s="385"/>
      <c r="AK335" s="385"/>
      <c r="AL335" s="385"/>
      <c r="AM335" s="385"/>
      <c r="AN335" s="385"/>
      <c r="AO335" s="385"/>
      <c r="AP335" s="385"/>
      <c r="AQ335" s="385"/>
      <c r="AR335" s="385"/>
      <c r="AS335" s="385"/>
      <c r="AT335" s="385"/>
      <c r="AU335" s="385"/>
      <c r="AV335" s="385"/>
      <c r="AW335" s="385"/>
      <c r="AX335" s="385"/>
    </row>
    <row r="336" spans="1:50" ht="10.8" hidden="1" thickTop="1" x14ac:dyDescent="0.2">
      <c r="A336" s="385"/>
      <c r="B336" s="385"/>
      <c r="C336" s="385"/>
      <c r="D336" s="445"/>
      <c r="E336" s="445"/>
      <c r="F336" s="445"/>
      <c r="G336" s="445"/>
      <c r="H336" s="445"/>
      <c r="I336" s="454"/>
      <c r="J336" s="454"/>
      <c r="K336" s="454"/>
      <c r="L336" s="442"/>
      <c r="M336" s="442"/>
      <c r="N336" s="442"/>
      <c r="O336" s="443"/>
      <c r="P336" s="385"/>
      <c r="Q336" s="385"/>
      <c r="R336" s="385"/>
      <c r="S336" s="385"/>
      <c r="T336" s="385"/>
      <c r="U336" s="385"/>
      <c r="V336" s="385"/>
      <c r="W336" s="385"/>
      <c r="X336" s="385"/>
      <c r="Y336" s="385"/>
      <c r="Z336" s="385"/>
      <c r="AA336" s="385"/>
      <c r="AB336" s="385"/>
      <c r="AC336" s="385"/>
      <c r="AD336" s="385"/>
      <c r="AE336" s="385"/>
      <c r="AF336" s="385"/>
      <c r="AG336" s="385"/>
      <c r="AH336" s="385"/>
      <c r="AI336" s="385"/>
      <c r="AJ336" s="385"/>
      <c r="AK336" s="385"/>
      <c r="AL336" s="385"/>
      <c r="AM336" s="385"/>
      <c r="AN336" s="385"/>
      <c r="AO336" s="385"/>
      <c r="AP336" s="385"/>
      <c r="AQ336" s="385"/>
      <c r="AR336" s="385"/>
      <c r="AS336" s="385"/>
      <c r="AT336" s="385"/>
      <c r="AU336" s="385"/>
      <c r="AV336" s="385"/>
      <c r="AW336" s="385"/>
      <c r="AX336" s="385"/>
    </row>
    <row r="337" spans="1:50" ht="10.8" hidden="1" thickTop="1" x14ac:dyDescent="0.2">
      <c r="A337" s="385"/>
      <c r="B337" s="385"/>
      <c r="C337" s="385"/>
      <c r="D337" s="445"/>
      <c r="E337" s="445"/>
      <c r="F337" s="445"/>
      <c r="G337" s="445"/>
      <c r="H337" s="445"/>
      <c r="I337" s="454"/>
      <c r="J337" s="454"/>
      <c r="K337" s="454"/>
      <c r="L337" s="442"/>
      <c r="M337" s="442"/>
      <c r="N337" s="442"/>
      <c r="O337" s="443"/>
      <c r="P337" s="385"/>
      <c r="Q337" s="385"/>
      <c r="R337" s="385"/>
      <c r="S337" s="385"/>
      <c r="T337" s="385"/>
      <c r="U337" s="385"/>
      <c r="V337" s="385"/>
      <c r="W337" s="385"/>
      <c r="X337" s="385"/>
      <c r="Y337" s="385"/>
      <c r="Z337" s="385"/>
      <c r="AA337" s="385"/>
      <c r="AB337" s="385"/>
      <c r="AC337" s="385"/>
      <c r="AD337" s="385"/>
      <c r="AE337" s="385"/>
      <c r="AF337" s="385"/>
      <c r="AG337" s="385"/>
      <c r="AH337" s="385"/>
      <c r="AI337" s="385"/>
      <c r="AJ337" s="385"/>
      <c r="AK337" s="385"/>
      <c r="AL337" s="385"/>
      <c r="AM337" s="385"/>
      <c r="AN337" s="385"/>
      <c r="AO337" s="385"/>
      <c r="AP337" s="385"/>
      <c r="AQ337" s="385"/>
      <c r="AR337" s="385"/>
      <c r="AS337" s="385"/>
      <c r="AT337" s="385"/>
      <c r="AU337" s="385"/>
      <c r="AV337" s="385"/>
      <c r="AW337" s="385"/>
      <c r="AX337" s="385"/>
    </row>
    <row r="338" spans="1:50" ht="10.8" hidden="1" thickTop="1" x14ac:dyDescent="0.2">
      <c r="A338" s="385"/>
      <c r="B338" s="385"/>
      <c r="C338" s="385"/>
      <c r="D338" s="445"/>
      <c r="E338" s="445"/>
      <c r="F338" s="445"/>
      <c r="G338" s="445"/>
      <c r="H338" s="445"/>
      <c r="I338" s="454"/>
      <c r="J338" s="454"/>
      <c r="K338" s="454"/>
      <c r="L338" s="442"/>
      <c r="M338" s="442"/>
      <c r="N338" s="442"/>
      <c r="O338" s="443"/>
      <c r="P338" s="385"/>
      <c r="Q338" s="385"/>
      <c r="R338" s="385"/>
      <c r="S338" s="385"/>
      <c r="T338" s="385"/>
      <c r="U338" s="385"/>
      <c r="V338" s="385"/>
      <c r="W338" s="385"/>
      <c r="X338" s="385"/>
      <c r="Y338" s="385"/>
      <c r="Z338" s="385"/>
      <c r="AA338" s="385"/>
      <c r="AB338" s="385"/>
      <c r="AC338" s="385"/>
      <c r="AD338" s="385"/>
      <c r="AE338" s="385"/>
      <c r="AF338" s="385"/>
      <c r="AG338" s="385"/>
      <c r="AH338" s="385"/>
      <c r="AI338" s="385"/>
      <c r="AJ338" s="385"/>
      <c r="AK338" s="385"/>
      <c r="AL338" s="385"/>
      <c r="AM338" s="385"/>
      <c r="AN338" s="385"/>
      <c r="AO338" s="385"/>
      <c r="AP338" s="385"/>
      <c r="AQ338" s="385"/>
      <c r="AR338" s="385"/>
      <c r="AS338" s="385"/>
      <c r="AT338" s="385"/>
      <c r="AU338" s="385"/>
      <c r="AV338" s="385"/>
      <c r="AW338" s="385"/>
      <c r="AX338" s="385"/>
    </row>
    <row r="339" spans="1:50" ht="10.8" hidden="1" thickTop="1" x14ac:dyDescent="0.2">
      <c r="A339" s="385"/>
      <c r="B339" s="385"/>
      <c r="C339" s="385"/>
      <c r="D339" s="445"/>
      <c r="E339" s="445"/>
      <c r="F339" s="445"/>
      <c r="G339" s="445"/>
      <c r="H339" s="445"/>
      <c r="I339" s="454"/>
      <c r="J339" s="454"/>
      <c r="K339" s="454"/>
      <c r="L339" s="442"/>
      <c r="M339" s="442"/>
      <c r="N339" s="442"/>
      <c r="O339" s="443"/>
      <c r="P339" s="385"/>
      <c r="Q339" s="385"/>
      <c r="R339" s="385"/>
      <c r="S339" s="385"/>
      <c r="T339" s="385"/>
      <c r="U339" s="385"/>
      <c r="V339" s="385"/>
      <c r="W339" s="385"/>
      <c r="X339" s="385"/>
      <c r="Y339" s="385"/>
      <c r="Z339" s="385"/>
      <c r="AA339" s="385"/>
      <c r="AB339" s="385"/>
      <c r="AC339" s="385"/>
      <c r="AD339" s="385"/>
      <c r="AE339" s="385"/>
      <c r="AF339" s="385"/>
      <c r="AG339" s="385"/>
      <c r="AH339" s="385"/>
      <c r="AI339" s="385"/>
      <c r="AJ339" s="385"/>
      <c r="AK339" s="385"/>
      <c r="AL339" s="385"/>
      <c r="AM339" s="385"/>
      <c r="AN339" s="385"/>
      <c r="AO339" s="385"/>
      <c r="AP339" s="385"/>
      <c r="AQ339" s="385"/>
      <c r="AR339" s="385"/>
      <c r="AS339" s="385"/>
      <c r="AT339" s="385"/>
      <c r="AU339" s="385"/>
      <c r="AV339" s="385"/>
      <c r="AW339" s="385"/>
      <c r="AX339" s="385"/>
    </row>
    <row r="340" spans="1:50" ht="10.8" hidden="1" thickTop="1" x14ac:dyDescent="0.2">
      <c r="A340" s="385"/>
      <c r="B340" s="385"/>
      <c r="C340" s="385"/>
      <c r="D340" s="385"/>
      <c r="E340" s="385"/>
      <c r="F340" s="385"/>
      <c r="G340" s="385"/>
      <c r="H340" s="385"/>
      <c r="I340" s="442"/>
      <c r="J340" s="442"/>
      <c r="K340" s="442"/>
      <c r="L340" s="442"/>
      <c r="M340" s="442"/>
      <c r="N340" s="442"/>
      <c r="O340" s="443"/>
      <c r="P340" s="385"/>
      <c r="Q340" s="385"/>
      <c r="R340" s="385"/>
      <c r="S340" s="385"/>
      <c r="T340" s="385"/>
      <c r="U340" s="385"/>
      <c r="V340" s="385"/>
      <c r="W340" s="385"/>
      <c r="X340" s="385"/>
      <c r="Y340" s="385"/>
      <c r="Z340" s="385"/>
      <c r="AA340" s="385"/>
      <c r="AB340" s="385"/>
      <c r="AC340" s="385"/>
      <c r="AD340" s="385"/>
      <c r="AE340" s="385"/>
      <c r="AF340" s="385"/>
      <c r="AG340" s="385"/>
      <c r="AH340" s="385"/>
      <c r="AI340" s="385"/>
      <c r="AJ340" s="385"/>
      <c r="AK340" s="385"/>
      <c r="AL340" s="385"/>
      <c r="AM340" s="385"/>
      <c r="AN340" s="385"/>
      <c r="AO340" s="385"/>
      <c r="AP340" s="385"/>
      <c r="AQ340" s="385"/>
      <c r="AR340" s="385"/>
      <c r="AS340" s="385"/>
      <c r="AT340" s="385"/>
      <c r="AU340" s="385"/>
      <c r="AV340" s="385"/>
      <c r="AW340" s="385"/>
      <c r="AX340" s="385"/>
    </row>
    <row r="341" spans="1:50" ht="10.8" hidden="1" thickTop="1" x14ac:dyDescent="0.2">
      <c r="A341" s="385"/>
      <c r="B341" s="385"/>
      <c r="C341" s="385"/>
      <c r="D341" s="385"/>
      <c r="E341" s="385"/>
      <c r="F341" s="385"/>
      <c r="G341" s="385"/>
      <c r="H341" s="385"/>
      <c r="I341" s="442"/>
      <c r="J341" s="442"/>
      <c r="K341" s="442"/>
      <c r="L341" s="442"/>
      <c r="M341" s="442"/>
      <c r="N341" s="442"/>
      <c r="O341" s="443"/>
      <c r="P341" s="385"/>
      <c r="Q341" s="385"/>
      <c r="R341" s="385"/>
      <c r="S341" s="385"/>
      <c r="T341" s="385"/>
      <c r="U341" s="385"/>
      <c r="V341" s="385"/>
      <c r="W341" s="385"/>
      <c r="X341" s="385"/>
      <c r="Y341" s="385"/>
      <c r="Z341" s="385"/>
      <c r="AA341" s="385"/>
      <c r="AB341" s="385"/>
      <c r="AC341" s="385"/>
      <c r="AD341" s="385"/>
      <c r="AE341" s="385"/>
      <c r="AF341" s="385"/>
      <c r="AG341" s="385"/>
      <c r="AH341" s="385"/>
      <c r="AI341" s="385"/>
      <c r="AJ341" s="385"/>
      <c r="AK341" s="385"/>
      <c r="AL341" s="385"/>
      <c r="AM341" s="385"/>
      <c r="AN341" s="385"/>
      <c r="AO341" s="385"/>
      <c r="AP341" s="385"/>
      <c r="AQ341" s="385"/>
      <c r="AR341" s="385"/>
      <c r="AS341" s="385"/>
      <c r="AT341" s="385"/>
      <c r="AU341" s="385"/>
      <c r="AV341" s="385"/>
      <c r="AW341" s="385"/>
      <c r="AX341" s="385"/>
    </row>
    <row r="342" spans="1:50" ht="10.8" hidden="1" thickTop="1" x14ac:dyDescent="0.2">
      <c r="A342" s="385"/>
      <c r="B342" s="385"/>
      <c r="C342" s="385"/>
      <c r="D342" s="385"/>
      <c r="E342" s="385"/>
      <c r="F342" s="385"/>
      <c r="G342" s="385"/>
      <c r="H342" s="385"/>
      <c r="I342" s="442"/>
      <c r="J342" s="442"/>
      <c r="K342" s="442"/>
      <c r="L342" s="442"/>
      <c r="M342" s="442"/>
      <c r="N342" s="442"/>
      <c r="O342" s="443"/>
      <c r="P342" s="385"/>
      <c r="Q342" s="385"/>
      <c r="R342" s="385"/>
      <c r="S342" s="385"/>
      <c r="T342" s="385"/>
      <c r="U342" s="385"/>
      <c r="V342" s="385"/>
      <c r="W342" s="385"/>
      <c r="X342" s="385"/>
      <c r="Y342" s="385"/>
      <c r="Z342" s="385"/>
      <c r="AA342" s="385"/>
      <c r="AB342" s="385"/>
      <c r="AC342" s="385"/>
      <c r="AD342" s="385"/>
      <c r="AE342" s="385"/>
      <c r="AF342" s="385"/>
      <c r="AG342" s="385"/>
      <c r="AH342" s="385"/>
      <c r="AI342" s="385"/>
      <c r="AJ342" s="385"/>
      <c r="AK342" s="385"/>
      <c r="AL342" s="385"/>
      <c r="AM342" s="385"/>
      <c r="AN342" s="385"/>
      <c r="AO342" s="385"/>
      <c r="AP342" s="385"/>
      <c r="AQ342" s="385"/>
      <c r="AR342" s="385"/>
      <c r="AS342" s="385"/>
      <c r="AT342" s="385"/>
      <c r="AU342" s="385"/>
      <c r="AV342" s="385"/>
      <c r="AW342" s="385"/>
      <c r="AX342" s="385"/>
    </row>
    <row r="343" spans="1:50" ht="10.8" hidden="1" thickTop="1" x14ac:dyDescent="0.2">
      <c r="A343" s="385"/>
      <c r="B343" s="385"/>
      <c r="C343" s="385"/>
      <c r="D343" s="385"/>
      <c r="E343" s="385"/>
      <c r="F343" s="385"/>
      <c r="G343" s="385"/>
      <c r="H343" s="385"/>
      <c r="I343" s="442"/>
      <c r="J343" s="442"/>
      <c r="K343" s="442"/>
      <c r="L343" s="442"/>
      <c r="M343" s="442"/>
      <c r="N343" s="442"/>
      <c r="O343" s="443"/>
      <c r="P343" s="385"/>
      <c r="Q343" s="385"/>
      <c r="R343" s="385"/>
      <c r="S343" s="385"/>
      <c r="T343" s="385"/>
      <c r="U343" s="385"/>
      <c r="V343" s="385"/>
      <c r="W343" s="385"/>
      <c r="X343" s="385"/>
      <c r="Y343" s="385"/>
      <c r="Z343" s="385"/>
      <c r="AA343" s="385"/>
      <c r="AB343" s="385"/>
      <c r="AC343" s="385"/>
      <c r="AD343" s="385"/>
      <c r="AE343" s="385"/>
      <c r="AF343" s="385"/>
      <c r="AG343" s="385"/>
      <c r="AH343" s="385"/>
      <c r="AI343" s="385"/>
      <c r="AJ343" s="385"/>
      <c r="AK343" s="385"/>
      <c r="AL343" s="385"/>
      <c r="AM343" s="385"/>
      <c r="AN343" s="385"/>
      <c r="AO343" s="385"/>
      <c r="AP343" s="385"/>
      <c r="AQ343" s="385"/>
      <c r="AR343" s="385"/>
      <c r="AS343" s="385"/>
      <c r="AT343" s="385"/>
      <c r="AU343" s="385"/>
      <c r="AV343" s="385"/>
      <c r="AW343" s="385"/>
      <c r="AX343" s="385"/>
    </row>
    <row r="344" spans="1:50" ht="10.8" hidden="1" thickTop="1" x14ac:dyDescent="0.2">
      <c r="A344" s="385"/>
      <c r="B344" s="385"/>
      <c r="C344" s="385"/>
      <c r="D344" s="385"/>
      <c r="E344" s="385"/>
      <c r="F344" s="385"/>
      <c r="G344" s="385"/>
      <c r="H344" s="385"/>
      <c r="I344" s="442"/>
      <c r="J344" s="442"/>
      <c r="K344" s="442"/>
      <c r="L344" s="442"/>
      <c r="M344" s="442"/>
      <c r="N344" s="442"/>
      <c r="O344" s="443"/>
      <c r="P344" s="385"/>
      <c r="Q344" s="385"/>
      <c r="R344" s="385"/>
      <c r="S344" s="385"/>
      <c r="T344" s="385"/>
      <c r="U344" s="385"/>
      <c r="V344" s="385"/>
      <c r="W344" s="385"/>
      <c r="X344" s="385"/>
      <c r="Y344" s="385"/>
      <c r="Z344" s="385"/>
      <c r="AA344" s="385"/>
      <c r="AB344" s="385"/>
      <c r="AC344" s="385"/>
      <c r="AD344" s="385"/>
      <c r="AE344" s="385"/>
      <c r="AF344" s="385"/>
      <c r="AG344" s="385"/>
      <c r="AH344" s="385"/>
      <c r="AI344" s="385"/>
      <c r="AJ344" s="385"/>
      <c r="AK344" s="385"/>
      <c r="AL344" s="385"/>
      <c r="AM344" s="385"/>
      <c r="AN344" s="385"/>
      <c r="AO344" s="385"/>
      <c r="AP344" s="385"/>
      <c r="AQ344" s="385"/>
      <c r="AR344" s="385"/>
      <c r="AS344" s="385"/>
      <c r="AT344" s="385"/>
      <c r="AU344" s="385"/>
      <c r="AV344" s="385"/>
      <c r="AW344" s="385"/>
      <c r="AX344" s="385"/>
    </row>
    <row r="345" spans="1:50" ht="10.8" hidden="1" thickTop="1" x14ac:dyDescent="0.2">
      <c r="A345" s="385"/>
      <c r="B345" s="385"/>
      <c r="C345" s="385"/>
      <c r="D345" s="385"/>
      <c r="E345" s="385"/>
      <c r="F345" s="385"/>
      <c r="G345" s="385"/>
      <c r="H345" s="385"/>
      <c r="I345" s="442"/>
      <c r="J345" s="442"/>
      <c r="K345" s="442"/>
      <c r="L345" s="442"/>
      <c r="M345" s="442"/>
      <c r="N345" s="442"/>
      <c r="O345" s="443"/>
      <c r="P345" s="385"/>
      <c r="Q345" s="385"/>
      <c r="R345" s="385"/>
      <c r="S345" s="385"/>
      <c r="T345" s="385"/>
      <c r="U345" s="385"/>
      <c r="V345" s="385"/>
      <c r="W345" s="385"/>
      <c r="X345" s="385"/>
      <c r="Y345" s="385"/>
      <c r="Z345" s="385"/>
      <c r="AA345" s="385"/>
      <c r="AB345" s="385"/>
      <c r="AC345" s="385"/>
      <c r="AD345" s="385"/>
      <c r="AE345" s="385"/>
      <c r="AF345" s="385"/>
      <c r="AG345" s="385"/>
      <c r="AH345" s="385"/>
      <c r="AI345" s="385"/>
      <c r="AJ345" s="385"/>
      <c r="AK345" s="385"/>
      <c r="AL345" s="385"/>
      <c r="AM345" s="385"/>
      <c r="AN345" s="385"/>
      <c r="AO345" s="385"/>
      <c r="AP345" s="385"/>
      <c r="AQ345" s="385"/>
      <c r="AR345" s="385"/>
      <c r="AS345" s="385"/>
      <c r="AT345" s="385"/>
      <c r="AU345" s="385"/>
      <c r="AV345" s="385"/>
      <c r="AW345" s="385"/>
      <c r="AX345" s="385"/>
    </row>
    <row r="346" spans="1:50" ht="10.8" hidden="1" thickTop="1" x14ac:dyDescent="0.2">
      <c r="A346" s="385"/>
      <c r="B346" s="385"/>
      <c r="C346" s="385"/>
      <c r="D346" s="385"/>
      <c r="E346" s="385"/>
      <c r="F346" s="385"/>
      <c r="G346" s="385"/>
      <c r="H346" s="385"/>
      <c r="I346" s="442"/>
      <c r="J346" s="442"/>
      <c r="K346" s="442"/>
      <c r="L346" s="442"/>
      <c r="M346" s="442"/>
      <c r="N346" s="442"/>
      <c r="O346" s="443"/>
      <c r="P346" s="385"/>
      <c r="Q346" s="385"/>
      <c r="R346" s="385"/>
      <c r="S346" s="385"/>
      <c r="T346" s="385"/>
      <c r="U346" s="385"/>
      <c r="V346" s="385"/>
      <c r="W346" s="385"/>
      <c r="X346" s="385"/>
      <c r="Y346" s="385"/>
      <c r="Z346" s="385"/>
      <c r="AA346" s="385"/>
      <c r="AB346" s="385"/>
      <c r="AC346" s="385"/>
      <c r="AD346" s="385"/>
      <c r="AE346" s="385"/>
      <c r="AF346" s="385"/>
      <c r="AG346" s="385"/>
      <c r="AH346" s="385"/>
      <c r="AI346" s="385"/>
      <c r="AJ346" s="385"/>
      <c r="AK346" s="385"/>
      <c r="AL346" s="385"/>
      <c r="AM346" s="385"/>
      <c r="AN346" s="385"/>
      <c r="AO346" s="385"/>
      <c r="AP346" s="385"/>
      <c r="AQ346" s="385"/>
      <c r="AR346" s="385"/>
      <c r="AS346" s="385"/>
      <c r="AT346" s="385"/>
      <c r="AU346" s="385"/>
      <c r="AV346" s="385"/>
      <c r="AW346" s="385"/>
      <c r="AX346" s="385"/>
    </row>
    <row r="347" spans="1:50" ht="10.8" hidden="1" thickTop="1" x14ac:dyDescent="0.2">
      <c r="A347" s="385"/>
      <c r="B347" s="385"/>
      <c r="C347" s="385"/>
      <c r="D347" s="385"/>
      <c r="E347" s="385"/>
      <c r="F347" s="385"/>
      <c r="G347" s="385"/>
      <c r="H347" s="385"/>
      <c r="I347" s="442"/>
      <c r="J347" s="442"/>
      <c r="K347" s="442"/>
      <c r="L347" s="442"/>
      <c r="M347" s="442"/>
      <c r="N347" s="442"/>
      <c r="O347" s="443"/>
      <c r="P347" s="385"/>
      <c r="Q347" s="385"/>
      <c r="R347" s="385"/>
      <c r="S347" s="385"/>
      <c r="T347" s="385"/>
      <c r="U347" s="385"/>
      <c r="V347" s="385"/>
      <c r="W347" s="385"/>
      <c r="X347" s="385"/>
      <c r="Y347" s="385"/>
      <c r="Z347" s="385"/>
      <c r="AA347" s="385"/>
      <c r="AB347" s="385"/>
      <c r="AC347" s="385"/>
      <c r="AD347" s="385"/>
      <c r="AE347" s="385"/>
      <c r="AF347" s="385"/>
      <c r="AG347" s="385"/>
      <c r="AH347" s="385"/>
      <c r="AI347" s="385"/>
      <c r="AJ347" s="385"/>
      <c r="AK347" s="385"/>
      <c r="AL347" s="385"/>
      <c r="AM347" s="385"/>
      <c r="AN347" s="385"/>
      <c r="AO347" s="385"/>
      <c r="AP347" s="385"/>
      <c r="AQ347" s="385"/>
      <c r="AR347" s="385"/>
      <c r="AS347" s="385"/>
      <c r="AT347" s="385"/>
      <c r="AU347" s="385"/>
      <c r="AV347" s="385"/>
      <c r="AW347" s="385"/>
      <c r="AX347" s="385"/>
    </row>
    <row r="348" spans="1:50" ht="10.8" hidden="1" thickTop="1" x14ac:dyDescent="0.2">
      <c r="A348" s="385"/>
      <c r="B348" s="385"/>
      <c r="C348" s="385"/>
      <c r="D348" s="385"/>
      <c r="E348" s="385"/>
      <c r="F348" s="385"/>
      <c r="G348" s="385"/>
      <c r="H348" s="385"/>
      <c r="I348" s="442"/>
      <c r="J348" s="442"/>
      <c r="K348" s="442"/>
      <c r="L348" s="442"/>
      <c r="M348" s="442"/>
      <c r="N348" s="442"/>
      <c r="O348" s="443"/>
      <c r="P348" s="385"/>
      <c r="Q348" s="385"/>
      <c r="R348" s="385"/>
      <c r="S348" s="385"/>
      <c r="T348" s="385"/>
      <c r="U348" s="385"/>
      <c r="V348" s="385"/>
      <c r="W348" s="385"/>
      <c r="X348" s="385"/>
      <c r="Y348" s="385"/>
      <c r="Z348" s="385"/>
      <c r="AA348" s="385"/>
      <c r="AB348" s="385"/>
      <c r="AC348" s="385"/>
      <c r="AD348" s="385"/>
      <c r="AE348" s="385"/>
      <c r="AF348" s="385"/>
      <c r="AG348" s="385"/>
      <c r="AH348" s="385"/>
      <c r="AI348" s="385"/>
      <c r="AJ348" s="385"/>
      <c r="AK348" s="385"/>
      <c r="AL348" s="385"/>
      <c r="AM348" s="385"/>
      <c r="AN348" s="385"/>
      <c r="AO348" s="385"/>
      <c r="AP348" s="385"/>
      <c r="AQ348" s="385"/>
      <c r="AR348" s="385"/>
      <c r="AS348" s="385"/>
      <c r="AT348" s="385"/>
      <c r="AU348" s="385"/>
      <c r="AV348" s="385"/>
      <c r="AW348" s="385"/>
      <c r="AX348" s="385"/>
    </row>
    <row r="349" spans="1:50" ht="10.8" hidden="1" thickTop="1" x14ac:dyDescent="0.2">
      <c r="A349" s="385"/>
      <c r="B349" s="385"/>
      <c r="C349" s="385"/>
      <c r="D349" s="385"/>
      <c r="E349" s="385"/>
      <c r="F349" s="385"/>
      <c r="G349" s="385"/>
      <c r="H349" s="385"/>
      <c r="I349" s="442"/>
      <c r="J349" s="442"/>
      <c r="K349" s="442"/>
      <c r="L349" s="442"/>
      <c r="M349" s="442"/>
      <c r="N349" s="442"/>
      <c r="O349" s="443"/>
      <c r="P349" s="385"/>
      <c r="Q349" s="385"/>
      <c r="R349" s="385"/>
      <c r="S349" s="385"/>
      <c r="T349" s="385"/>
      <c r="U349" s="385"/>
      <c r="V349" s="385"/>
      <c r="W349" s="385"/>
      <c r="X349" s="385"/>
      <c r="Y349" s="385"/>
      <c r="Z349" s="385"/>
      <c r="AA349" s="385"/>
      <c r="AB349" s="385"/>
      <c r="AC349" s="385"/>
      <c r="AD349" s="385"/>
      <c r="AE349" s="385"/>
      <c r="AF349" s="385"/>
      <c r="AG349" s="385"/>
      <c r="AH349" s="385"/>
      <c r="AI349" s="385"/>
      <c r="AJ349" s="385"/>
      <c r="AK349" s="385"/>
      <c r="AL349" s="385"/>
      <c r="AM349" s="385"/>
      <c r="AN349" s="385"/>
      <c r="AO349" s="385"/>
      <c r="AP349" s="385"/>
      <c r="AQ349" s="385"/>
      <c r="AR349" s="385"/>
      <c r="AS349" s="385"/>
      <c r="AT349" s="385"/>
      <c r="AU349" s="385"/>
      <c r="AV349" s="385"/>
      <c r="AW349" s="385"/>
      <c r="AX349" s="385"/>
    </row>
    <row r="350" spans="1:50" ht="10.8" hidden="1" thickTop="1" x14ac:dyDescent="0.2">
      <c r="A350" s="385"/>
      <c r="B350" s="385"/>
      <c r="C350" s="385"/>
      <c r="D350" s="385"/>
      <c r="E350" s="385"/>
      <c r="F350" s="385"/>
      <c r="G350" s="385"/>
      <c r="H350" s="385"/>
      <c r="I350" s="442"/>
      <c r="J350" s="442"/>
      <c r="K350" s="442"/>
      <c r="L350" s="442"/>
      <c r="M350" s="442"/>
      <c r="N350" s="442"/>
      <c r="O350" s="443"/>
      <c r="P350" s="385"/>
      <c r="Q350" s="385"/>
      <c r="R350" s="385"/>
      <c r="S350" s="385"/>
      <c r="T350" s="385"/>
      <c r="U350" s="385"/>
      <c r="V350" s="385"/>
      <c r="W350" s="385"/>
      <c r="X350" s="385"/>
      <c r="Y350" s="385"/>
      <c r="Z350" s="385"/>
      <c r="AA350" s="385"/>
      <c r="AB350" s="385"/>
      <c r="AC350" s="385"/>
      <c r="AD350" s="385"/>
      <c r="AE350" s="385"/>
      <c r="AF350" s="385"/>
      <c r="AG350" s="385"/>
      <c r="AH350" s="385"/>
      <c r="AI350" s="385"/>
      <c r="AJ350" s="385"/>
      <c r="AK350" s="385"/>
      <c r="AL350" s="385"/>
      <c r="AM350" s="385"/>
      <c r="AN350" s="385"/>
      <c r="AO350" s="385"/>
      <c r="AP350" s="385"/>
      <c r="AQ350" s="385"/>
      <c r="AR350" s="385"/>
      <c r="AS350" s="385"/>
      <c r="AT350" s="385"/>
      <c r="AU350" s="385"/>
      <c r="AV350" s="385"/>
      <c r="AW350" s="385"/>
      <c r="AX350" s="385"/>
    </row>
    <row r="351" spans="1:50" ht="10.8" hidden="1" thickTop="1" x14ac:dyDescent="0.2">
      <c r="A351" s="385"/>
      <c r="B351" s="385"/>
      <c r="C351" s="385"/>
      <c r="D351" s="385"/>
      <c r="E351" s="385"/>
      <c r="F351" s="385"/>
      <c r="G351" s="385"/>
      <c r="H351" s="385"/>
      <c r="I351" s="442"/>
      <c r="J351" s="442"/>
      <c r="K351" s="442"/>
      <c r="L351" s="442"/>
      <c r="M351" s="442"/>
      <c r="N351" s="442"/>
      <c r="O351" s="443"/>
      <c r="P351" s="385"/>
      <c r="Q351" s="385"/>
      <c r="R351" s="385"/>
      <c r="S351" s="385"/>
      <c r="T351" s="385"/>
      <c r="U351" s="385"/>
      <c r="V351" s="385"/>
      <c r="W351" s="385"/>
      <c r="X351" s="385"/>
      <c r="Y351" s="385"/>
      <c r="Z351" s="385"/>
      <c r="AA351" s="385"/>
      <c r="AB351" s="385"/>
      <c r="AC351" s="385"/>
      <c r="AD351" s="385"/>
      <c r="AE351" s="385"/>
      <c r="AF351" s="385"/>
      <c r="AG351" s="385"/>
      <c r="AH351" s="385"/>
      <c r="AI351" s="385"/>
      <c r="AJ351" s="385"/>
      <c r="AK351" s="385"/>
      <c r="AL351" s="385"/>
      <c r="AM351" s="385"/>
      <c r="AN351" s="385"/>
      <c r="AO351" s="385"/>
      <c r="AP351" s="385"/>
      <c r="AQ351" s="385"/>
      <c r="AR351" s="385"/>
      <c r="AS351" s="385"/>
      <c r="AT351" s="385"/>
      <c r="AU351" s="385"/>
      <c r="AV351" s="385"/>
      <c r="AW351" s="385"/>
      <c r="AX351" s="385"/>
    </row>
    <row r="352" spans="1:50" ht="10.8" hidden="1" thickTop="1" x14ac:dyDescent="0.2">
      <c r="A352" s="385"/>
      <c r="B352" s="444"/>
      <c r="C352" s="385"/>
      <c r="D352" s="385"/>
      <c r="E352" s="385"/>
      <c r="F352" s="385"/>
      <c r="G352" s="385"/>
      <c r="H352" s="385"/>
      <c r="I352" s="442"/>
      <c r="J352" s="442"/>
      <c r="K352" s="442"/>
      <c r="L352" s="442"/>
      <c r="M352" s="442"/>
      <c r="N352" s="442"/>
      <c r="O352" s="443"/>
      <c r="P352" s="385"/>
      <c r="Q352" s="385"/>
      <c r="R352" s="385"/>
      <c r="S352" s="385"/>
      <c r="T352" s="385"/>
      <c r="U352" s="385"/>
      <c r="V352" s="385"/>
      <c r="W352" s="385"/>
      <c r="X352" s="385"/>
      <c r="Y352" s="385"/>
      <c r="Z352" s="385"/>
      <c r="AA352" s="385"/>
      <c r="AB352" s="385"/>
      <c r="AC352" s="385"/>
      <c r="AD352" s="385"/>
      <c r="AE352" s="385"/>
      <c r="AF352" s="385"/>
      <c r="AG352" s="385"/>
      <c r="AH352" s="385"/>
      <c r="AI352" s="385"/>
      <c r="AJ352" s="385"/>
      <c r="AK352" s="385"/>
      <c r="AL352" s="385"/>
      <c r="AM352" s="385"/>
      <c r="AN352" s="385"/>
      <c r="AO352" s="385"/>
      <c r="AP352" s="385"/>
      <c r="AQ352" s="385"/>
      <c r="AR352" s="385"/>
      <c r="AS352" s="385"/>
      <c r="AT352" s="385"/>
      <c r="AU352" s="385"/>
      <c r="AV352" s="385"/>
      <c r="AW352" s="385"/>
      <c r="AX352" s="385"/>
    </row>
    <row r="353" spans="1:50" ht="10.8" hidden="1" thickTop="1" x14ac:dyDescent="0.2">
      <c r="A353" s="385"/>
      <c r="B353" s="385"/>
      <c r="C353" s="385"/>
      <c r="D353" s="385"/>
      <c r="E353" s="385"/>
      <c r="F353" s="385"/>
      <c r="G353" s="385"/>
      <c r="H353" s="385"/>
      <c r="I353" s="442"/>
      <c r="J353" s="442"/>
      <c r="K353" s="442"/>
      <c r="L353" s="442"/>
      <c r="M353" s="442"/>
      <c r="N353" s="442"/>
      <c r="O353" s="443"/>
      <c r="P353" s="385"/>
      <c r="Q353" s="385"/>
      <c r="R353" s="385"/>
      <c r="S353" s="385"/>
      <c r="T353" s="385"/>
      <c r="U353" s="385"/>
      <c r="V353" s="385"/>
      <c r="W353" s="385"/>
      <c r="X353" s="385"/>
      <c r="Y353" s="385"/>
      <c r="Z353" s="385"/>
      <c r="AA353" s="385"/>
      <c r="AB353" s="385"/>
      <c r="AC353" s="385"/>
      <c r="AD353" s="385"/>
      <c r="AE353" s="385"/>
      <c r="AF353" s="385"/>
      <c r="AG353" s="385"/>
      <c r="AH353" s="385"/>
      <c r="AI353" s="385"/>
      <c r="AJ353" s="385"/>
      <c r="AK353" s="385"/>
      <c r="AL353" s="385"/>
      <c r="AM353" s="385"/>
      <c r="AN353" s="385"/>
      <c r="AO353" s="385"/>
      <c r="AP353" s="385"/>
      <c r="AQ353" s="385"/>
      <c r="AR353" s="385"/>
      <c r="AS353" s="385"/>
      <c r="AT353" s="385"/>
      <c r="AU353" s="385"/>
      <c r="AV353" s="385"/>
      <c r="AW353" s="385"/>
      <c r="AX353" s="385"/>
    </row>
    <row r="354" spans="1:50" ht="10.8" hidden="1" thickTop="1" x14ac:dyDescent="0.2">
      <c r="A354" s="385"/>
      <c r="B354" s="385"/>
      <c r="C354" s="385"/>
      <c r="D354" s="445"/>
      <c r="E354" s="385"/>
      <c r="F354" s="385"/>
      <c r="G354" s="445"/>
      <c r="H354" s="385"/>
      <c r="I354" s="442"/>
      <c r="J354" s="442"/>
      <c r="K354" s="442"/>
      <c r="L354" s="442"/>
      <c r="M354" s="442"/>
      <c r="N354" s="442"/>
      <c r="O354" s="443"/>
      <c r="P354" s="385"/>
      <c r="Q354" s="385"/>
      <c r="R354" s="385"/>
      <c r="S354" s="385"/>
      <c r="T354" s="385"/>
      <c r="U354" s="385"/>
      <c r="V354" s="385"/>
      <c r="W354" s="385"/>
      <c r="X354" s="385"/>
      <c r="Y354" s="385"/>
      <c r="Z354" s="385"/>
      <c r="AA354" s="385"/>
      <c r="AB354" s="385"/>
      <c r="AC354" s="385"/>
      <c r="AD354" s="385"/>
      <c r="AE354" s="385"/>
      <c r="AF354" s="385"/>
      <c r="AG354" s="385"/>
      <c r="AH354" s="385"/>
      <c r="AI354" s="385"/>
      <c r="AJ354" s="385"/>
      <c r="AK354" s="385"/>
      <c r="AL354" s="385"/>
      <c r="AM354" s="385"/>
      <c r="AN354" s="385"/>
      <c r="AO354" s="385"/>
      <c r="AP354" s="385"/>
      <c r="AQ354" s="385"/>
      <c r="AR354" s="385"/>
      <c r="AS354" s="385"/>
      <c r="AT354" s="385"/>
      <c r="AU354" s="385"/>
      <c r="AV354" s="385"/>
      <c r="AW354" s="385"/>
      <c r="AX354" s="385"/>
    </row>
    <row r="355" spans="1:50" ht="10.8" hidden="1" thickTop="1" x14ac:dyDescent="0.2">
      <c r="A355" s="385"/>
      <c r="B355" s="385"/>
      <c r="C355" s="385"/>
      <c r="D355" s="385"/>
      <c r="E355" s="385"/>
      <c r="F355" s="385"/>
      <c r="G355" s="385"/>
      <c r="H355" s="385"/>
      <c r="I355" s="442"/>
      <c r="J355" s="442"/>
      <c r="K355" s="442"/>
      <c r="L355" s="442"/>
      <c r="M355" s="442"/>
      <c r="N355" s="442"/>
      <c r="O355" s="443"/>
      <c r="P355" s="385"/>
      <c r="Q355" s="385"/>
      <c r="R355" s="385"/>
      <c r="S355" s="385"/>
      <c r="T355" s="385"/>
      <c r="U355" s="385"/>
      <c r="V355" s="385"/>
      <c r="W355" s="385"/>
      <c r="X355" s="385"/>
      <c r="Y355" s="385"/>
      <c r="Z355" s="385"/>
      <c r="AA355" s="385"/>
      <c r="AB355" s="385"/>
      <c r="AC355" s="385"/>
      <c r="AD355" s="385"/>
      <c r="AE355" s="385"/>
      <c r="AF355" s="385"/>
      <c r="AG355" s="385"/>
      <c r="AH355" s="385"/>
      <c r="AI355" s="385"/>
      <c r="AJ355" s="385"/>
      <c r="AK355" s="385"/>
      <c r="AL355" s="385"/>
      <c r="AM355" s="385"/>
      <c r="AN355" s="385"/>
      <c r="AO355" s="385"/>
      <c r="AP355" s="385"/>
      <c r="AQ355" s="385"/>
      <c r="AR355" s="385"/>
      <c r="AS355" s="385"/>
      <c r="AT355" s="385"/>
      <c r="AU355" s="385"/>
      <c r="AV355" s="385"/>
      <c r="AW355" s="385"/>
      <c r="AX355" s="385"/>
    </row>
    <row r="356" spans="1:50" ht="10.8" hidden="1" thickTop="1" x14ac:dyDescent="0.2">
      <c r="A356" s="385"/>
      <c r="B356" s="385"/>
      <c r="C356" s="385"/>
      <c r="D356" s="385"/>
      <c r="E356" s="385"/>
      <c r="F356" s="385"/>
      <c r="G356" s="385"/>
      <c r="H356" s="385"/>
      <c r="I356" s="442"/>
      <c r="J356" s="442"/>
      <c r="K356" s="442"/>
      <c r="L356" s="442"/>
      <c r="M356" s="442"/>
      <c r="N356" s="442"/>
      <c r="O356" s="443"/>
      <c r="P356" s="385"/>
      <c r="Q356" s="385"/>
      <c r="R356" s="385"/>
      <c r="S356" s="385"/>
      <c r="T356" s="385"/>
      <c r="U356" s="385"/>
      <c r="V356" s="385"/>
      <c r="W356" s="385"/>
      <c r="X356" s="385"/>
      <c r="Y356" s="385"/>
      <c r="Z356" s="385"/>
      <c r="AA356" s="385"/>
      <c r="AB356" s="385"/>
      <c r="AC356" s="385"/>
      <c r="AD356" s="385"/>
      <c r="AE356" s="385"/>
      <c r="AF356" s="385"/>
      <c r="AG356" s="385"/>
      <c r="AH356" s="385"/>
      <c r="AI356" s="385"/>
      <c r="AJ356" s="385"/>
      <c r="AK356" s="385"/>
      <c r="AL356" s="385"/>
      <c r="AM356" s="385"/>
      <c r="AN356" s="385"/>
      <c r="AO356" s="385"/>
      <c r="AP356" s="385"/>
      <c r="AQ356" s="385"/>
      <c r="AR356" s="385"/>
      <c r="AS356" s="385"/>
      <c r="AT356" s="385"/>
      <c r="AU356" s="385"/>
      <c r="AV356" s="385"/>
      <c r="AW356" s="385"/>
      <c r="AX356" s="385"/>
    </row>
    <row r="357" spans="1:50" ht="10.8" hidden="1" thickTop="1" x14ac:dyDescent="0.2">
      <c r="A357" s="385"/>
      <c r="B357" s="385"/>
      <c r="C357" s="385"/>
      <c r="D357" s="385"/>
      <c r="E357" s="385"/>
      <c r="F357" s="385"/>
      <c r="G357" s="385"/>
      <c r="H357" s="385"/>
      <c r="I357" s="442"/>
      <c r="J357" s="442"/>
      <c r="K357" s="442"/>
      <c r="L357" s="442"/>
      <c r="M357" s="442"/>
      <c r="N357" s="442"/>
      <c r="O357" s="443"/>
      <c r="P357" s="385"/>
      <c r="Q357" s="385"/>
      <c r="R357" s="385"/>
      <c r="S357" s="385"/>
      <c r="T357" s="385"/>
      <c r="U357" s="385"/>
      <c r="V357" s="385"/>
      <c r="W357" s="385"/>
      <c r="X357" s="385"/>
      <c r="Y357" s="385"/>
      <c r="Z357" s="385"/>
      <c r="AA357" s="385"/>
      <c r="AB357" s="385"/>
      <c r="AC357" s="385"/>
      <c r="AD357" s="385"/>
      <c r="AE357" s="385"/>
      <c r="AF357" s="385"/>
      <c r="AG357" s="385"/>
      <c r="AH357" s="385"/>
      <c r="AI357" s="385"/>
      <c r="AJ357" s="385"/>
      <c r="AK357" s="385"/>
      <c r="AL357" s="385"/>
      <c r="AM357" s="385"/>
      <c r="AN357" s="385"/>
      <c r="AO357" s="385"/>
      <c r="AP357" s="385"/>
      <c r="AQ357" s="385"/>
      <c r="AR357" s="385"/>
      <c r="AS357" s="385"/>
      <c r="AT357" s="385"/>
      <c r="AU357" s="385"/>
      <c r="AV357" s="385"/>
      <c r="AW357" s="385"/>
      <c r="AX357" s="385"/>
    </row>
    <row r="358" spans="1:50" ht="10.8" hidden="1" thickTop="1" x14ac:dyDescent="0.2">
      <c r="A358" s="385"/>
      <c r="B358" s="385"/>
      <c r="C358" s="385"/>
      <c r="D358" s="385"/>
      <c r="E358" s="385"/>
      <c r="F358" s="385"/>
      <c r="G358" s="385"/>
      <c r="H358" s="385"/>
      <c r="I358" s="442"/>
      <c r="J358" s="442"/>
      <c r="K358" s="442"/>
      <c r="L358" s="442"/>
      <c r="M358" s="442"/>
      <c r="N358" s="442"/>
      <c r="O358" s="443"/>
      <c r="P358" s="385"/>
      <c r="Q358" s="385"/>
      <c r="R358" s="385"/>
      <c r="S358" s="385"/>
      <c r="T358" s="385"/>
      <c r="U358" s="385"/>
      <c r="V358" s="385"/>
      <c r="W358" s="385"/>
      <c r="X358" s="385"/>
      <c r="Y358" s="385"/>
      <c r="Z358" s="385"/>
      <c r="AA358" s="385"/>
      <c r="AB358" s="385"/>
      <c r="AC358" s="385"/>
      <c r="AD358" s="385"/>
      <c r="AE358" s="385"/>
      <c r="AF358" s="385"/>
      <c r="AG358" s="385"/>
      <c r="AH358" s="385"/>
      <c r="AI358" s="385"/>
      <c r="AJ358" s="385"/>
      <c r="AK358" s="385"/>
      <c r="AL358" s="385"/>
      <c r="AM358" s="385"/>
      <c r="AN358" s="385"/>
      <c r="AO358" s="385"/>
      <c r="AP358" s="385"/>
      <c r="AQ358" s="385"/>
      <c r="AR358" s="385"/>
      <c r="AS358" s="385"/>
      <c r="AT358" s="385"/>
      <c r="AU358" s="385"/>
      <c r="AV358" s="385"/>
      <c r="AW358" s="385"/>
      <c r="AX358" s="385"/>
    </row>
    <row r="359" spans="1:50" ht="10.8" hidden="1" thickTop="1" x14ac:dyDescent="0.2">
      <c r="A359" s="385"/>
      <c r="B359" s="385"/>
      <c r="C359" s="385"/>
      <c r="D359" s="385"/>
      <c r="E359" s="385"/>
      <c r="F359" s="385"/>
      <c r="G359" s="385"/>
      <c r="H359" s="385"/>
      <c r="I359" s="442"/>
      <c r="J359" s="442"/>
      <c r="K359" s="442"/>
      <c r="L359" s="442"/>
      <c r="M359" s="442"/>
      <c r="N359" s="442"/>
      <c r="O359" s="443"/>
      <c r="P359" s="385"/>
      <c r="Q359" s="385"/>
      <c r="R359" s="385"/>
      <c r="S359" s="385"/>
      <c r="T359" s="385"/>
      <c r="U359" s="385"/>
      <c r="V359" s="385"/>
      <c r="W359" s="385"/>
      <c r="X359" s="385"/>
      <c r="Y359" s="385"/>
      <c r="Z359" s="385"/>
      <c r="AA359" s="385"/>
      <c r="AB359" s="385"/>
      <c r="AC359" s="385"/>
      <c r="AD359" s="385"/>
      <c r="AE359" s="385"/>
      <c r="AF359" s="385"/>
      <c r="AG359" s="385"/>
      <c r="AH359" s="385"/>
      <c r="AI359" s="385"/>
      <c r="AJ359" s="385"/>
      <c r="AK359" s="385"/>
      <c r="AL359" s="385"/>
      <c r="AM359" s="385"/>
      <c r="AN359" s="385"/>
      <c r="AO359" s="385"/>
      <c r="AP359" s="385"/>
      <c r="AQ359" s="385"/>
      <c r="AR359" s="385"/>
      <c r="AS359" s="385"/>
      <c r="AT359" s="385"/>
      <c r="AU359" s="385"/>
      <c r="AV359" s="385"/>
      <c r="AW359" s="385"/>
      <c r="AX359" s="385"/>
    </row>
    <row r="360" spans="1:50" ht="10.8" hidden="1" thickTop="1" x14ac:dyDescent="0.2">
      <c r="A360" s="385"/>
      <c r="B360" s="444"/>
      <c r="C360" s="385"/>
      <c r="D360" s="385"/>
      <c r="E360" s="385"/>
      <c r="F360" s="385"/>
      <c r="G360" s="385"/>
      <c r="H360" s="385"/>
      <c r="I360" s="442"/>
      <c r="J360" s="442"/>
      <c r="K360" s="442"/>
      <c r="L360" s="442"/>
      <c r="M360" s="442"/>
      <c r="N360" s="442"/>
      <c r="O360" s="443"/>
      <c r="P360" s="385"/>
      <c r="Q360" s="385"/>
      <c r="R360" s="385"/>
      <c r="S360" s="385"/>
      <c r="T360" s="385"/>
      <c r="U360" s="385"/>
      <c r="V360" s="385"/>
      <c r="W360" s="385"/>
      <c r="X360" s="385"/>
      <c r="Y360" s="385"/>
      <c r="Z360" s="385"/>
      <c r="AA360" s="385"/>
      <c r="AB360" s="385"/>
      <c r="AC360" s="385"/>
      <c r="AD360" s="385"/>
      <c r="AE360" s="385"/>
      <c r="AF360" s="385"/>
      <c r="AG360" s="385"/>
      <c r="AH360" s="385"/>
      <c r="AI360" s="385"/>
      <c r="AJ360" s="385"/>
      <c r="AK360" s="385"/>
      <c r="AL360" s="385"/>
      <c r="AM360" s="385"/>
      <c r="AN360" s="385"/>
      <c r="AO360" s="385"/>
      <c r="AP360" s="385"/>
      <c r="AQ360" s="385"/>
      <c r="AR360" s="385"/>
      <c r="AS360" s="385"/>
      <c r="AT360" s="385"/>
      <c r="AU360" s="385"/>
      <c r="AV360" s="385"/>
      <c r="AW360" s="385"/>
      <c r="AX360" s="385"/>
    </row>
    <row r="361" spans="1:50" ht="10.8" hidden="1" thickTop="1" x14ac:dyDescent="0.2">
      <c r="A361" s="385"/>
      <c r="B361" s="446"/>
      <c r="C361" s="385"/>
      <c r="D361" s="385"/>
      <c r="E361" s="385"/>
      <c r="F361" s="385"/>
      <c r="G361" s="385"/>
      <c r="H361" s="385"/>
      <c r="I361" s="442"/>
      <c r="J361" s="442"/>
      <c r="K361" s="442"/>
      <c r="L361" s="442"/>
      <c r="M361" s="442"/>
      <c r="N361" s="442"/>
      <c r="O361" s="443"/>
      <c r="P361" s="385"/>
      <c r="Q361" s="385"/>
      <c r="R361" s="385"/>
      <c r="S361" s="385"/>
      <c r="T361" s="385"/>
      <c r="U361" s="385"/>
      <c r="V361" s="385"/>
      <c r="W361" s="385"/>
      <c r="X361" s="385"/>
      <c r="Y361" s="385"/>
      <c r="Z361" s="385"/>
      <c r="AA361" s="385"/>
      <c r="AB361" s="385"/>
      <c r="AC361" s="385"/>
      <c r="AD361" s="385"/>
      <c r="AE361" s="385"/>
      <c r="AF361" s="385"/>
      <c r="AG361" s="385"/>
      <c r="AH361" s="385"/>
      <c r="AI361" s="385"/>
      <c r="AJ361" s="385"/>
      <c r="AK361" s="385"/>
      <c r="AL361" s="385"/>
      <c r="AM361" s="385"/>
      <c r="AN361" s="385"/>
      <c r="AO361" s="385"/>
      <c r="AP361" s="385"/>
      <c r="AQ361" s="385"/>
      <c r="AR361" s="385"/>
      <c r="AS361" s="385"/>
      <c r="AT361" s="385"/>
      <c r="AU361" s="385"/>
      <c r="AV361" s="385"/>
      <c r="AW361" s="385"/>
      <c r="AX361" s="385"/>
    </row>
    <row r="362" spans="1:50" ht="10.8" hidden="1" thickTop="1" x14ac:dyDescent="0.2">
      <c r="A362" s="385"/>
      <c r="B362" s="385"/>
      <c r="C362" s="385"/>
      <c r="D362" s="385"/>
      <c r="E362" s="385"/>
      <c r="F362" s="385"/>
      <c r="G362" s="385"/>
      <c r="H362" s="385"/>
      <c r="I362" s="442"/>
      <c r="J362" s="442"/>
      <c r="K362" s="442"/>
      <c r="L362" s="442"/>
      <c r="M362" s="442"/>
      <c r="N362" s="442"/>
      <c r="O362" s="443"/>
      <c r="P362" s="385"/>
      <c r="Q362" s="385"/>
      <c r="R362" s="385"/>
      <c r="S362" s="385"/>
      <c r="T362" s="385"/>
      <c r="U362" s="385"/>
      <c r="V362" s="385"/>
      <c r="W362" s="385"/>
      <c r="X362" s="385"/>
      <c r="Y362" s="385"/>
      <c r="Z362" s="385"/>
      <c r="AA362" s="385"/>
      <c r="AB362" s="385"/>
      <c r="AC362" s="385"/>
      <c r="AD362" s="385"/>
      <c r="AE362" s="385"/>
      <c r="AF362" s="385"/>
      <c r="AG362" s="385"/>
      <c r="AH362" s="385"/>
      <c r="AI362" s="385"/>
      <c r="AJ362" s="385"/>
      <c r="AK362" s="385"/>
      <c r="AL362" s="385"/>
      <c r="AM362" s="385"/>
      <c r="AN362" s="385"/>
      <c r="AO362" s="385"/>
      <c r="AP362" s="385"/>
      <c r="AQ362" s="385"/>
      <c r="AR362" s="385"/>
      <c r="AS362" s="385"/>
      <c r="AT362" s="385"/>
      <c r="AU362" s="385"/>
      <c r="AV362" s="385"/>
      <c r="AW362" s="385"/>
      <c r="AX362" s="385"/>
    </row>
    <row r="363" spans="1:50" ht="10.8" hidden="1" thickTop="1" x14ac:dyDescent="0.2">
      <c r="A363" s="385"/>
      <c r="B363" s="385"/>
      <c r="C363" s="385"/>
      <c r="D363" s="445"/>
      <c r="E363" s="445"/>
      <c r="F363" s="445"/>
      <c r="G363" s="445"/>
      <c r="H363" s="445"/>
      <c r="I363" s="454"/>
      <c r="J363" s="454"/>
      <c r="K363" s="454"/>
      <c r="L363" s="442"/>
      <c r="M363" s="442"/>
      <c r="N363" s="442"/>
      <c r="O363" s="443"/>
      <c r="P363" s="385"/>
      <c r="Q363" s="385"/>
      <c r="R363" s="385"/>
      <c r="S363" s="385"/>
      <c r="T363" s="385"/>
      <c r="U363" s="385"/>
      <c r="V363" s="385"/>
      <c r="W363" s="385"/>
      <c r="X363" s="385"/>
      <c r="Y363" s="385"/>
      <c r="Z363" s="385"/>
      <c r="AA363" s="385"/>
      <c r="AB363" s="385"/>
      <c r="AC363" s="385"/>
      <c r="AD363" s="385"/>
      <c r="AE363" s="385"/>
      <c r="AF363" s="385"/>
      <c r="AG363" s="385"/>
      <c r="AH363" s="385"/>
      <c r="AI363" s="385"/>
      <c r="AJ363" s="385"/>
      <c r="AK363" s="385"/>
      <c r="AL363" s="385"/>
      <c r="AM363" s="385"/>
      <c r="AN363" s="385"/>
      <c r="AO363" s="385"/>
      <c r="AP363" s="385"/>
      <c r="AQ363" s="385"/>
      <c r="AR363" s="385"/>
      <c r="AS363" s="385"/>
      <c r="AT363" s="385"/>
      <c r="AU363" s="385"/>
      <c r="AV363" s="385"/>
      <c r="AW363" s="385"/>
      <c r="AX363" s="385"/>
    </row>
    <row r="364" spans="1:50" ht="10.8" hidden="1" thickTop="1" x14ac:dyDescent="0.2">
      <c r="A364" s="385"/>
      <c r="B364" s="385"/>
      <c r="C364" s="385"/>
      <c r="D364" s="445"/>
      <c r="E364" s="445"/>
      <c r="F364" s="445"/>
      <c r="G364" s="445"/>
      <c r="H364" s="445"/>
      <c r="I364" s="454"/>
      <c r="J364" s="454"/>
      <c r="K364" s="454"/>
      <c r="L364" s="442"/>
      <c r="M364" s="442"/>
      <c r="N364" s="442"/>
      <c r="O364" s="443"/>
      <c r="P364" s="385"/>
      <c r="Q364" s="385"/>
      <c r="R364" s="385"/>
      <c r="S364" s="385"/>
      <c r="T364" s="385"/>
      <c r="U364" s="385"/>
      <c r="V364" s="385"/>
      <c r="W364" s="385"/>
      <c r="X364" s="385"/>
      <c r="Y364" s="385"/>
      <c r="Z364" s="385"/>
      <c r="AA364" s="385"/>
      <c r="AB364" s="385"/>
      <c r="AC364" s="385"/>
      <c r="AD364" s="385"/>
      <c r="AE364" s="385"/>
      <c r="AF364" s="385"/>
      <c r="AG364" s="385"/>
      <c r="AH364" s="385"/>
      <c r="AI364" s="385"/>
      <c r="AJ364" s="385"/>
      <c r="AK364" s="385"/>
      <c r="AL364" s="385"/>
      <c r="AM364" s="385"/>
      <c r="AN364" s="385"/>
      <c r="AO364" s="385"/>
      <c r="AP364" s="385"/>
      <c r="AQ364" s="385"/>
      <c r="AR364" s="385"/>
      <c r="AS364" s="385"/>
      <c r="AT364" s="385"/>
      <c r="AU364" s="385"/>
      <c r="AV364" s="385"/>
      <c r="AW364" s="385"/>
      <c r="AX364" s="385"/>
    </row>
    <row r="365" spans="1:50" ht="10.8" hidden="1" thickTop="1" x14ac:dyDescent="0.2">
      <c r="A365" s="385"/>
      <c r="B365" s="385"/>
      <c r="C365" s="385"/>
      <c r="D365" s="445"/>
      <c r="E365" s="445"/>
      <c r="F365" s="445"/>
      <c r="G365" s="445"/>
      <c r="H365" s="445"/>
      <c r="I365" s="454"/>
      <c r="J365" s="454"/>
      <c r="K365" s="454"/>
      <c r="L365" s="442"/>
      <c r="M365" s="442"/>
      <c r="N365" s="442"/>
      <c r="O365" s="443"/>
      <c r="P365" s="385"/>
      <c r="Q365" s="385"/>
      <c r="R365" s="385"/>
      <c r="S365" s="385"/>
      <c r="T365" s="385"/>
      <c r="U365" s="385"/>
      <c r="V365" s="385"/>
      <c r="W365" s="385"/>
      <c r="X365" s="385"/>
      <c r="Y365" s="385"/>
      <c r="Z365" s="385"/>
      <c r="AA365" s="385"/>
      <c r="AB365" s="385"/>
      <c r="AC365" s="385"/>
      <c r="AD365" s="385"/>
      <c r="AE365" s="385"/>
      <c r="AF365" s="385"/>
      <c r="AG365" s="385"/>
      <c r="AH365" s="385"/>
      <c r="AI365" s="385"/>
      <c r="AJ365" s="385"/>
      <c r="AK365" s="385"/>
      <c r="AL365" s="385"/>
      <c r="AM365" s="385"/>
      <c r="AN365" s="385"/>
      <c r="AO365" s="385"/>
      <c r="AP365" s="385"/>
      <c r="AQ365" s="385"/>
      <c r="AR365" s="385"/>
      <c r="AS365" s="385"/>
      <c r="AT365" s="385"/>
      <c r="AU365" s="385"/>
      <c r="AV365" s="385"/>
      <c r="AW365" s="385"/>
      <c r="AX365" s="385"/>
    </row>
    <row r="366" spans="1:50" ht="10.8" hidden="1" thickTop="1" x14ac:dyDescent="0.2">
      <c r="A366" s="385"/>
      <c r="B366" s="385"/>
      <c r="C366" s="385"/>
      <c r="D366" s="445"/>
      <c r="E366" s="445"/>
      <c r="F366" s="445"/>
      <c r="G366" s="445"/>
      <c r="H366" s="445"/>
      <c r="I366" s="454"/>
      <c r="J366" s="454"/>
      <c r="K366" s="454"/>
      <c r="L366" s="442"/>
      <c r="M366" s="442"/>
      <c r="N366" s="442"/>
      <c r="O366" s="443"/>
      <c r="P366" s="385"/>
      <c r="Q366" s="385"/>
      <c r="R366" s="385"/>
      <c r="S366" s="385"/>
      <c r="T366" s="385"/>
      <c r="U366" s="385"/>
      <c r="V366" s="385"/>
      <c r="W366" s="385"/>
      <c r="X366" s="385"/>
      <c r="Y366" s="385"/>
      <c r="Z366" s="385"/>
      <c r="AA366" s="385"/>
      <c r="AB366" s="385"/>
      <c r="AC366" s="385"/>
      <c r="AD366" s="385"/>
      <c r="AE366" s="385"/>
      <c r="AF366" s="385"/>
      <c r="AG366" s="385"/>
      <c r="AH366" s="385"/>
      <c r="AI366" s="385"/>
      <c r="AJ366" s="385"/>
      <c r="AK366" s="385"/>
      <c r="AL366" s="385"/>
      <c r="AM366" s="385"/>
      <c r="AN366" s="385"/>
      <c r="AO366" s="385"/>
      <c r="AP366" s="385"/>
      <c r="AQ366" s="385"/>
      <c r="AR366" s="385"/>
      <c r="AS366" s="385"/>
      <c r="AT366" s="385"/>
      <c r="AU366" s="385"/>
      <c r="AV366" s="385"/>
      <c r="AW366" s="385"/>
      <c r="AX366" s="385"/>
    </row>
    <row r="367" spans="1:50" ht="10.8" hidden="1" thickTop="1" x14ac:dyDescent="0.2">
      <c r="A367" s="385"/>
      <c r="B367" s="385"/>
      <c r="C367" s="385"/>
      <c r="D367" s="385"/>
      <c r="E367" s="385"/>
      <c r="F367" s="385"/>
      <c r="G367" s="385"/>
      <c r="H367" s="385"/>
      <c r="I367" s="442"/>
      <c r="J367" s="442"/>
      <c r="K367" s="442"/>
      <c r="L367" s="442"/>
      <c r="M367" s="442"/>
      <c r="N367" s="442"/>
      <c r="O367" s="443"/>
      <c r="P367" s="385"/>
      <c r="Q367" s="385"/>
      <c r="R367" s="385"/>
      <c r="S367" s="385"/>
      <c r="T367" s="385"/>
      <c r="U367" s="385"/>
      <c r="V367" s="385"/>
      <c r="W367" s="385"/>
      <c r="X367" s="385"/>
      <c r="Y367" s="385"/>
      <c r="Z367" s="385"/>
      <c r="AA367" s="385"/>
      <c r="AB367" s="385"/>
      <c r="AC367" s="385"/>
      <c r="AD367" s="385"/>
      <c r="AE367" s="385"/>
      <c r="AF367" s="385"/>
      <c r="AG367" s="385"/>
      <c r="AH367" s="385"/>
      <c r="AI367" s="385"/>
      <c r="AJ367" s="385"/>
      <c r="AK367" s="385"/>
      <c r="AL367" s="385"/>
      <c r="AM367" s="385"/>
      <c r="AN367" s="385"/>
      <c r="AO367" s="385"/>
      <c r="AP367" s="385"/>
      <c r="AQ367" s="385"/>
      <c r="AR367" s="385"/>
      <c r="AS367" s="385"/>
      <c r="AT367" s="385"/>
      <c r="AU367" s="385"/>
      <c r="AV367" s="385"/>
      <c r="AW367" s="385"/>
      <c r="AX367" s="385"/>
    </row>
    <row r="368" spans="1:50" ht="10.8" hidden="1" thickTop="1" x14ac:dyDescent="0.2">
      <c r="A368" s="385"/>
      <c r="B368" s="385"/>
      <c r="C368" s="385"/>
      <c r="D368" s="385"/>
      <c r="E368" s="385"/>
      <c r="F368" s="385"/>
      <c r="G368" s="385"/>
      <c r="H368" s="385"/>
      <c r="I368" s="442"/>
      <c r="J368" s="442"/>
      <c r="K368" s="442"/>
      <c r="L368" s="442"/>
      <c r="M368" s="442"/>
      <c r="N368" s="442"/>
      <c r="O368" s="443"/>
      <c r="P368" s="385"/>
      <c r="Q368" s="385"/>
      <c r="R368" s="385"/>
      <c r="S368" s="385"/>
      <c r="T368" s="385"/>
      <c r="U368" s="385"/>
      <c r="V368" s="385"/>
      <c r="W368" s="385"/>
      <c r="X368" s="385"/>
      <c r="Y368" s="385"/>
      <c r="Z368" s="385"/>
      <c r="AA368" s="385"/>
      <c r="AB368" s="385"/>
      <c r="AC368" s="385"/>
      <c r="AD368" s="385"/>
      <c r="AE368" s="385"/>
      <c r="AF368" s="385"/>
      <c r="AG368" s="385"/>
      <c r="AH368" s="385"/>
      <c r="AI368" s="385"/>
      <c r="AJ368" s="385"/>
      <c r="AK368" s="385"/>
      <c r="AL368" s="385"/>
      <c r="AM368" s="385"/>
      <c r="AN368" s="385"/>
      <c r="AO368" s="385"/>
      <c r="AP368" s="385"/>
      <c r="AQ368" s="385"/>
      <c r="AR368" s="385"/>
      <c r="AS368" s="385"/>
      <c r="AT368" s="385"/>
      <c r="AU368" s="385"/>
      <c r="AV368" s="385"/>
      <c r="AW368" s="385"/>
      <c r="AX368" s="385"/>
    </row>
    <row r="369" spans="1:50" ht="10.8" hidden="1" thickTop="1" x14ac:dyDescent="0.2">
      <c r="A369" s="385"/>
      <c r="B369" s="385"/>
      <c r="C369" s="385"/>
      <c r="D369" s="385"/>
      <c r="E369" s="385"/>
      <c r="F369" s="385"/>
      <c r="G369" s="385"/>
      <c r="H369" s="385"/>
      <c r="I369" s="442"/>
      <c r="J369" s="442"/>
      <c r="K369" s="442"/>
      <c r="L369" s="442"/>
      <c r="M369" s="442"/>
      <c r="N369" s="442"/>
      <c r="O369" s="443"/>
      <c r="P369" s="385"/>
      <c r="Q369" s="385"/>
      <c r="R369" s="385"/>
      <c r="S369" s="385"/>
      <c r="T369" s="385"/>
      <c r="U369" s="385"/>
      <c r="V369" s="385"/>
      <c r="W369" s="385"/>
      <c r="X369" s="385"/>
      <c r="Y369" s="385"/>
      <c r="Z369" s="385"/>
      <c r="AA369" s="385"/>
      <c r="AB369" s="385"/>
      <c r="AC369" s="385"/>
      <c r="AD369" s="385"/>
      <c r="AE369" s="385"/>
      <c r="AF369" s="385"/>
      <c r="AG369" s="385"/>
      <c r="AH369" s="385"/>
      <c r="AI369" s="385"/>
      <c r="AJ369" s="385"/>
      <c r="AK369" s="385"/>
      <c r="AL369" s="385"/>
      <c r="AM369" s="385"/>
      <c r="AN369" s="385"/>
      <c r="AO369" s="385"/>
      <c r="AP369" s="385"/>
      <c r="AQ369" s="385"/>
      <c r="AR369" s="385"/>
      <c r="AS369" s="385"/>
      <c r="AT369" s="385"/>
      <c r="AU369" s="385"/>
      <c r="AV369" s="385"/>
      <c r="AW369" s="385"/>
      <c r="AX369" s="385"/>
    </row>
    <row r="370" spans="1:50" ht="10.8" hidden="1" thickTop="1" x14ac:dyDescent="0.2">
      <c r="A370" s="385"/>
      <c r="B370" s="385"/>
      <c r="C370" s="385"/>
      <c r="D370" s="385"/>
      <c r="E370" s="385"/>
      <c r="F370" s="385"/>
      <c r="G370" s="385"/>
      <c r="H370" s="385"/>
      <c r="I370" s="442"/>
      <c r="J370" s="442"/>
      <c r="K370" s="442"/>
      <c r="L370" s="442"/>
      <c r="M370" s="442"/>
      <c r="N370" s="442"/>
      <c r="O370" s="443"/>
      <c r="P370" s="385"/>
      <c r="Q370" s="385"/>
      <c r="R370" s="385"/>
      <c r="S370" s="385"/>
      <c r="T370" s="385"/>
      <c r="U370" s="385"/>
      <c r="V370" s="385"/>
      <c r="W370" s="385"/>
      <c r="X370" s="385"/>
      <c r="Y370" s="385"/>
      <c r="Z370" s="385"/>
      <c r="AA370" s="385"/>
      <c r="AB370" s="385"/>
      <c r="AC370" s="385"/>
      <c r="AD370" s="385"/>
      <c r="AE370" s="385"/>
      <c r="AF370" s="385"/>
      <c r="AG370" s="385"/>
      <c r="AH370" s="385"/>
      <c r="AI370" s="385"/>
      <c r="AJ370" s="385"/>
      <c r="AK370" s="385"/>
      <c r="AL370" s="385"/>
      <c r="AM370" s="385"/>
      <c r="AN370" s="385"/>
      <c r="AO370" s="385"/>
      <c r="AP370" s="385"/>
      <c r="AQ370" s="385"/>
      <c r="AR370" s="385"/>
      <c r="AS370" s="385"/>
      <c r="AT370" s="385"/>
      <c r="AU370" s="385"/>
      <c r="AV370" s="385"/>
      <c r="AW370" s="385"/>
      <c r="AX370" s="385"/>
    </row>
    <row r="371" spans="1:50" ht="10.8" hidden="1" thickTop="1" x14ac:dyDescent="0.2">
      <c r="A371" s="385"/>
      <c r="B371" s="385"/>
      <c r="C371" s="385"/>
      <c r="D371" s="385"/>
      <c r="E371" s="385"/>
      <c r="F371" s="385"/>
      <c r="G371" s="385"/>
      <c r="H371" s="385"/>
      <c r="I371" s="442"/>
      <c r="J371" s="442"/>
      <c r="K371" s="442"/>
      <c r="L371" s="442"/>
      <c r="M371" s="442"/>
      <c r="N371" s="442"/>
      <c r="O371" s="443"/>
      <c r="P371" s="385"/>
      <c r="Q371" s="385"/>
      <c r="R371" s="385"/>
      <c r="S371" s="385"/>
      <c r="T371" s="385"/>
      <c r="U371" s="385"/>
      <c r="V371" s="385"/>
      <c r="W371" s="385"/>
      <c r="X371" s="385"/>
      <c r="Y371" s="385"/>
      <c r="Z371" s="385"/>
      <c r="AA371" s="385"/>
      <c r="AB371" s="385"/>
      <c r="AC371" s="385"/>
      <c r="AD371" s="385"/>
      <c r="AE371" s="385"/>
      <c r="AF371" s="385"/>
      <c r="AG371" s="385"/>
      <c r="AH371" s="385"/>
      <c r="AI371" s="385"/>
      <c r="AJ371" s="385"/>
      <c r="AK371" s="385"/>
      <c r="AL371" s="385"/>
      <c r="AM371" s="385"/>
      <c r="AN371" s="385"/>
      <c r="AO371" s="385"/>
      <c r="AP371" s="385"/>
      <c r="AQ371" s="385"/>
      <c r="AR371" s="385"/>
      <c r="AS371" s="385"/>
      <c r="AT371" s="385"/>
      <c r="AU371" s="385"/>
      <c r="AV371" s="385"/>
      <c r="AW371" s="385"/>
      <c r="AX371" s="385"/>
    </row>
    <row r="372" spans="1:50" ht="10.8" hidden="1" thickTop="1" x14ac:dyDescent="0.2">
      <c r="A372" s="385"/>
      <c r="B372" s="385"/>
      <c r="C372" s="385"/>
      <c r="D372" s="385"/>
      <c r="E372" s="385"/>
      <c r="F372" s="385"/>
      <c r="G372" s="385"/>
      <c r="H372" s="385"/>
      <c r="I372" s="442"/>
      <c r="J372" s="442"/>
      <c r="K372" s="442"/>
      <c r="L372" s="442"/>
      <c r="M372" s="442"/>
      <c r="N372" s="442"/>
      <c r="O372" s="443"/>
      <c r="P372" s="385"/>
      <c r="Q372" s="385"/>
      <c r="R372" s="385"/>
      <c r="S372" s="385"/>
      <c r="T372" s="385"/>
      <c r="U372" s="385"/>
      <c r="V372" s="385"/>
      <c r="W372" s="385"/>
      <c r="X372" s="385"/>
      <c r="Y372" s="385"/>
      <c r="Z372" s="385"/>
      <c r="AA372" s="385"/>
      <c r="AB372" s="385"/>
      <c r="AC372" s="385"/>
      <c r="AD372" s="385"/>
      <c r="AE372" s="385"/>
      <c r="AF372" s="385"/>
      <c r="AG372" s="385"/>
      <c r="AH372" s="385"/>
      <c r="AI372" s="385"/>
      <c r="AJ372" s="385"/>
      <c r="AK372" s="385"/>
      <c r="AL372" s="385"/>
      <c r="AM372" s="385"/>
      <c r="AN372" s="385"/>
      <c r="AO372" s="385"/>
      <c r="AP372" s="385"/>
      <c r="AQ372" s="385"/>
      <c r="AR372" s="385"/>
      <c r="AS372" s="385"/>
      <c r="AT372" s="385"/>
      <c r="AU372" s="385"/>
      <c r="AV372" s="385"/>
      <c r="AW372" s="385"/>
      <c r="AX372" s="385"/>
    </row>
    <row r="373" spans="1:50" ht="10.8" hidden="1" thickTop="1" x14ac:dyDescent="0.2">
      <c r="A373" s="385"/>
      <c r="B373" s="385"/>
      <c r="C373" s="385"/>
      <c r="D373" s="385"/>
      <c r="E373" s="385"/>
      <c r="F373" s="385"/>
      <c r="G373" s="385"/>
      <c r="H373" s="385"/>
      <c r="I373" s="442"/>
      <c r="J373" s="442"/>
      <c r="K373" s="442"/>
      <c r="L373" s="442"/>
      <c r="M373" s="442"/>
      <c r="N373" s="442"/>
      <c r="O373" s="443"/>
      <c r="P373" s="385"/>
      <c r="Q373" s="385"/>
      <c r="R373" s="385"/>
      <c r="S373" s="385"/>
      <c r="T373" s="385"/>
      <c r="U373" s="385"/>
      <c r="V373" s="385"/>
      <c r="W373" s="385"/>
      <c r="X373" s="385"/>
      <c r="Y373" s="385"/>
      <c r="Z373" s="385"/>
      <c r="AA373" s="385"/>
      <c r="AB373" s="385"/>
      <c r="AC373" s="385"/>
      <c r="AD373" s="385"/>
      <c r="AE373" s="385"/>
      <c r="AF373" s="385"/>
      <c r="AG373" s="385"/>
      <c r="AH373" s="385"/>
      <c r="AI373" s="385"/>
      <c r="AJ373" s="385"/>
      <c r="AK373" s="385"/>
      <c r="AL373" s="385"/>
      <c r="AM373" s="385"/>
      <c r="AN373" s="385"/>
      <c r="AO373" s="385"/>
      <c r="AP373" s="385"/>
      <c r="AQ373" s="385"/>
      <c r="AR373" s="385"/>
      <c r="AS373" s="385"/>
      <c r="AT373" s="385"/>
      <c r="AU373" s="385"/>
      <c r="AV373" s="385"/>
      <c r="AW373" s="385"/>
      <c r="AX373" s="385"/>
    </row>
    <row r="374" spans="1:50" ht="10.8" hidden="1" thickTop="1" x14ac:dyDescent="0.2">
      <c r="A374" s="385"/>
      <c r="B374" s="385"/>
      <c r="C374" s="385"/>
      <c r="D374" s="385"/>
      <c r="E374" s="385"/>
      <c r="F374" s="385"/>
      <c r="G374" s="385"/>
      <c r="H374" s="385"/>
      <c r="I374" s="442"/>
      <c r="J374" s="442"/>
      <c r="K374" s="442"/>
      <c r="L374" s="442"/>
      <c r="M374" s="442"/>
      <c r="N374" s="442"/>
      <c r="O374" s="443"/>
      <c r="P374" s="385"/>
      <c r="Q374" s="385"/>
      <c r="R374" s="385"/>
      <c r="S374" s="385"/>
      <c r="T374" s="385"/>
      <c r="U374" s="385"/>
      <c r="V374" s="385"/>
      <c r="W374" s="385"/>
      <c r="X374" s="385"/>
      <c r="Y374" s="385"/>
      <c r="Z374" s="385"/>
      <c r="AA374" s="385"/>
      <c r="AB374" s="385"/>
      <c r="AC374" s="385"/>
      <c r="AD374" s="385"/>
      <c r="AE374" s="385"/>
      <c r="AF374" s="385"/>
      <c r="AG374" s="385"/>
      <c r="AH374" s="385"/>
      <c r="AI374" s="385"/>
      <c r="AJ374" s="385"/>
      <c r="AK374" s="385"/>
      <c r="AL374" s="385"/>
      <c r="AM374" s="385"/>
      <c r="AN374" s="385"/>
      <c r="AO374" s="385"/>
      <c r="AP374" s="385"/>
      <c r="AQ374" s="385"/>
      <c r="AR374" s="385"/>
      <c r="AS374" s="385"/>
      <c r="AT374" s="385"/>
      <c r="AU374" s="385"/>
      <c r="AV374" s="385"/>
      <c r="AW374" s="385"/>
      <c r="AX374" s="385"/>
    </row>
    <row r="375" spans="1:50" ht="10.8" hidden="1" thickTop="1" x14ac:dyDescent="0.2">
      <c r="A375" s="385"/>
      <c r="B375" s="385"/>
      <c r="C375" s="385"/>
      <c r="D375" s="385"/>
      <c r="E375" s="385"/>
      <c r="F375" s="385"/>
      <c r="G375" s="385"/>
      <c r="H375" s="385"/>
      <c r="I375" s="442"/>
      <c r="J375" s="442"/>
      <c r="K375" s="442"/>
      <c r="L375" s="442"/>
      <c r="M375" s="442"/>
      <c r="N375" s="442"/>
      <c r="O375" s="443"/>
      <c r="P375" s="385"/>
      <c r="Q375" s="385"/>
      <c r="R375" s="385"/>
      <c r="S375" s="385"/>
      <c r="T375" s="385"/>
      <c r="U375" s="385"/>
      <c r="V375" s="385"/>
      <c r="W375" s="385"/>
      <c r="X375" s="385"/>
      <c r="Y375" s="385"/>
      <c r="Z375" s="385"/>
      <c r="AA375" s="385"/>
      <c r="AB375" s="385"/>
      <c r="AC375" s="385"/>
      <c r="AD375" s="385"/>
      <c r="AE375" s="385"/>
      <c r="AF375" s="385"/>
      <c r="AG375" s="385"/>
      <c r="AH375" s="385"/>
      <c r="AI375" s="385"/>
      <c r="AJ375" s="385"/>
      <c r="AK375" s="385"/>
      <c r="AL375" s="385"/>
      <c r="AM375" s="385"/>
      <c r="AN375" s="385"/>
      <c r="AO375" s="385"/>
      <c r="AP375" s="385"/>
      <c r="AQ375" s="385"/>
      <c r="AR375" s="385"/>
      <c r="AS375" s="385"/>
      <c r="AT375" s="385"/>
      <c r="AU375" s="385"/>
      <c r="AV375" s="385"/>
      <c r="AW375" s="385"/>
      <c r="AX375" s="385"/>
    </row>
    <row r="376" spans="1:50" ht="10.8" hidden="1" thickTop="1" x14ac:dyDescent="0.2">
      <c r="A376" s="385"/>
      <c r="B376" s="385"/>
      <c r="C376" s="385"/>
      <c r="D376" s="385"/>
      <c r="E376" s="385"/>
      <c r="F376" s="385"/>
      <c r="G376" s="385"/>
      <c r="H376" s="385"/>
      <c r="I376" s="442"/>
      <c r="J376" s="442"/>
      <c r="K376" s="442"/>
      <c r="L376" s="442"/>
      <c r="M376" s="442"/>
      <c r="N376" s="442"/>
      <c r="O376" s="443"/>
      <c r="P376" s="385"/>
      <c r="Q376" s="385"/>
      <c r="R376" s="385"/>
      <c r="S376" s="385"/>
      <c r="T376" s="385"/>
      <c r="U376" s="385"/>
      <c r="V376" s="385"/>
      <c r="W376" s="385"/>
      <c r="X376" s="385"/>
      <c r="Y376" s="385"/>
      <c r="Z376" s="385"/>
      <c r="AA376" s="385"/>
      <c r="AB376" s="385"/>
      <c r="AC376" s="385"/>
      <c r="AD376" s="385"/>
      <c r="AE376" s="385"/>
      <c r="AF376" s="385"/>
      <c r="AG376" s="385"/>
      <c r="AH376" s="385"/>
      <c r="AI376" s="385"/>
      <c r="AJ376" s="385"/>
      <c r="AK376" s="385"/>
      <c r="AL376" s="385"/>
      <c r="AM376" s="385"/>
      <c r="AN376" s="385"/>
      <c r="AO376" s="385"/>
      <c r="AP376" s="385"/>
      <c r="AQ376" s="385"/>
      <c r="AR376" s="385"/>
      <c r="AS376" s="385"/>
      <c r="AT376" s="385"/>
      <c r="AU376" s="385"/>
      <c r="AV376" s="385"/>
      <c r="AW376" s="385"/>
      <c r="AX376" s="385"/>
    </row>
    <row r="377" spans="1:50" ht="10.8" hidden="1" thickTop="1" x14ac:dyDescent="0.2">
      <c r="A377" s="385"/>
      <c r="B377" s="385"/>
      <c r="C377" s="385"/>
      <c r="D377" s="385"/>
      <c r="E377" s="385"/>
      <c r="F377" s="385"/>
      <c r="G377" s="385"/>
      <c r="H377" s="385"/>
      <c r="I377" s="442"/>
      <c r="J377" s="442"/>
      <c r="K377" s="442"/>
      <c r="L377" s="442"/>
      <c r="M377" s="442"/>
      <c r="N377" s="442"/>
      <c r="O377" s="443"/>
      <c r="P377" s="385"/>
      <c r="Q377" s="385"/>
      <c r="R377" s="385"/>
      <c r="S377" s="385"/>
      <c r="T377" s="385"/>
      <c r="U377" s="385"/>
      <c r="V377" s="385"/>
      <c r="W377" s="385"/>
      <c r="X377" s="385"/>
      <c r="Y377" s="385"/>
      <c r="Z377" s="385"/>
      <c r="AA377" s="385"/>
      <c r="AB377" s="385"/>
      <c r="AC377" s="385"/>
      <c r="AD377" s="385"/>
      <c r="AE377" s="385"/>
      <c r="AF377" s="385"/>
      <c r="AG377" s="385"/>
      <c r="AH377" s="385"/>
      <c r="AI377" s="385"/>
      <c r="AJ377" s="385"/>
      <c r="AK377" s="385"/>
      <c r="AL377" s="385"/>
      <c r="AM377" s="385"/>
      <c r="AN377" s="385"/>
      <c r="AO377" s="385"/>
      <c r="AP377" s="385"/>
      <c r="AQ377" s="385"/>
      <c r="AR377" s="385"/>
      <c r="AS377" s="385"/>
      <c r="AT377" s="385"/>
      <c r="AU377" s="385"/>
      <c r="AV377" s="385"/>
      <c r="AW377" s="385"/>
      <c r="AX377" s="385"/>
    </row>
    <row r="378" spans="1:50" ht="10.8" hidden="1" thickTop="1" x14ac:dyDescent="0.2">
      <c r="A378" s="385"/>
      <c r="B378" s="385"/>
      <c r="C378" s="385"/>
      <c r="D378" s="385"/>
      <c r="E378" s="385"/>
      <c r="F378" s="385"/>
      <c r="G378" s="385"/>
      <c r="H378" s="385"/>
      <c r="I378" s="442"/>
      <c r="J378" s="442"/>
      <c r="K378" s="442"/>
      <c r="L378" s="442"/>
      <c r="M378" s="442"/>
      <c r="N378" s="442"/>
      <c r="O378" s="443"/>
      <c r="P378" s="385"/>
      <c r="Q378" s="385"/>
      <c r="R378" s="385"/>
      <c r="S378" s="385"/>
      <c r="T378" s="385"/>
      <c r="U378" s="385"/>
      <c r="V378" s="385"/>
      <c r="W378" s="385"/>
      <c r="X378" s="385"/>
      <c r="Y378" s="385"/>
      <c r="Z378" s="385"/>
      <c r="AA378" s="385"/>
      <c r="AB378" s="385"/>
      <c r="AC378" s="385"/>
      <c r="AD378" s="385"/>
      <c r="AE378" s="385"/>
      <c r="AF378" s="385"/>
      <c r="AG378" s="385"/>
      <c r="AH378" s="385"/>
      <c r="AI378" s="385"/>
      <c r="AJ378" s="385"/>
      <c r="AK378" s="385"/>
      <c r="AL378" s="385"/>
      <c r="AM378" s="385"/>
      <c r="AN378" s="385"/>
      <c r="AO378" s="385"/>
      <c r="AP378" s="385"/>
      <c r="AQ378" s="385"/>
      <c r="AR378" s="385"/>
      <c r="AS378" s="385"/>
      <c r="AT378" s="385"/>
      <c r="AU378" s="385"/>
      <c r="AV378" s="385"/>
      <c r="AW378" s="385"/>
      <c r="AX378" s="385"/>
    </row>
    <row r="379" spans="1:50" ht="10.8" hidden="1" thickTop="1" x14ac:dyDescent="0.2">
      <c r="A379" s="385"/>
      <c r="B379" s="385"/>
      <c r="C379" s="385"/>
      <c r="D379" s="385"/>
      <c r="E379" s="385"/>
      <c r="F379" s="385"/>
      <c r="G379" s="385"/>
      <c r="H379" s="385"/>
      <c r="I379" s="442"/>
      <c r="J379" s="442"/>
      <c r="K379" s="442"/>
      <c r="L379" s="442"/>
      <c r="M379" s="442"/>
      <c r="N379" s="442"/>
      <c r="O379" s="443"/>
      <c r="P379" s="385"/>
      <c r="Q379" s="385"/>
      <c r="R379" s="385"/>
      <c r="S379" s="385"/>
      <c r="T379" s="385"/>
      <c r="U379" s="385"/>
      <c r="V379" s="385"/>
      <c r="W379" s="385"/>
      <c r="X379" s="385"/>
      <c r="Y379" s="385"/>
      <c r="Z379" s="385"/>
      <c r="AA379" s="385"/>
      <c r="AB379" s="385"/>
      <c r="AC379" s="385"/>
      <c r="AD379" s="385"/>
      <c r="AE379" s="385"/>
      <c r="AF379" s="385"/>
      <c r="AG379" s="385"/>
      <c r="AH379" s="385"/>
      <c r="AI379" s="385"/>
      <c r="AJ379" s="385"/>
      <c r="AK379" s="385"/>
      <c r="AL379" s="385"/>
      <c r="AM379" s="385"/>
      <c r="AN379" s="385"/>
      <c r="AO379" s="385"/>
      <c r="AP379" s="385"/>
      <c r="AQ379" s="385"/>
      <c r="AR379" s="385"/>
      <c r="AS379" s="385"/>
      <c r="AT379" s="385"/>
      <c r="AU379" s="385"/>
      <c r="AV379" s="385"/>
      <c r="AW379" s="385"/>
      <c r="AX379" s="385"/>
    </row>
    <row r="380" spans="1:50" ht="10.8" hidden="1" thickTop="1" x14ac:dyDescent="0.2">
      <c r="A380" s="385"/>
      <c r="B380" s="385"/>
      <c r="C380" s="385"/>
      <c r="D380" s="385"/>
      <c r="E380" s="385"/>
      <c r="F380" s="385"/>
      <c r="G380" s="385"/>
      <c r="H380" s="385"/>
      <c r="I380" s="442"/>
      <c r="J380" s="442"/>
      <c r="K380" s="442"/>
      <c r="L380" s="442"/>
      <c r="M380" s="442"/>
      <c r="N380" s="442"/>
      <c r="O380" s="443"/>
      <c r="P380" s="385"/>
      <c r="Q380" s="385"/>
      <c r="R380" s="385"/>
      <c r="S380" s="385"/>
      <c r="T380" s="385"/>
      <c r="U380" s="385"/>
      <c r="V380" s="385"/>
      <c r="W380" s="385"/>
      <c r="X380" s="385"/>
      <c r="Y380" s="385"/>
      <c r="Z380" s="385"/>
      <c r="AA380" s="385"/>
      <c r="AB380" s="385"/>
      <c r="AC380" s="385"/>
      <c r="AD380" s="385"/>
      <c r="AE380" s="385"/>
      <c r="AF380" s="385"/>
      <c r="AG380" s="385"/>
      <c r="AH380" s="385"/>
      <c r="AI380" s="385"/>
      <c r="AJ380" s="385"/>
      <c r="AK380" s="385"/>
      <c r="AL380" s="385"/>
      <c r="AM380" s="385"/>
      <c r="AN380" s="385"/>
      <c r="AO380" s="385"/>
      <c r="AP380" s="385"/>
      <c r="AQ380" s="385"/>
      <c r="AR380" s="385"/>
      <c r="AS380" s="385"/>
      <c r="AT380" s="385"/>
      <c r="AU380" s="385"/>
      <c r="AV380" s="385"/>
      <c r="AW380" s="385"/>
      <c r="AX380" s="385"/>
    </row>
    <row r="381" spans="1:50" ht="10.8" hidden="1" thickTop="1" x14ac:dyDescent="0.2">
      <c r="A381" s="385"/>
      <c r="B381" s="385"/>
      <c r="C381" s="385"/>
      <c r="D381" s="385"/>
      <c r="E381" s="385"/>
      <c r="F381" s="385"/>
      <c r="G381" s="385"/>
      <c r="H381" s="385"/>
      <c r="I381" s="442"/>
      <c r="J381" s="442"/>
      <c r="K381" s="442"/>
      <c r="L381" s="442"/>
      <c r="M381" s="442"/>
      <c r="N381" s="442"/>
      <c r="O381" s="443"/>
      <c r="P381" s="385"/>
      <c r="Q381" s="385"/>
      <c r="R381" s="385"/>
      <c r="S381" s="385"/>
      <c r="T381" s="385"/>
      <c r="U381" s="385"/>
      <c r="V381" s="385"/>
      <c r="W381" s="385"/>
      <c r="X381" s="385"/>
      <c r="Y381" s="385"/>
      <c r="Z381" s="385"/>
      <c r="AA381" s="385"/>
      <c r="AB381" s="385"/>
      <c r="AC381" s="385"/>
      <c r="AD381" s="385"/>
      <c r="AE381" s="385"/>
      <c r="AF381" s="385"/>
      <c r="AG381" s="385"/>
      <c r="AH381" s="385"/>
      <c r="AI381" s="385"/>
      <c r="AJ381" s="385"/>
      <c r="AK381" s="385"/>
      <c r="AL381" s="385"/>
      <c r="AM381" s="385"/>
      <c r="AN381" s="385"/>
      <c r="AO381" s="385"/>
      <c r="AP381" s="385"/>
      <c r="AQ381" s="385"/>
      <c r="AR381" s="385"/>
      <c r="AS381" s="385"/>
      <c r="AT381" s="385"/>
      <c r="AU381" s="385"/>
      <c r="AV381" s="385"/>
      <c r="AW381" s="385"/>
      <c r="AX381" s="385"/>
    </row>
    <row r="382" spans="1:50" ht="10.8" hidden="1" thickTop="1" x14ac:dyDescent="0.2">
      <c r="A382" s="385"/>
      <c r="B382" s="385"/>
      <c r="C382" s="385"/>
      <c r="D382" s="385"/>
      <c r="E382" s="385"/>
      <c r="F382" s="385"/>
      <c r="G382" s="385"/>
      <c r="H382" s="385"/>
      <c r="I382" s="442"/>
      <c r="J382" s="442"/>
      <c r="K382" s="442"/>
      <c r="L382" s="442"/>
      <c r="M382" s="442"/>
      <c r="N382" s="442"/>
      <c r="O382" s="443"/>
      <c r="P382" s="385"/>
      <c r="Q382" s="385"/>
      <c r="R382" s="385"/>
      <c r="S382" s="385"/>
      <c r="T382" s="385"/>
      <c r="U382" s="385"/>
      <c r="V382" s="385"/>
      <c r="W382" s="385"/>
      <c r="X382" s="385"/>
      <c r="Y382" s="385"/>
      <c r="Z382" s="385"/>
      <c r="AA382" s="385"/>
      <c r="AB382" s="385"/>
      <c r="AC382" s="385"/>
      <c r="AD382" s="385"/>
      <c r="AE382" s="385"/>
      <c r="AF382" s="385"/>
      <c r="AG382" s="385"/>
      <c r="AH382" s="385"/>
      <c r="AI382" s="385"/>
      <c r="AJ382" s="385"/>
      <c r="AK382" s="385"/>
      <c r="AL382" s="385"/>
      <c r="AM382" s="385"/>
      <c r="AN382" s="385"/>
      <c r="AO382" s="385"/>
      <c r="AP382" s="385"/>
      <c r="AQ382" s="385"/>
      <c r="AR382" s="385"/>
      <c r="AS382" s="385"/>
      <c r="AT382" s="385"/>
      <c r="AU382" s="385"/>
      <c r="AV382" s="385"/>
      <c r="AW382" s="385"/>
      <c r="AX382" s="385"/>
    </row>
    <row r="383" spans="1:50" ht="10.8" hidden="1" thickTop="1" x14ac:dyDescent="0.2">
      <c r="A383" s="385"/>
      <c r="B383" s="385"/>
      <c r="C383" s="385"/>
      <c r="D383" s="385"/>
      <c r="E383" s="385"/>
      <c r="F383" s="385"/>
      <c r="G383" s="385"/>
      <c r="H383" s="385"/>
      <c r="I383" s="442"/>
      <c r="J383" s="442"/>
      <c r="K383" s="442"/>
      <c r="L383" s="442"/>
      <c r="M383" s="442"/>
      <c r="N383" s="442"/>
      <c r="O383" s="443"/>
      <c r="P383" s="385"/>
      <c r="Q383" s="385"/>
      <c r="R383" s="385"/>
      <c r="S383" s="385"/>
      <c r="T383" s="385"/>
      <c r="U383" s="385"/>
      <c r="V383" s="385"/>
      <c r="W383" s="385"/>
      <c r="X383" s="385"/>
      <c r="Y383" s="385"/>
      <c r="Z383" s="385"/>
      <c r="AA383" s="385"/>
      <c r="AB383" s="385"/>
      <c r="AC383" s="385"/>
      <c r="AD383" s="385"/>
      <c r="AE383" s="385"/>
      <c r="AF383" s="385"/>
      <c r="AG383" s="385"/>
      <c r="AH383" s="385"/>
      <c r="AI383" s="385"/>
      <c r="AJ383" s="385"/>
      <c r="AK383" s="385"/>
      <c r="AL383" s="385"/>
      <c r="AM383" s="385"/>
      <c r="AN383" s="385"/>
      <c r="AO383" s="385"/>
      <c r="AP383" s="385"/>
      <c r="AQ383" s="385"/>
      <c r="AR383" s="385"/>
      <c r="AS383" s="385"/>
      <c r="AT383" s="385"/>
      <c r="AU383" s="385"/>
      <c r="AV383" s="385"/>
      <c r="AW383" s="385"/>
      <c r="AX383" s="385"/>
    </row>
    <row r="384" spans="1:50" ht="10.8" hidden="1" thickTop="1" x14ac:dyDescent="0.2">
      <c r="A384" s="385"/>
      <c r="B384" s="385"/>
      <c r="C384" s="385"/>
      <c r="D384" s="385"/>
      <c r="E384" s="385"/>
      <c r="F384" s="385"/>
      <c r="G384" s="385"/>
      <c r="H384" s="385"/>
      <c r="I384" s="442"/>
      <c r="J384" s="442"/>
      <c r="K384" s="442"/>
      <c r="L384" s="442"/>
      <c r="M384" s="442"/>
      <c r="N384" s="442"/>
      <c r="O384" s="443"/>
      <c r="P384" s="385"/>
      <c r="Q384" s="385"/>
      <c r="R384" s="385"/>
      <c r="S384" s="385"/>
      <c r="T384" s="385"/>
      <c r="U384" s="385"/>
      <c r="V384" s="385"/>
      <c r="W384" s="385"/>
      <c r="X384" s="385"/>
      <c r="Y384" s="385"/>
      <c r="Z384" s="385"/>
      <c r="AA384" s="385"/>
      <c r="AB384" s="385"/>
      <c r="AC384" s="385"/>
      <c r="AD384" s="385"/>
      <c r="AE384" s="385"/>
      <c r="AF384" s="385"/>
      <c r="AG384" s="385"/>
      <c r="AH384" s="385"/>
      <c r="AI384" s="385"/>
      <c r="AJ384" s="385"/>
      <c r="AK384" s="385"/>
      <c r="AL384" s="385"/>
      <c r="AM384" s="385"/>
      <c r="AN384" s="385"/>
      <c r="AO384" s="385"/>
      <c r="AP384" s="385"/>
      <c r="AQ384" s="385"/>
      <c r="AR384" s="385"/>
      <c r="AS384" s="385"/>
      <c r="AT384" s="385"/>
      <c r="AU384" s="385"/>
      <c r="AV384" s="385"/>
      <c r="AW384" s="385"/>
      <c r="AX384" s="385"/>
    </row>
    <row r="385" spans="1:50" ht="10.8" hidden="1" thickTop="1" x14ac:dyDescent="0.2">
      <c r="A385" s="385"/>
      <c r="B385" s="444"/>
      <c r="C385" s="385"/>
      <c r="D385" s="385"/>
      <c r="E385" s="385"/>
      <c r="F385" s="385"/>
      <c r="G385" s="385"/>
      <c r="H385" s="385"/>
      <c r="I385" s="442"/>
      <c r="J385" s="442"/>
      <c r="K385" s="442"/>
      <c r="L385" s="442"/>
      <c r="M385" s="442"/>
      <c r="N385" s="442"/>
      <c r="O385" s="443"/>
      <c r="P385" s="385"/>
      <c r="Q385" s="385"/>
      <c r="R385" s="385"/>
      <c r="S385" s="385"/>
      <c r="T385" s="385"/>
      <c r="U385" s="385"/>
      <c r="V385" s="385"/>
      <c r="W385" s="385"/>
      <c r="X385" s="385"/>
      <c r="Y385" s="385"/>
      <c r="Z385" s="385"/>
      <c r="AA385" s="385"/>
      <c r="AB385" s="385"/>
      <c r="AC385" s="385"/>
      <c r="AD385" s="385"/>
      <c r="AE385" s="385"/>
      <c r="AF385" s="385"/>
      <c r="AG385" s="385"/>
      <c r="AH385" s="385"/>
      <c r="AI385" s="385"/>
      <c r="AJ385" s="385"/>
      <c r="AK385" s="385"/>
      <c r="AL385" s="385"/>
      <c r="AM385" s="385"/>
      <c r="AN385" s="385"/>
      <c r="AO385" s="385"/>
      <c r="AP385" s="385"/>
      <c r="AQ385" s="385"/>
      <c r="AR385" s="385"/>
      <c r="AS385" s="385"/>
      <c r="AT385" s="385"/>
      <c r="AU385" s="385"/>
      <c r="AV385" s="385"/>
      <c r="AW385" s="385"/>
      <c r="AX385" s="385"/>
    </row>
    <row r="386" spans="1:50" ht="10.8" hidden="1" thickTop="1" x14ac:dyDescent="0.2">
      <c r="A386" s="385"/>
      <c r="B386" s="446"/>
      <c r="C386" s="385"/>
      <c r="D386" s="385"/>
      <c r="E386" s="385"/>
      <c r="F386" s="385"/>
      <c r="G386" s="385"/>
      <c r="H386" s="385"/>
      <c r="I386" s="442"/>
      <c r="J386" s="442"/>
      <c r="K386" s="442"/>
      <c r="L386" s="442"/>
      <c r="M386" s="442"/>
      <c r="N386" s="442"/>
      <c r="O386" s="443"/>
      <c r="P386" s="385"/>
      <c r="Q386" s="385"/>
      <c r="R386" s="385"/>
      <c r="S386" s="385"/>
      <c r="T386" s="385"/>
      <c r="U386" s="385"/>
      <c r="V386" s="385"/>
      <c r="W386" s="385"/>
      <c r="X386" s="385"/>
      <c r="Y386" s="385"/>
      <c r="Z386" s="385"/>
      <c r="AA386" s="385"/>
      <c r="AB386" s="385"/>
      <c r="AC386" s="385"/>
      <c r="AD386" s="385"/>
      <c r="AE386" s="385"/>
      <c r="AF386" s="385"/>
      <c r="AG386" s="385"/>
      <c r="AH386" s="385"/>
      <c r="AI386" s="385"/>
      <c r="AJ386" s="385"/>
      <c r="AK386" s="385"/>
      <c r="AL386" s="385"/>
      <c r="AM386" s="385"/>
      <c r="AN386" s="385"/>
      <c r="AO386" s="385"/>
      <c r="AP386" s="385"/>
      <c r="AQ386" s="385"/>
      <c r="AR386" s="385"/>
      <c r="AS386" s="385"/>
      <c r="AT386" s="385"/>
      <c r="AU386" s="385"/>
      <c r="AV386" s="385"/>
      <c r="AW386" s="385"/>
      <c r="AX386" s="385"/>
    </row>
    <row r="387" spans="1:50" ht="10.8" hidden="1" thickTop="1" x14ac:dyDescent="0.2">
      <c r="A387" s="385"/>
      <c r="B387" s="385"/>
      <c r="C387" s="385"/>
      <c r="D387" s="385"/>
      <c r="E387" s="385"/>
      <c r="F387" s="385"/>
      <c r="G387" s="385"/>
      <c r="H387" s="385"/>
      <c r="I387" s="442"/>
      <c r="J387" s="442"/>
      <c r="K387" s="442"/>
      <c r="L387" s="442"/>
      <c r="M387" s="442"/>
      <c r="N387" s="442"/>
      <c r="O387" s="443"/>
      <c r="P387" s="385"/>
      <c r="Q387" s="385"/>
      <c r="R387" s="385"/>
      <c r="S387" s="385"/>
      <c r="T387" s="385"/>
      <c r="U387" s="385"/>
      <c r="V387" s="385"/>
      <c r="W387" s="385"/>
      <c r="X387" s="385"/>
      <c r="Y387" s="385"/>
      <c r="Z387" s="385"/>
      <c r="AA387" s="385"/>
      <c r="AB387" s="385"/>
      <c r="AC387" s="385"/>
      <c r="AD387" s="385"/>
      <c r="AE387" s="385"/>
      <c r="AF387" s="385"/>
      <c r="AG387" s="385"/>
      <c r="AH387" s="385"/>
      <c r="AI387" s="385"/>
      <c r="AJ387" s="385"/>
      <c r="AK387" s="385"/>
      <c r="AL387" s="385"/>
      <c r="AM387" s="385"/>
      <c r="AN387" s="385"/>
      <c r="AO387" s="385"/>
      <c r="AP387" s="385"/>
      <c r="AQ387" s="385"/>
      <c r="AR387" s="385"/>
      <c r="AS387" s="385"/>
      <c r="AT387" s="385"/>
      <c r="AU387" s="385"/>
      <c r="AV387" s="385"/>
      <c r="AW387" s="385"/>
      <c r="AX387" s="385"/>
    </row>
    <row r="388" spans="1:50" ht="10.8" hidden="1" thickTop="1" x14ac:dyDescent="0.2">
      <c r="A388" s="385"/>
      <c r="B388" s="385"/>
      <c r="C388" s="385"/>
      <c r="D388" s="445"/>
      <c r="E388" s="445"/>
      <c r="F388" s="445"/>
      <c r="G388" s="445"/>
      <c r="H388" s="445"/>
      <c r="I388" s="454"/>
      <c r="J388" s="454"/>
      <c r="K388" s="454"/>
      <c r="L388" s="442"/>
      <c r="M388" s="442"/>
      <c r="N388" s="442"/>
      <c r="O388" s="443"/>
      <c r="P388" s="385"/>
      <c r="Q388" s="385"/>
      <c r="R388" s="385"/>
      <c r="S388" s="385"/>
      <c r="T388" s="385"/>
      <c r="U388" s="385"/>
      <c r="V388" s="385"/>
      <c r="W388" s="385"/>
      <c r="X388" s="385"/>
      <c r="Y388" s="385"/>
      <c r="Z388" s="385"/>
      <c r="AA388" s="385"/>
      <c r="AB388" s="385"/>
      <c r="AC388" s="385"/>
      <c r="AD388" s="385"/>
      <c r="AE388" s="385"/>
      <c r="AF388" s="385"/>
      <c r="AG388" s="385"/>
      <c r="AH388" s="385"/>
      <c r="AI388" s="385"/>
      <c r="AJ388" s="385"/>
      <c r="AK388" s="385"/>
      <c r="AL388" s="385"/>
      <c r="AM388" s="385"/>
      <c r="AN388" s="385"/>
      <c r="AO388" s="385"/>
      <c r="AP388" s="385"/>
      <c r="AQ388" s="385"/>
      <c r="AR388" s="385"/>
      <c r="AS388" s="385"/>
      <c r="AT388" s="385"/>
      <c r="AU388" s="385"/>
      <c r="AV388" s="385"/>
      <c r="AW388" s="385"/>
      <c r="AX388" s="385"/>
    </row>
    <row r="389" spans="1:50" ht="10.8" hidden="1" thickTop="1" x14ac:dyDescent="0.2">
      <c r="A389" s="385"/>
      <c r="B389" s="385"/>
      <c r="C389" s="385"/>
      <c r="D389" s="445"/>
      <c r="E389" s="445"/>
      <c r="F389" s="445"/>
      <c r="G389" s="445"/>
      <c r="H389" s="445"/>
      <c r="I389" s="454"/>
      <c r="J389" s="454"/>
      <c r="K389" s="454"/>
      <c r="L389" s="442"/>
      <c r="M389" s="442"/>
      <c r="N389" s="442"/>
      <c r="O389" s="443"/>
      <c r="P389" s="385"/>
      <c r="Q389" s="385"/>
      <c r="R389" s="385"/>
      <c r="S389" s="385"/>
      <c r="T389" s="385"/>
      <c r="U389" s="385"/>
      <c r="V389" s="385"/>
      <c r="W389" s="385"/>
      <c r="X389" s="385"/>
      <c r="Y389" s="385"/>
      <c r="Z389" s="385"/>
      <c r="AA389" s="385"/>
      <c r="AB389" s="385"/>
      <c r="AC389" s="385"/>
      <c r="AD389" s="385"/>
      <c r="AE389" s="385"/>
      <c r="AF389" s="385"/>
      <c r="AG389" s="385"/>
      <c r="AH389" s="385"/>
      <c r="AI389" s="385"/>
      <c r="AJ389" s="385"/>
      <c r="AK389" s="385"/>
      <c r="AL389" s="385"/>
      <c r="AM389" s="385"/>
      <c r="AN389" s="385"/>
      <c r="AO389" s="385"/>
      <c r="AP389" s="385"/>
      <c r="AQ389" s="385"/>
      <c r="AR389" s="385"/>
      <c r="AS389" s="385"/>
      <c r="AT389" s="385"/>
      <c r="AU389" s="385"/>
      <c r="AV389" s="385"/>
      <c r="AW389" s="385"/>
      <c r="AX389" s="385"/>
    </row>
    <row r="390" spans="1:50" ht="10.8" hidden="1" thickTop="1" x14ac:dyDescent="0.2">
      <c r="A390" s="385"/>
      <c r="B390" s="385"/>
      <c r="C390" s="385"/>
      <c r="D390" s="445"/>
      <c r="E390" s="445"/>
      <c r="F390" s="445"/>
      <c r="G390" s="445"/>
      <c r="H390" s="445"/>
      <c r="I390" s="454"/>
      <c r="J390" s="454"/>
      <c r="K390" s="454"/>
      <c r="L390" s="442"/>
      <c r="M390" s="442"/>
      <c r="N390" s="442"/>
      <c r="O390" s="443"/>
      <c r="P390" s="385"/>
      <c r="Q390" s="385"/>
      <c r="R390" s="385"/>
      <c r="S390" s="385"/>
      <c r="T390" s="385"/>
      <c r="U390" s="385"/>
      <c r="V390" s="385"/>
      <c r="W390" s="385"/>
      <c r="X390" s="385"/>
      <c r="Y390" s="385"/>
      <c r="Z390" s="385"/>
      <c r="AA390" s="385"/>
      <c r="AB390" s="385"/>
      <c r="AC390" s="385"/>
      <c r="AD390" s="385"/>
      <c r="AE390" s="385"/>
      <c r="AF390" s="385"/>
      <c r="AG390" s="385"/>
      <c r="AH390" s="385"/>
      <c r="AI390" s="385"/>
      <c r="AJ390" s="385"/>
      <c r="AK390" s="385"/>
      <c r="AL390" s="385"/>
      <c r="AM390" s="385"/>
      <c r="AN390" s="385"/>
      <c r="AO390" s="385"/>
      <c r="AP390" s="385"/>
      <c r="AQ390" s="385"/>
      <c r="AR390" s="385"/>
      <c r="AS390" s="385"/>
      <c r="AT390" s="385"/>
      <c r="AU390" s="385"/>
      <c r="AV390" s="385"/>
      <c r="AW390" s="385"/>
      <c r="AX390" s="385"/>
    </row>
    <row r="391" spans="1:50" ht="10.8" hidden="1" thickTop="1" x14ac:dyDescent="0.2">
      <c r="A391" s="385"/>
      <c r="B391" s="385"/>
      <c r="C391" s="385"/>
      <c r="D391" s="445"/>
      <c r="E391" s="445"/>
      <c r="F391" s="445"/>
      <c r="G391" s="445"/>
      <c r="H391" s="445"/>
      <c r="I391" s="454"/>
      <c r="J391" s="454"/>
      <c r="K391" s="454"/>
      <c r="L391" s="442"/>
      <c r="M391" s="442"/>
      <c r="N391" s="442"/>
      <c r="O391" s="443"/>
      <c r="P391" s="385"/>
      <c r="Q391" s="385"/>
      <c r="R391" s="385"/>
      <c r="S391" s="385"/>
      <c r="T391" s="385"/>
      <c r="U391" s="385"/>
      <c r="V391" s="385"/>
      <c r="W391" s="385"/>
      <c r="X391" s="385"/>
      <c r="Y391" s="385"/>
      <c r="Z391" s="385"/>
      <c r="AA391" s="385"/>
      <c r="AB391" s="385"/>
      <c r="AC391" s="385"/>
      <c r="AD391" s="385"/>
      <c r="AE391" s="385"/>
      <c r="AF391" s="385"/>
      <c r="AG391" s="385"/>
      <c r="AH391" s="385"/>
      <c r="AI391" s="385"/>
      <c r="AJ391" s="385"/>
      <c r="AK391" s="385"/>
      <c r="AL391" s="385"/>
      <c r="AM391" s="385"/>
      <c r="AN391" s="385"/>
      <c r="AO391" s="385"/>
      <c r="AP391" s="385"/>
      <c r="AQ391" s="385"/>
      <c r="AR391" s="385"/>
      <c r="AS391" s="385"/>
      <c r="AT391" s="385"/>
      <c r="AU391" s="385"/>
      <c r="AV391" s="385"/>
      <c r="AW391" s="385"/>
      <c r="AX391" s="385"/>
    </row>
    <row r="392" spans="1:50" ht="10.8" hidden="1" thickTop="1" x14ac:dyDescent="0.2">
      <c r="A392" s="385"/>
      <c r="B392" s="385"/>
      <c r="C392" s="385"/>
      <c r="D392" s="385"/>
      <c r="E392" s="385"/>
      <c r="F392" s="385"/>
      <c r="G392" s="385"/>
      <c r="H392" s="385"/>
      <c r="I392" s="442"/>
      <c r="J392" s="442"/>
      <c r="K392" s="442"/>
      <c r="L392" s="442"/>
      <c r="M392" s="442"/>
      <c r="N392" s="442"/>
      <c r="O392" s="443"/>
      <c r="P392" s="385"/>
      <c r="Q392" s="385"/>
      <c r="R392" s="385"/>
      <c r="S392" s="385"/>
      <c r="T392" s="385"/>
      <c r="U392" s="385"/>
      <c r="V392" s="385"/>
      <c r="W392" s="385"/>
      <c r="X392" s="385"/>
      <c r="Y392" s="385"/>
      <c r="Z392" s="385"/>
      <c r="AA392" s="385"/>
      <c r="AB392" s="385"/>
      <c r="AC392" s="385"/>
      <c r="AD392" s="385"/>
      <c r="AE392" s="385"/>
      <c r="AF392" s="385"/>
      <c r="AG392" s="385"/>
      <c r="AH392" s="385"/>
      <c r="AI392" s="385"/>
      <c r="AJ392" s="385"/>
      <c r="AK392" s="385"/>
      <c r="AL392" s="385"/>
      <c r="AM392" s="385"/>
      <c r="AN392" s="385"/>
      <c r="AO392" s="385"/>
      <c r="AP392" s="385"/>
      <c r="AQ392" s="385"/>
      <c r="AR392" s="385"/>
      <c r="AS392" s="385"/>
      <c r="AT392" s="385"/>
      <c r="AU392" s="385"/>
      <c r="AV392" s="385"/>
      <c r="AW392" s="385"/>
      <c r="AX392" s="385"/>
    </row>
    <row r="393" spans="1:50" ht="10.8" hidden="1" thickTop="1" x14ac:dyDescent="0.2">
      <c r="A393" s="385"/>
      <c r="B393" s="385"/>
      <c r="C393" s="385"/>
      <c r="D393" s="385"/>
      <c r="E393" s="385"/>
      <c r="F393" s="385"/>
      <c r="G393" s="385"/>
      <c r="H393" s="385"/>
      <c r="I393" s="442"/>
      <c r="J393" s="442"/>
      <c r="K393" s="442"/>
      <c r="L393" s="442"/>
      <c r="M393" s="442"/>
      <c r="N393" s="442"/>
      <c r="O393" s="443"/>
      <c r="P393" s="385"/>
      <c r="Q393" s="385"/>
      <c r="R393" s="385"/>
      <c r="S393" s="385"/>
      <c r="T393" s="385"/>
      <c r="U393" s="385"/>
      <c r="V393" s="385"/>
      <c r="W393" s="385"/>
      <c r="X393" s="385"/>
      <c r="Y393" s="385"/>
      <c r="Z393" s="385"/>
      <c r="AA393" s="385"/>
      <c r="AB393" s="385"/>
      <c r="AC393" s="385"/>
      <c r="AD393" s="385"/>
      <c r="AE393" s="385"/>
      <c r="AF393" s="385"/>
      <c r="AG393" s="385"/>
      <c r="AH393" s="385"/>
      <c r="AI393" s="385"/>
      <c r="AJ393" s="385"/>
      <c r="AK393" s="385"/>
      <c r="AL393" s="385"/>
      <c r="AM393" s="385"/>
      <c r="AN393" s="385"/>
      <c r="AO393" s="385"/>
      <c r="AP393" s="385"/>
      <c r="AQ393" s="385"/>
      <c r="AR393" s="385"/>
      <c r="AS393" s="385"/>
      <c r="AT393" s="385"/>
      <c r="AU393" s="385"/>
      <c r="AV393" s="385"/>
      <c r="AW393" s="385"/>
      <c r="AX393" s="385"/>
    </row>
    <row r="394" spans="1:50" ht="10.8" hidden="1" thickTop="1" x14ac:dyDescent="0.2">
      <c r="A394" s="385"/>
      <c r="B394" s="385"/>
      <c r="C394" s="385"/>
      <c r="D394" s="385"/>
      <c r="E394" s="385"/>
      <c r="F394" s="385"/>
      <c r="G394" s="385"/>
      <c r="H394" s="385"/>
      <c r="I394" s="442"/>
      <c r="J394" s="442"/>
      <c r="K394" s="442"/>
      <c r="L394" s="442"/>
      <c r="M394" s="442"/>
      <c r="N394" s="442"/>
      <c r="O394" s="443"/>
      <c r="P394" s="385"/>
      <c r="Q394" s="385"/>
      <c r="R394" s="385"/>
      <c r="S394" s="385"/>
      <c r="T394" s="385"/>
      <c r="U394" s="385"/>
      <c r="V394" s="385"/>
      <c r="W394" s="385"/>
      <c r="X394" s="385"/>
      <c r="Y394" s="385"/>
      <c r="Z394" s="385"/>
      <c r="AA394" s="385"/>
      <c r="AB394" s="385"/>
      <c r="AC394" s="385"/>
      <c r="AD394" s="385"/>
      <c r="AE394" s="385"/>
      <c r="AF394" s="385"/>
      <c r="AG394" s="385"/>
      <c r="AH394" s="385"/>
      <c r="AI394" s="385"/>
      <c r="AJ394" s="385"/>
      <c r="AK394" s="385"/>
      <c r="AL394" s="385"/>
      <c r="AM394" s="385"/>
      <c r="AN394" s="385"/>
      <c r="AO394" s="385"/>
      <c r="AP394" s="385"/>
      <c r="AQ394" s="385"/>
      <c r="AR394" s="385"/>
      <c r="AS394" s="385"/>
      <c r="AT394" s="385"/>
      <c r="AU394" s="385"/>
      <c r="AV394" s="385"/>
      <c r="AW394" s="385"/>
      <c r="AX394" s="385"/>
    </row>
    <row r="395" spans="1:50" ht="10.8" hidden="1" thickTop="1" x14ac:dyDescent="0.2">
      <c r="A395" s="385"/>
      <c r="B395" s="385"/>
      <c r="C395" s="385"/>
      <c r="D395" s="385"/>
      <c r="E395" s="385"/>
      <c r="F395" s="385"/>
      <c r="G395" s="385"/>
      <c r="H395" s="385"/>
      <c r="I395" s="442"/>
      <c r="J395" s="442"/>
      <c r="K395" s="442"/>
      <c r="L395" s="442"/>
      <c r="M395" s="442"/>
      <c r="N395" s="442"/>
      <c r="O395" s="443"/>
      <c r="P395" s="385"/>
      <c r="Q395" s="385"/>
      <c r="R395" s="385"/>
      <c r="S395" s="385"/>
      <c r="T395" s="385"/>
      <c r="U395" s="385"/>
      <c r="V395" s="385"/>
      <c r="W395" s="385"/>
      <c r="X395" s="385"/>
      <c r="Y395" s="385"/>
      <c r="Z395" s="385"/>
      <c r="AA395" s="385"/>
      <c r="AB395" s="385"/>
      <c r="AC395" s="385"/>
      <c r="AD395" s="385"/>
      <c r="AE395" s="385"/>
      <c r="AF395" s="385"/>
      <c r="AG395" s="385"/>
      <c r="AH395" s="385"/>
      <c r="AI395" s="385"/>
      <c r="AJ395" s="385"/>
      <c r="AK395" s="385"/>
      <c r="AL395" s="385"/>
      <c r="AM395" s="385"/>
      <c r="AN395" s="385"/>
      <c r="AO395" s="385"/>
      <c r="AP395" s="385"/>
      <c r="AQ395" s="385"/>
      <c r="AR395" s="385"/>
      <c r="AS395" s="385"/>
      <c r="AT395" s="385"/>
      <c r="AU395" s="385"/>
      <c r="AV395" s="385"/>
      <c r="AW395" s="385"/>
      <c r="AX395" s="385"/>
    </row>
    <row r="396" spans="1:50" ht="10.8" hidden="1" thickTop="1" x14ac:dyDescent="0.2">
      <c r="A396" s="385"/>
      <c r="B396" s="385"/>
      <c r="C396" s="385"/>
      <c r="D396" s="385"/>
      <c r="E396" s="385"/>
      <c r="F396" s="385"/>
      <c r="G396" s="385"/>
      <c r="H396" s="385"/>
      <c r="I396" s="442"/>
      <c r="J396" s="442"/>
      <c r="K396" s="442"/>
      <c r="L396" s="442"/>
      <c r="M396" s="442"/>
      <c r="N396" s="442"/>
      <c r="O396" s="443"/>
      <c r="P396" s="385"/>
      <c r="Q396" s="385"/>
      <c r="R396" s="385"/>
      <c r="S396" s="385"/>
      <c r="T396" s="385"/>
      <c r="U396" s="385"/>
      <c r="V396" s="385"/>
      <c r="W396" s="385"/>
      <c r="X396" s="385"/>
      <c r="Y396" s="385"/>
      <c r="Z396" s="385"/>
      <c r="AA396" s="385"/>
      <c r="AB396" s="385"/>
      <c r="AC396" s="385"/>
      <c r="AD396" s="385"/>
      <c r="AE396" s="385"/>
      <c r="AF396" s="385"/>
      <c r="AG396" s="385"/>
      <c r="AH396" s="385"/>
      <c r="AI396" s="385"/>
      <c r="AJ396" s="385"/>
      <c r="AK396" s="385"/>
      <c r="AL396" s="385"/>
      <c r="AM396" s="385"/>
      <c r="AN396" s="385"/>
      <c r="AO396" s="385"/>
      <c r="AP396" s="385"/>
      <c r="AQ396" s="385"/>
      <c r="AR396" s="385"/>
      <c r="AS396" s="385"/>
      <c r="AT396" s="385"/>
      <c r="AU396" s="385"/>
      <c r="AV396" s="385"/>
      <c r="AW396" s="385"/>
      <c r="AX396" s="385"/>
    </row>
    <row r="397" spans="1:50" ht="10.8" hidden="1" thickTop="1" x14ac:dyDescent="0.2">
      <c r="A397" s="385"/>
      <c r="B397" s="385"/>
      <c r="C397" s="385"/>
      <c r="D397" s="385"/>
      <c r="E397" s="385"/>
      <c r="F397" s="385"/>
      <c r="G397" s="385"/>
      <c r="H397" s="385"/>
      <c r="I397" s="442"/>
      <c r="J397" s="442"/>
      <c r="K397" s="442"/>
      <c r="L397" s="442"/>
      <c r="M397" s="442"/>
      <c r="N397" s="442"/>
      <c r="O397" s="443"/>
      <c r="P397" s="385"/>
      <c r="Q397" s="385"/>
      <c r="R397" s="385"/>
      <c r="S397" s="385"/>
      <c r="T397" s="385"/>
      <c r="U397" s="385"/>
      <c r="V397" s="385"/>
      <c r="W397" s="385"/>
      <c r="X397" s="385"/>
      <c r="Y397" s="385"/>
      <c r="Z397" s="385"/>
      <c r="AA397" s="385"/>
      <c r="AB397" s="385"/>
      <c r="AC397" s="385"/>
      <c r="AD397" s="385"/>
      <c r="AE397" s="385"/>
      <c r="AF397" s="385"/>
      <c r="AG397" s="385"/>
      <c r="AH397" s="385"/>
      <c r="AI397" s="385"/>
      <c r="AJ397" s="385"/>
      <c r="AK397" s="385"/>
      <c r="AL397" s="385"/>
      <c r="AM397" s="385"/>
      <c r="AN397" s="385"/>
      <c r="AO397" s="385"/>
      <c r="AP397" s="385"/>
      <c r="AQ397" s="385"/>
      <c r="AR397" s="385"/>
      <c r="AS397" s="385"/>
      <c r="AT397" s="385"/>
      <c r="AU397" s="385"/>
      <c r="AV397" s="385"/>
      <c r="AW397" s="385"/>
      <c r="AX397" s="385"/>
    </row>
    <row r="398" spans="1:50" ht="10.8" hidden="1" thickTop="1" x14ac:dyDescent="0.2">
      <c r="A398" s="385"/>
      <c r="B398" s="385"/>
      <c r="C398" s="385"/>
      <c r="D398" s="385"/>
      <c r="E398" s="385"/>
      <c r="F398" s="385"/>
      <c r="G398" s="385"/>
      <c r="H398" s="385"/>
      <c r="I398" s="442"/>
      <c r="J398" s="442"/>
      <c r="K398" s="442"/>
      <c r="L398" s="442"/>
      <c r="M398" s="442"/>
      <c r="N398" s="442"/>
      <c r="O398" s="443"/>
      <c r="P398" s="385"/>
      <c r="Q398" s="385"/>
      <c r="R398" s="385"/>
      <c r="S398" s="385"/>
      <c r="T398" s="385"/>
      <c r="U398" s="385"/>
      <c r="V398" s="385"/>
      <c r="W398" s="385"/>
      <c r="X398" s="385"/>
      <c r="Y398" s="385"/>
      <c r="Z398" s="385"/>
      <c r="AA398" s="385"/>
      <c r="AB398" s="385"/>
      <c r="AC398" s="385"/>
      <c r="AD398" s="385"/>
      <c r="AE398" s="385"/>
      <c r="AF398" s="385"/>
      <c r="AG398" s="385"/>
      <c r="AH398" s="385"/>
      <c r="AI398" s="385"/>
      <c r="AJ398" s="385"/>
      <c r="AK398" s="385"/>
      <c r="AL398" s="385"/>
      <c r="AM398" s="385"/>
      <c r="AN398" s="385"/>
      <c r="AO398" s="385"/>
      <c r="AP398" s="385"/>
      <c r="AQ398" s="385"/>
      <c r="AR398" s="385"/>
      <c r="AS398" s="385"/>
      <c r="AT398" s="385"/>
      <c r="AU398" s="385"/>
      <c r="AV398" s="385"/>
      <c r="AW398" s="385"/>
      <c r="AX398" s="385"/>
    </row>
    <row r="399" spans="1:50" ht="10.8" hidden="1" thickTop="1" x14ac:dyDescent="0.2">
      <c r="A399" s="385"/>
      <c r="B399" s="385"/>
      <c r="C399" s="385"/>
      <c r="D399" s="385"/>
      <c r="E399" s="385"/>
      <c r="F399" s="385"/>
      <c r="G399" s="385"/>
      <c r="H399" s="385"/>
      <c r="I399" s="442"/>
      <c r="J399" s="442"/>
      <c r="K399" s="442"/>
      <c r="L399" s="442"/>
      <c r="M399" s="442"/>
      <c r="N399" s="442"/>
      <c r="O399" s="443"/>
      <c r="P399" s="385"/>
      <c r="Q399" s="385"/>
      <c r="R399" s="385"/>
      <c r="S399" s="385"/>
      <c r="T399" s="385"/>
      <c r="U399" s="385"/>
      <c r="V399" s="385"/>
      <c r="W399" s="385"/>
      <c r="X399" s="385"/>
      <c r="Y399" s="385"/>
      <c r="Z399" s="385"/>
      <c r="AA399" s="385"/>
      <c r="AB399" s="385"/>
      <c r="AC399" s="385"/>
      <c r="AD399" s="385"/>
      <c r="AE399" s="385"/>
      <c r="AF399" s="385"/>
      <c r="AG399" s="385"/>
      <c r="AH399" s="385"/>
      <c r="AI399" s="385"/>
      <c r="AJ399" s="385"/>
      <c r="AK399" s="385"/>
      <c r="AL399" s="385"/>
      <c r="AM399" s="385"/>
      <c r="AN399" s="385"/>
      <c r="AO399" s="385"/>
      <c r="AP399" s="385"/>
      <c r="AQ399" s="385"/>
      <c r="AR399" s="385"/>
      <c r="AS399" s="385"/>
      <c r="AT399" s="385"/>
      <c r="AU399" s="385"/>
      <c r="AV399" s="385"/>
      <c r="AW399" s="385"/>
      <c r="AX399" s="385"/>
    </row>
    <row r="400" spans="1:50" ht="10.8" hidden="1" thickTop="1" x14ac:dyDescent="0.2">
      <c r="A400" s="385"/>
      <c r="B400" s="385"/>
      <c r="C400" s="385"/>
      <c r="D400" s="385"/>
      <c r="E400" s="385"/>
      <c r="F400" s="385"/>
      <c r="G400" s="385"/>
      <c r="H400" s="385"/>
      <c r="I400" s="442"/>
      <c r="J400" s="442"/>
      <c r="K400" s="442"/>
      <c r="L400" s="442"/>
      <c r="M400" s="442"/>
      <c r="N400" s="442"/>
      <c r="O400" s="443"/>
      <c r="P400" s="385"/>
      <c r="Q400" s="385"/>
      <c r="R400" s="385"/>
      <c r="S400" s="385"/>
      <c r="T400" s="385"/>
      <c r="U400" s="385"/>
      <c r="V400" s="385"/>
      <c r="W400" s="385"/>
      <c r="X400" s="385"/>
      <c r="Y400" s="385"/>
      <c r="Z400" s="385"/>
      <c r="AA400" s="385"/>
      <c r="AB400" s="385"/>
      <c r="AC400" s="385"/>
      <c r="AD400" s="385"/>
      <c r="AE400" s="385"/>
      <c r="AF400" s="385"/>
      <c r="AG400" s="385"/>
      <c r="AH400" s="385"/>
      <c r="AI400" s="385"/>
      <c r="AJ400" s="385"/>
      <c r="AK400" s="385"/>
      <c r="AL400" s="385"/>
      <c r="AM400" s="385"/>
      <c r="AN400" s="385"/>
      <c r="AO400" s="385"/>
      <c r="AP400" s="385"/>
      <c r="AQ400" s="385"/>
      <c r="AR400" s="385"/>
      <c r="AS400" s="385"/>
      <c r="AT400" s="385"/>
      <c r="AU400" s="385"/>
      <c r="AV400" s="385"/>
      <c r="AW400" s="385"/>
      <c r="AX400" s="385"/>
    </row>
    <row r="401" spans="1:50" ht="10.8" hidden="1" thickTop="1" x14ac:dyDescent="0.2">
      <c r="A401" s="385"/>
      <c r="B401" s="385"/>
      <c r="C401" s="385"/>
      <c r="D401" s="385"/>
      <c r="E401" s="385"/>
      <c r="F401" s="385"/>
      <c r="G401" s="385"/>
      <c r="H401" s="385"/>
      <c r="I401" s="442"/>
      <c r="J401" s="442"/>
      <c r="K401" s="442"/>
      <c r="L401" s="442"/>
      <c r="M401" s="442"/>
      <c r="N401" s="442"/>
      <c r="O401" s="443"/>
      <c r="P401" s="385"/>
      <c r="Q401" s="385"/>
      <c r="R401" s="385"/>
      <c r="S401" s="385"/>
      <c r="T401" s="385"/>
      <c r="U401" s="385"/>
      <c r="V401" s="385"/>
      <c r="W401" s="385"/>
      <c r="X401" s="385"/>
      <c r="Y401" s="385"/>
      <c r="Z401" s="385"/>
      <c r="AA401" s="385"/>
      <c r="AB401" s="385"/>
      <c r="AC401" s="385"/>
      <c r="AD401" s="385"/>
      <c r="AE401" s="385"/>
      <c r="AF401" s="385"/>
      <c r="AG401" s="385"/>
      <c r="AH401" s="385"/>
      <c r="AI401" s="385"/>
      <c r="AJ401" s="385"/>
      <c r="AK401" s="385"/>
      <c r="AL401" s="385"/>
      <c r="AM401" s="385"/>
      <c r="AN401" s="385"/>
      <c r="AO401" s="385"/>
      <c r="AP401" s="385"/>
      <c r="AQ401" s="385"/>
      <c r="AR401" s="385"/>
      <c r="AS401" s="385"/>
      <c r="AT401" s="385"/>
      <c r="AU401" s="385"/>
      <c r="AV401" s="385"/>
      <c r="AW401" s="385"/>
      <c r="AX401" s="385"/>
    </row>
    <row r="402" spans="1:50" ht="10.8" hidden="1" thickTop="1" x14ac:dyDescent="0.2">
      <c r="A402" s="385"/>
      <c r="B402" s="385"/>
      <c r="C402" s="385"/>
      <c r="D402" s="385"/>
      <c r="E402" s="385"/>
      <c r="F402" s="385"/>
      <c r="G402" s="385"/>
      <c r="H402" s="385"/>
      <c r="I402" s="442"/>
      <c r="J402" s="442"/>
      <c r="K402" s="442"/>
      <c r="L402" s="442"/>
      <c r="M402" s="442"/>
      <c r="N402" s="442"/>
      <c r="O402" s="443"/>
      <c r="P402" s="385"/>
      <c r="Q402" s="385"/>
      <c r="R402" s="385"/>
      <c r="S402" s="385"/>
      <c r="T402" s="385"/>
      <c r="U402" s="385"/>
      <c r="V402" s="385"/>
      <c r="W402" s="385"/>
      <c r="X402" s="385"/>
      <c r="Y402" s="385"/>
      <c r="Z402" s="385"/>
      <c r="AA402" s="385"/>
      <c r="AB402" s="385"/>
      <c r="AC402" s="385"/>
      <c r="AD402" s="385"/>
      <c r="AE402" s="385"/>
      <c r="AF402" s="385"/>
      <c r="AG402" s="385"/>
      <c r="AH402" s="385"/>
      <c r="AI402" s="385"/>
      <c r="AJ402" s="385"/>
      <c r="AK402" s="385"/>
      <c r="AL402" s="385"/>
      <c r="AM402" s="385"/>
      <c r="AN402" s="385"/>
      <c r="AO402" s="385"/>
      <c r="AP402" s="385"/>
      <c r="AQ402" s="385"/>
      <c r="AR402" s="385"/>
      <c r="AS402" s="385"/>
      <c r="AT402" s="385"/>
      <c r="AU402" s="385"/>
      <c r="AV402" s="385"/>
      <c r="AW402" s="385"/>
      <c r="AX402" s="385"/>
    </row>
    <row r="403" spans="1:50" ht="10.8" hidden="1" thickTop="1" x14ac:dyDescent="0.2">
      <c r="A403" s="385"/>
      <c r="B403" s="385"/>
      <c r="C403" s="385"/>
      <c r="D403" s="385"/>
      <c r="E403" s="385"/>
      <c r="F403" s="385"/>
      <c r="G403" s="385"/>
      <c r="H403" s="385"/>
      <c r="I403" s="442"/>
      <c r="J403" s="442"/>
      <c r="K403" s="442"/>
      <c r="L403" s="442"/>
      <c r="M403" s="442"/>
      <c r="N403" s="442"/>
      <c r="O403" s="443"/>
      <c r="P403" s="385"/>
      <c r="Q403" s="385"/>
      <c r="R403" s="385"/>
      <c r="S403" s="385"/>
      <c r="T403" s="385"/>
      <c r="U403" s="385"/>
      <c r="V403" s="385"/>
      <c r="W403" s="385"/>
      <c r="X403" s="385"/>
      <c r="Y403" s="385"/>
      <c r="Z403" s="385"/>
      <c r="AA403" s="385"/>
      <c r="AB403" s="385"/>
      <c r="AC403" s="385"/>
      <c r="AD403" s="385"/>
      <c r="AE403" s="385"/>
      <c r="AF403" s="385"/>
      <c r="AG403" s="385"/>
      <c r="AH403" s="385"/>
      <c r="AI403" s="385"/>
      <c r="AJ403" s="385"/>
      <c r="AK403" s="385"/>
      <c r="AL403" s="385"/>
      <c r="AM403" s="385"/>
      <c r="AN403" s="385"/>
      <c r="AO403" s="385"/>
      <c r="AP403" s="385"/>
      <c r="AQ403" s="385"/>
      <c r="AR403" s="385"/>
      <c r="AS403" s="385"/>
      <c r="AT403" s="385"/>
      <c r="AU403" s="385"/>
      <c r="AV403" s="385"/>
      <c r="AW403" s="385"/>
      <c r="AX403" s="385"/>
    </row>
    <row r="404" spans="1:50" ht="10.8" hidden="1" thickTop="1" x14ac:dyDescent="0.2">
      <c r="A404" s="385"/>
      <c r="B404" s="385"/>
      <c r="C404" s="385"/>
      <c r="D404" s="385"/>
      <c r="E404" s="385"/>
      <c r="F404" s="385"/>
      <c r="G404" s="385"/>
      <c r="H404" s="385"/>
      <c r="I404" s="442"/>
      <c r="J404" s="442"/>
      <c r="K404" s="442"/>
      <c r="L404" s="442"/>
      <c r="M404" s="442"/>
      <c r="N404" s="442"/>
      <c r="O404" s="443"/>
      <c r="P404" s="385"/>
      <c r="Q404" s="385"/>
      <c r="R404" s="385"/>
      <c r="S404" s="385"/>
      <c r="T404" s="385"/>
      <c r="U404" s="385"/>
      <c r="V404" s="385"/>
      <c r="W404" s="385"/>
      <c r="X404" s="385"/>
      <c r="Y404" s="385"/>
      <c r="Z404" s="385"/>
      <c r="AA404" s="385"/>
      <c r="AB404" s="385"/>
      <c r="AC404" s="385"/>
      <c r="AD404" s="385"/>
      <c r="AE404" s="385"/>
      <c r="AF404" s="385"/>
      <c r="AG404" s="385"/>
      <c r="AH404" s="385"/>
      <c r="AI404" s="385"/>
      <c r="AJ404" s="385"/>
      <c r="AK404" s="385"/>
      <c r="AL404" s="385"/>
      <c r="AM404" s="385"/>
      <c r="AN404" s="385"/>
      <c r="AO404" s="385"/>
      <c r="AP404" s="385"/>
      <c r="AQ404" s="385"/>
      <c r="AR404" s="385"/>
      <c r="AS404" s="385"/>
      <c r="AT404" s="385"/>
      <c r="AU404" s="385"/>
      <c r="AV404" s="385"/>
      <c r="AW404" s="385"/>
      <c r="AX404" s="385"/>
    </row>
    <row r="405" spans="1:50" ht="10.8" hidden="1" thickTop="1" x14ac:dyDescent="0.2">
      <c r="A405" s="385"/>
      <c r="B405" s="385"/>
      <c r="C405" s="385"/>
      <c r="D405" s="385"/>
      <c r="E405" s="385"/>
      <c r="F405" s="385"/>
      <c r="G405" s="385"/>
      <c r="H405" s="385"/>
      <c r="I405" s="442"/>
      <c r="J405" s="442"/>
      <c r="K405" s="442"/>
      <c r="L405" s="442"/>
      <c r="M405" s="442"/>
      <c r="N405" s="442"/>
      <c r="O405" s="443"/>
      <c r="P405" s="385"/>
      <c r="Q405" s="385"/>
      <c r="R405" s="385"/>
      <c r="S405" s="385"/>
      <c r="T405" s="385"/>
      <c r="U405" s="385"/>
      <c r="V405" s="385"/>
      <c r="W405" s="385"/>
      <c r="X405" s="385"/>
      <c r="Y405" s="385"/>
      <c r="Z405" s="385"/>
      <c r="AA405" s="385"/>
      <c r="AB405" s="385"/>
      <c r="AC405" s="385"/>
      <c r="AD405" s="385"/>
      <c r="AE405" s="385"/>
      <c r="AF405" s="385"/>
      <c r="AG405" s="385"/>
      <c r="AH405" s="385"/>
      <c r="AI405" s="385"/>
      <c r="AJ405" s="385"/>
      <c r="AK405" s="385"/>
      <c r="AL405" s="385"/>
      <c r="AM405" s="385"/>
      <c r="AN405" s="385"/>
      <c r="AO405" s="385"/>
      <c r="AP405" s="385"/>
      <c r="AQ405" s="385"/>
      <c r="AR405" s="385"/>
      <c r="AS405" s="385"/>
      <c r="AT405" s="385"/>
      <c r="AU405" s="385"/>
      <c r="AV405" s="385"/>
      <c r="AW405" s="385"/>
      <c r="AX405" s="385"/>
    </row>
    <row r="406" spans="1:50" ht="10.8" hidden="1" thickTop="1" x14ac:dyDescent="0.2">
      <c r="A406" s="385"/>
      <c r="B406" s="385"/>
      <c r="C406" s="385"/>
      <c r="D406" s="385"/>
      <c r="E406" s="385"/>
      <c r="F406" s="385"/>
      <c r="G406" s="385"/>
      <c r="H406" s="385"/>
      <c r="I406" s="442"/>
      <c r="J406" s="442"/>
      <c r="K406" s="442"/>
      <c r="L406" s="442"/>
      <c r="M406" s="442"/>
      <c r="N406" s="442"/>
      <c r="O406" s="443"/>
      <c r="P406" s="385"/>
      <c r="Q406" s="385"/>
      <c r="R406" s="385"/>
      <c r="S406" s="385"/>
      <c r="T406" s="385"/>
      <c r="U406" s="385"/>
      <c r="V406" s="385"/>
      <c r="W406" s="385"/>
      <c r="X406" s="385"/>
      <c r="Y406" s="385"/>
      <c r="Z406" s="385"/>
      <c r="AA406" s="385"/>
      <c r="AB406" s="385"/>
      <c r="AC406" s="385"/>
      <c r="AD406" s="385"/>
      <c r="AE406" s="385"/>
      <c r="AF406" s="385"/>
      <c r="AG406" s="385"/>
      <c r="AH406" s="385"/>
      <c r="AI406" s="385"/>
      <c r="AJ406" s="385"/>
      <c r="AK406" s="385"/>
      <c r="AL406" s="385"/>
      <c r="AM406" s="385"/>
      <c r="AN406" s="385"/>
      <c r="AO406" s="385"/>
      <c r="AP406" s="385"/>
      <c r="AQ406" s="385"/>
      <c r="AR406" s="385"/>
      <c r="AS406" s="385"/>
      <c r="AT406" s="385"/>
      <c r="AU406" s="385"/>
      <c r="AV406" s="385"/>
      <c r="AW406" s="385"/>
      <c r="AX406" s="385"/>
    </row>
    <row r="407" spans="1:50" ht="10.8" hidden="1" thickTop="1" x14ac:dyDescent="0.2">
      <c r="A407" s="385"/>
      <c r="B407" s="385"/>
      <c r="C407" s="385"/>
      <c r="D407" s="385"/>
      <c r="E407" s="385"/>
      <c r="F407" s="385"/>
      <c r="G407" s="385"/>
      <c r="H407" s="385"/>
      <c r="I407" s="442"/>
      <c r="J407" s="442"/>
      <c r="K407" s="442"/>
      <c r="L407" s="442"/>
      <c r="M407" s="442"/>
      <c r="N407" s="442"/>
      <c r="O407" s="443"/>
      <c r="P407" s="385"/>
      <c r="Q407" s="385"/>
      <c r="R407" s="385"/>
      <c r="S407" s="385"/>
      <c r="T407" s="385"/>
      <c r="U407" s="385"/>
      <c r="V407" s="385"/>
      <c r="W407" s="385"/>
      <c r="X407" s="385"/>
      <c r="Y407" s="385"/>
      <c r="Z407" s="385"/>
      <c r="AA407" s="385"/>
      <c r="AB407" s="385"/>
      <c r="AC407" s="385"/>
      <c r="AD407" s="385"/>
      <c r="AE407" s="385"/>
      <c r="AF407" s="385"/>
      <c r="AG407" s="385"/>
      <c r="AH407" s="385"/>
      <c r="AI407" s="385"/>
      <c r="AJ407" s="385"/>
      <c r="AK407" s="385"/>
      <c r="AL407" s="385"/>
      <c r="AM407" s="385"/>
      <c r="AN407" s="385"/>
      <c r="AO407" s="385"/>
      <c r="AP407" s="385"/>
      <c r="AQ407" s="385"/>
      <c r="AR407" s="385"/>
      <c r="AS407" s="385"/>
      <c r="AT407" s="385"/>
      <c r="AU407" s="385"/>
      <c r="AV407" s="385"/>
      <c r="AW407" s="385"/>
      <c r="AX407" s="385"/>
    </row>
    <row r="408" spans="1:50" ht="10.8" hidden="1" thickTop="1" x14ac:dyDescent="0.2">
      <c r="A408" s="385"/>
      <c r="B408" s="385"/>
      <c r="C408" s="385"/>
      <c r="D408" s="385"/>
      <c r="E408" s="385"/>
      <c r="F408" s="385"/>
      <c r="G408" s="385"/>
      <c r="H408" s="385"/>
      <c r="I408" s="442"/>
      <c r="J408" s="442"/>
      <c r="K408" s="442"/>
      <c r="L408" s="442"/>
      <c r="M408" s="442"/>
      <c r="N408" s="442"/>
      <c r="O408" s="443"/>
      <c r="P408" s="385"/>
      <c r="Q408" s="385"/>
      <c r="R408" s="385"/>
      <c r="S408" s="385"/>
      <c r="T408" s="385"/>
      <c r="U408" s="385"/>
      <c r="V408" s="385"/>
      <c r="W408" s="385"/>
      <c r="X408" s="385"/>
      <c r="Y408" s="385"/>
      <c r="Z408" s="385"/>
      <c r="AA408" s="385"/>
      <c r="AB408" s="385"/>
      <c r="AC408" s="385"/>
      <c r="AD408" s="385"/>
      <c r="AE408" s="385"/>
      <c r="AF408" s="385"/>
      <c r="AG408" s="385"/>
      <c r="AH408" s="385"/>
      <c r="AI408" s="385"/>
      <c r="AJ408" s="385"/>
      <c r="AK408" s="385"/>
      <c r="AL408" s="385"/>
      <c r="AM408" s="385"/>
      <c r="AN408" s="385"/>
      <c r="AO408" s="385"/>
      <c r="AP408" s="385"/>
      <c r="AQ408" s="385"/>
      <c r="AR408" s="385"/>
      <c r="AS408" s="385"/>
      <c r="AT408" s="385"/>
      <c r="AU408" s="385"/>
      <c r="AV408" s="385"/>
      <c r="AW408" s="385"/>
      <c r="AX408" s="385"/>
    </row>
    <row r="409" spans="1:50" ht="10.8" hidden="1" thickTop="1" x14ac:dyDescent="0.2">
      <c r="A409" s="385"/>
      <c r="B409" s="385"/>
      <c r="C409" s="385"/>
      <c r="D409" s="385"/>
      <c r="E409" s="385"/>
      <c r="F409" s="385"/>
      <c r="G409" s="385"/>
      <c r="H409" s="385"/>
      <c r="I409" s="442"/>
      <c r="J409" s="442"/>
      <c r="K409" s="442"/>
      <c r="L409" s="442"/>
      <c r="M409" s="442"/>
      <c r="N409" s="442"/>
      <c r="O409" s="443"/>
      <c r="P409" s="385"/>
      <c r="Q409" s="385"/>
      <c r="R409" s="385"/>
      <c r="S409" s="385"/>
      <c r="T409" s="385"/>
      <c r="U409" s="385"/>
      <c r="V409" s="385"/>
      <c r="W409" s="385"/>
      <c r="X409" s="385"/>
      <c r="Y409" s="385"/>
      <c r="Z409" s="385"/>
      <c r="AA409" s="385"/>
      <c r="AB409" s="385"/>
      <c r="AC409" s="385"/>
      <c r="AD409" s="385"/>
      <c r="AE409" s="385"/>
      <c r="AF409" s="385"/>
      <c r="AG409" s="385"/>
      <c r="AH409" s="385"/>
      <c r="AI409" s="385"/>
      <c r="AJ409" s="385"/>
      <c r="AK409" s="385"/>
      <c r="AL409" s="385"/>
      <c r="AM409" s="385"/>
      <c r="AN409" s="385"/>
      <c r="AO409" s="385"/>
      <c r="AP409" s="385"/>
      <c r="AQ409" s="385"/>
      <c r="AR409" s="385"/>
      <c r="AS409" s="385"/>
      <c r="AT409" s="385"/>
      <c r="AU409" s="385"/>
      <c r="AV409" s="385"/>
      <c r="AW409" s="385"/>
      <c r="AX409" s="385"/>
    </row>
    <row r="410" spans="1:50" ht="10.8" hidden="1" thickTop="1" x14ac:dyDescent="0.2">
      <c r="A410" s="385"/>
      <c r="B410" s="385"/>
      <c r="C410" s="385"/>
      <c r="D410" s="385"/>
      <c r="E410" s="385"/>
      <c r="F410" s="385"/>
      <c r="G410" s="385"/>
      <c r="H410" s="385"/>
      <c r="I410" s="442"/>
      <c r="J410" s="442"/>
      <c r="K410" s="442"/>
      <c r="L410" s="442"/>
      <c r="M410" s="442"/>
      <c r="N410" s="442"/>
      <c r="O410" s="443"/>
      <c r="P410" s="385"/>
      <c r="Q410" s="385"/>
      <c r="R410" s="385"/>
      <c r="S410" s="385"/>
      <c r="T410" s="385"/>
      <c r="U410" s="385"/>
      <c r="V410" s="385"/>
      <c r="W410" s="385"/>
      <c r="X410" s="385"/>
      <c r="Y410" s="385"/>
      <c r="Z410" s="385"/>
      <c r="AA410" s="385"/>
      <c r="AB410" s="385"/>
      <c r="AC410" s="385"/>
      <c r="AD410" s="385"/>
      <c r="AE410" s="385"/>
      <c r="AF410" s="385"/>
      <c r="AG410" s="385"/>
      <c r="AH410" s="385"/>
      <c r="AI410" s="385"/>
      <c r="AJ410" s="385"/>
      <c r="AK410" s="385"/>
      <c r="AL410" s="385"/>
      <c r="AM410" s="385"/>
      <c r="AN410" s="385"/>
      <c r="AO410" s="385"/>
      <c r="AP410" s="385"/>
      <c r="AQ410" s="385"/>
      <c r="AR410" s="385"/>
      <c r="AS410" s="385"/>
      <c r="AT410" s="385"/>
      <c r="AU410" s="385"/>
      <c r="AV410" s="385"/>
      <c r="AW410" s="385"/>
      <c r="AX410" s="385"/>
    </row>
    <row r="411" spans="1:50" ht="10.8" hidden="1" thickTop="1" x14ac:dyDescent="0.2">
      <c r="A411" s="385"/>
      <c r="B411" s="385"/>
      <c r="C411" s="385"/>
      <c r="D411" s="385"/>
      <c r="E411" s="385"/>
      <c r="F411" s="385"/>
      <c r="G411" s="385"/>
      <c r="H411" s="385"/>
      <c r="I411" s="442"/>
      <c r="J411" s="442"/>
      <c r="K411" s="442"/>
      <c r="L411" s="442"/>
      <c r="M411" s="442"/>
      <c r="N411" s="442"/>
      <c r="O411" s="443"/>
      <c r="P411" s="385"/>
      <c r="Q411" s="385"/>
      <c r="R411" s="385"/>
      <c r="S411" s="385"/>
      <c r="T411" s="385"/>
      <c r="U411" s="385"/>
      <c r="V411" s="385"/>
      <c r="W411" s="385"/>
      <c r="X411" s="385"/>
      <c r="Y411" s="385"/>
      <c r="Z411" s="385"/>
      <c r="AA411" s="385"/>
      <c r="AB411" s="385"/>
      <c r="AC411" s="385"/>
      <c r="AD411" s="385"/>
      <c r="AE411" s="385"/>
      <c r="AF411" s="385"/>
      <c r="AG411" s="385"/>
      <c r="AH411" s="385"/>
      <c r="AI411" s="385"/>
      <c r="AJ411" s="385"/>
      <c r="AK411" s="385"/>
      <c r="AL411" s="385"/>
      <c r="AM411" s="385"/>
      <c r="AN411" s="385"/>
      <c r="AO411" s="385"/>
      <c r="AP411" s="385"/>
      <c r="AQ411" s="385"/>
      <c r="AR411" s="385"/>
      <c r="AS411" s="385"/>
      <c r="AT411" s="385"/>
      <c r="AU411" s="385"/>
      <c r="AV411" s="385"/>
      <c r="AW411" s="385"/>
      <c r="AX411" s="385"/>
    </row>
    <row r="412" spans="1:50" ht="10.8" hidden="1" thickTop="1" x14ac:dyDescent="0.2">
      <c r="A412" s="385"/>
      <c r="B412" s="385"/>
      <c r="C412" s="385"/>
      <c r="D412" s="385"/>
      <c r="E412" s="385"/>
      <c r="F412" s="385"/>
      <c r="G412" s="385"/>
      <c r="H412" s="385"/>
      <c r="I412" s="442"/>
      <c r="J412" s="442"/>
      <c r="K412" s="442"/>
      <c r="L412" s="442"/>
      <c r="M412" s="442"/>
      <c r="N412" s="442"/>
      <c r="O412" s="443"/>
      <c r="P412" s="385"/>
      <c r="Q412" s="385"/>
      <c r="R412" s="385"/>
      <c r="S412" s="385"/>
      <c r="T412" s="385"/>
      <c r="U412" s="385"/>
      <c r="V412" s="385"/>
      <c r="W412" s="385"/>
      <c r="X412" s="385"/>
      <c r="Y412" s="385"/>
      <c r="Z412" s="385"/>
      <c r="AA412" s="385"/>
      <c r="AB412" s="385"/>
      <c r="AC412" s="385"/>
      <c r="AD412" s="385"/>
      <c r="AE412" s="385"/>
      <c r="AF412" s="385"/>
      <c r="AG412" s="385"/>
      <c r="AH412" s="385"/>
      <c r="AI412" s="385"/>
      <c r="AJ412" s="385"/>
      <c r="AK412" s="385"/>
      <c r="AL412" s="385"/>
      <c r="AM412" s="385"/>
      <c r="AN412" s="385"/>
      <c r="AO412" s="385"/>
      <c r="AP412" s="385"/>
      <c r="AQ412" s="385"/>
      <c r="AR412" s="385"/>
      <c r="AS412" s="385"/>
      <c r="AT412" s="385"/>
      <c r="AU412" s="385"/>
      <c r="AV412" s="385"/>
      <c r="AW412" s="385"/>
      <c r="AX412" s="385"/>
    </row>
    <row r="413" spans="1:50" ht="10.8" hidden="1" thickTop="1" x14ac:dyDescent="0.2">
      <c r="A413" s="385"/>
      <c r="B413" s="385"/>
      <c r="C413" s="385"/>
      <c r="D413" s="385"/>
      <c r="E413" s="385"/>
      <c r="F413" s="385"/>
      <c r="G413" s="385"/>
      <c r="H413" s="385"/>
      <c r="I413" s="442"/>
      <c r="J413" s="442"/>
      <c r="K413" s="442"/>
      <c r="L413" s="442"/>
      <c r="M413" s="442"/>
      <c r="N413" s="442"/>
      <c r="O413" s="443"/>
      <c r="P413" s="385"/>
      <c r="Q413" s="385"/>
      <c r="R413" s="385"/>
      <c r="S413" s="385"/>
      <c r="T413" s="385"/>
      <c r="U413" s="385"/>
      <c r="V413" s="385"/>
      <c r="W413" s="385"/>
      <c r="X413" s="385"/>
      <c r="Y413" s="385"/>
      <c r="Z413" s="385"/>
      <c r="AA413" s="385"/>
      <c r="AB413" s="385"/>
      <c r="AC413" s="385"/>
      <c r="AD413" s="385"/>
      <c r="AE413" s="385"/>
      <c r="AF413" s="385"/>
      <c r="AG413" s="385"/>
      <c r="AH413" s="385"/>
      <c r="AI413" s="385"/>
      <c r="AJ413" s="385"/>
      <c r="AK413" s="385"/>
      <c r="AL413" s="385"/>
      <c r="AM413" s="385"/>
      <c r="AN413" s="385"/>
      <c r="AO413" s="385"/>
      <c r="AP413" s="385"/>
      <c r="AQ413" s="385"/>
      <c r="AR413" s="385"/>
      <c r="AS413" s="385"/>
      <c r="AT413" s="385"/>
      <c r="AU413" s="385"/>
      <c r="AV413" s="385"/>
      <c r="AW413" s="385"/>
      <c r="AX413" s="385"/>
    </row>
    <row r="414" spans="1:50" ht="10.8" hidden="1" thickTop="1" x14ac:dyDescent="0.2">
      <c r="A414" s="385"/>
      <c r="B414" s="385"/>
      <c r="C414" s="385"/>
      <c r="D414" s="385"/>
      <c r="E414" s="385"/>
      <c r="F414" s="385"/>
      <c r="G414" s="385"/>
      <c r="H414" s="385"/>
      <c r="I414" s="442"/>
      <c r="J414" s="442"/>
      <c r="K414" s="442"/>
      <c r="L414" s="442"/>
      <c r="M414" s="442"/>
      <c r="N414" s="442"/>
      <c r="O414" s="443"/>
      <c r="P414" s="385"/>
      <c r="Q414" s="385"/>
      <c r="R414" s="385"/>
      <c r="S414" s="385"/>
      <c r="T414" s="385"/>
      <c r="U414" s="385"/>
      <c r="V414" s="385"/>
      <c r="W414" s="385"/>
      <c r="X414" s="385"/>
      <c r="Y414" s="385"/>
      <c r="Z414" s="385"/>
      <c r="AA414" s="385"/>
      <c r="AB414" s="385"/>
      <c r="AC414" s="385"/>
      <c r="AD414" s="385"/>
      <c r="AE414" s="385"/>
      <c r="AF414" s="385"/>
      <c r="AG414" s="385"/>
      <c r="AH414" s="385"/>
      <c r="AI414" s="385"/>
      <c r="AJ414" s="385"/>
      <c r="AK414" s="385"/>
      <c r="AL414" s="385"/>
      <c r="AM414" s="385"/>
      <c r="AN414" s="385"/>
      <c r="AO414" s="385"/>
      <c r="AP414" s="385"/>
      <c r="AQ414" s="385"/>
      <c r="AR414" s="385"/>
      <c r="AS414" s="385"/>
      <c r="AT414" s="385"/>
      <c r="AU414" s="385"/>
      <c r="AV414" s="385"/>
      <c r="AW414" s="385"/>
      <c r="AX414" s="385"/>
    </row>
    <row r="415" spans="1:50" ht="10.8" hidden="1" thickTop="1" x14ac:dyDescent="0.2">
      <c r="A415" s="385"/>
      <c r="B415" s="385"/>
      <c r="C415" s="385"/>
      <c r="D415" s="385"/>
      <c r="E415" s="385"/>
      <c r="F415" s="385"/>
      <c r="G415" s="385"/>
      <c r="H415" s="385"/>
      <c r="I415" s="442"/>
      <c r="J415" s="442"/>
      <c r="K415" s="442"/>
      <c r="L415" s="442"/>
      <c r="M415" s="442"/>
      <c r="N415" s="442"/>
      <c r="O415" s="443"/>
      <c r="P415" s="385"/>
      <c r="Q415" s="385"/>
      <c r="R415" s="385"/>
      <c r="S415" s="385"/>
      <c r="T415" s="385"/>
      <c r="U415" s="385"/>
      <c r="V415" s="385"/>
      <c r="W415" s="385"/>
      <c r="X415" s="385"/>
      <c r="Y415" s="385"/>
      <c r="Z415" s="385"/>
      <c r="AA415" s="385"/>
      <c r="AB415" s="385"/>
      <c r="AC415" s="385"/>
      <c r="AD415" s="385"/>
      <c r="AE415" s="385"/>
      <c r="AF415" s="385"/>
      <c r="AG415" s="385"/>
      <c r="AH415" s="385"/>
      <c r="AI415" s="385"/>
      <c r="AJ415" s="385"/>
      <c r="AK415" s="385"/>
      <c r="AL415" s="385"/>
      <c r="AM415" s="385"/>
      <c r="AN415" s="385"/>
      <c r="AO415" s="385"/>
      <c r="AP415" s="385"/>
      <c r="AQ415" s="385"/>
      <c r="AR415" s="385"/>
      <c r="AS415" s="385"/>
      <c r="AT415" s="385"/>
      <c r="AU415" s="385"/>
      <c r="AV415" s="385"/>
      <c r="AW415" s="385"/>
      <c r="AX415" s="385"/>
    </row>
    <row r="416" spans="1:50" ht="10.8" hidden="1" thickTop="1" x14ac:dyDescent="0.2">
      <c r="A416" s="385"/>
      <c r="B416" s="385"/>
      <c r="C416" s="385"/>
      <c r="D416" s="385"/>
      <c r="E416" s="385"/>
      <c r="F416" s="385"/>
      <c r="G416" s="385"/>
      <c r="H416" s="385"/>
      <c r="I416" s="442"/>
      <c r="J416" s="442"/>
      <c r="K416" s="442"/>
      <c r="L416" s="442"/>
      <c r="M416" s="442"/>
      <c r="N416" s="442"/>
      <c r="O416" s="443"/>
      <c r="P416" s="385"/>
      <c r="Q416" s="385"/>
      <c r="R416" s="385"/>
      <c r="S416" s="385"/>
      <c r="T416" s="385"/>
      <c r="U416" s="385"/>
      <c r="V416" s="385"/>
      <c r="W416" s="385"/>
      <c r="X416" s="385"/>
      <c r="Y416" s="385"/>
      <c r="Z416" s="385"/>
      <c r="AA416" s="385"/>
      <c r="AB416" s="385"/>
      <c r="AC416" s="385"/>
      <c r="AD416" s="385"/>
      <c r="AE416" s="385"/>
      <c r="AF416" s="385"/>
      <c r="AG416" s="385"/>
      <c r="AH416" s="385"/>
      <c r="AI416" s="385"/>
      <c r="AJ416" s="385"/>
      <c r="AK416" s="385"/>
      <c r="AL416" s="385"/>
      <c r="AM416" s="385"/>
      <c r="AN416" s="385"/>
      <c r="AO416" s="385"/>
      <c r="AP416" s="385"/>
      <c r="AQ416" s="385"/>
      <c r="AR416" s="385"/>
      <c r="AS416" s="385"/>
      <c r="AT416" s="385"/>
      <c r="AU416" s="385"/>
      <c r="AV416" s="385"/>
      <c r="AW416" s="385"/>
      <c r="AX416" s="385"/>
    </row>
    <row r="417" spans="1:50" ht="10.8" hidden="1" thickTop="1" x14ac:dyDescent="0.2">
      <c r="A417" s="385"/>
      <c r="B417" s="385"/>
      <c r="C417" s="385"/>
      <c r="D417" s="385"/>
      <c r="E417" s="385"/>
      <c r="F417" s="385"/>
      <c r="G417" s="385"/>
      <c r="H417" s="385"/>
      <c r="I417" s="442"/>
      <c r="J417" s="442"/>
      <c r="K417" s="442"/>
      <c r="L417" s="442"/>
      <c r="M417" s="442"/>
      <c r="N417" s="442"/>
      <c r="O417" s="443"/>
      <c r="P417" s="385"/>
      <c r="Q417" s="385"/>
      <c r="R417" s="385"/>
      <c r="S417" s="385"/>
      <c r="T417" s="385"/>
      <c r="U417" s="385"/>
      <c r="V417" s="385"/>
      <c r="W417" s="385"/>
      <c r="X417" s="385"/>
      <c r="Y417" s="385"/>
      <c r="Z417" s="385"/>
      <c r="AA417" s="385"/>
      <c r="AB417" s="385"/>
      <c r="AC417" s="385"/>
      <c r="AD417" s="385"/>
      <c r="AE417" s="385"/>
      <c r="AF417" s="385"/>
      <c r="AG417" s="385"/>
      <c r="AH417" s="385"/>
      <c r="AI417" s="385"/>
      <c r="AJ417" s="385"/>
      <c r="AK417" s="385"/>
      <c r="AL417" s="385"/>
      <c r="AM417" s="385"/>
      <c r="AN417" s="385"/>
      <c r="AO417" s="385"/>
      <c r="AP417" s="385"/>
      <c r="AQ417" s="385"/>
      <c r="AR417" s="385"/>
      <c r="AS417" s="385"/>
      <c r="AT417" s="385"/>
      <c r="AU417" s="385"/>
      <c r="AV417" s="385"/>
      <c r="AW417" s="385"/>
      <c r="AX417" s="385"/>
    </row>
    <row r="418" spans="1:50" ht="10.8" hidden="1" thickTop="1" x14ac:dyDescent="0.2">
      <c r="A418" s="385"/>
      <c r="B418" s="385"/>
      <c r="C418" s="385"/>
      <c r="D418" s="385"/>
      <c r="E418" s="385"/>
      <c r="F418" s="385"/>
      <c r="G418" s="385"/>
      <c r="H418" s="385"/>
      <c r="I418" s="442"/>
      <c r="J418" s="442"/>
      <c r="K418" s="442"/>
      <c r="L418" s="442"/>
      <c r="M418" s="442"/>
      <c r="N418" s="442"/>
      <c r="O418" s="443"/>
      <c r="P418" s="385"/>
      <c r="Q418" s="385"/>
      <c r="R418" s="385"/>
      <c r="S418" s="385"/>
      <c r="T418" s="385"/>
      <c r="U418" s="385"/>
      <c r="V418" s="385"/>
      <c r="W418" s="385"/>
      <c r="X418" s="385"/>
      <c r="Y418" s="385"/>
      <c r="Z418" s="385"/>
      <c r="AA418" s="385"/>
      <c r="AB418" s="385"/>
      <c r="AC418" s="385"/>
      <c r="AD418" s="385"/>
      <c r="AE418" s="385"/>
      <c r="AF418" s="385"/>
      <c r="AG418" s="385"/>
      <c r="AH418" s="385"/>
      <c r="AI418" s="385"/>
      <c r="AJ418" s="385"/>
      <c r="AK418" s="385"/>
      <c r="AL418" s="385"/>
      <c r="AM418" s="385"/>
      <c r="AN418" s="385"/>
      <c r="AO418" s="385"/>
      <c r="AP418" s="385"/>
      <c r="AQ418" s="385"/>
      <c r="AR418" s="385"/>
      <c r="AS418" s="385"/>
      <c r="AT418" s="385"/>
      <c r="AU418" s="385"/>
      <c r="AV418" s="385"/>
      <c r="AW418" s="385"/>
      <c r="AX418" s="385"/>
    </row>
    <row r="419" spans="1:50" ht="10.8" hidden="1" thickTop="1" x14ac:dyDescent="0.2">
      <c r="A419" s="385"/>
      <c r="B419" s="385"/>
      <c r="C419" s="385"/>
      <c r="D419" s="385"/>
      <c r="E419" s="385"/>
      <c r="F419" s="385"/>
      <c r="G419" s="385"/>
      <c r="H419" s="385"/>
      <c r="I419" s="442"/>
      <c r="J419" s="442"/>
      <c r="K419" s="442"/>
      <c r="L419" s="442"/>
      <c r="M419" s="442"/>
      <c r="N419" s="442"/>
      <c r="O419" s="443"/>
      <c r="P419" s="385"/>
      <c r="Q419" s="385"/>
      <c r="R419" s="385"/>
      <c r="S419" s="385"/>
      <c r="T419" s="385"/>
      <c r="U419" s="385"/>
      <c r="V419" s="385"/>
      <c r="W419" s="385"/>
      <c r="X419" s="385"/>
      <c r="Y419" s="385"/>
      <c r="Z419" s="385"/>
      <c r="AA419" s="385"/>
      <c r="AB419" s="385"/>
      <c r="AC419" s="385"/>
      <c r="AD419" s="385"/>
      <c r="AE419" s="385"/>
      <c r="AF419" s="385"/>
      <c r="AG419" s="385"/>
      <c r="AH419" s="385"/>
      <c r="AI419" s="385"/>
      <c r="AJ419" s="385"/>
      <c r="AK419" s="385"/>
      <c r="AL419" s="385"/>
      <c r="AM419" s="385"/>
      <c r="AN419" s="385"/>
      <c r="AO419" s="385"/>
      <c r="AP419" s="385"/>
      <c r="AQ419" s="385"/>
      <c r="AR419" s="385"/>
      <c r="AS419" s="385"/>
      <c r="AT419" s="385"/>
      <c r="AU419" s="385"/>
      <c r="AV419" s="385"/>
      <c r="AW419" s="385"/>
      <c r="AX419" s="385"/>
    </row>
    <row r="420" spans="1:50" ht="10.8" hidden="1" thickTop="1" x14ac:dyDescent="0.2">
      <c r="A420" s="385"/>
      <c r="B420" s="385"/>
      <c r="C420" s="385"/>
      <c r="D420" s="385"/>
      <c r="E420" s="385"/>
      <c r="F420" s="385"/>
      <c r="G420" s="385"/>
      <c r="H420" s="385"/>
      <c r="I420" s="442"/>
      <c r="J420" s="442"/>
      <c r="K420" s="442"/>
      <c r="L420" s="442"/>
      <c r="M420" s="442"/>
      <c r="N420" s="442"/>
      <c r="O420" s="443"/>
      <c r="P420" s="385"/>
      <c r="Q420" s="385"/>
      <c r="R420" s="385"/>
      <c r="S420" s="385"/>
      <c r="T420" s="385"/>
      <c r="U420" s="385"/>
      <c r="V420" s="385"/>
      <c r="W420" s="385"/>
      <c r="X420" s="385"/>
      <c r="Y420" s="385"/>
      <c r="Z420" s="385"/>
      <c r="AA420" s="385"/>
      <c r="AB420" s="385"/>
      <c r="AC420" s="385"/>
      <c r="AD420" s="385"/>
      <c r="AE420" s="385"/>
      <c r="AF420" s="385"/>
      <c r="AG420" s="385"/>
      <c r="AH420" s="385"/>
      <c r="AI420" s="385"/>
      <c r="AJ420" s="385"/>
      <c r="AK420" s="385"/>
      <c r="AL420" s="385"/>
      <c r="AM420" s="385"/>
      <c r="AN420" s="385"/>
      <c r="AO420" s="385"/>
      <c r="AP420" s="385"/>
      <c r="AQ420" s="385"/>
      <c r="AR420" s="385"/>
      <c r="AS420" s="385"/>
      <c r="AT420" s="385"/>
      <c r="AU420" s="385"/>
      <c r="AV420" s="385"/>
      <c r="AW420" s="385"/>
      <c r="AX420" s="385"/>
    </row>
    <row r="421" spans="1:50" ht="10.8" hidden="1" thickTop="1" x14ac:dyDescent="0.2">
      <c r="A421" s="385"/>
      <c r="B421" s="385"/>
      <c r="C421" s="385"/>
      <c r="D421" s="385"/>
      <c r="E421" s="385"/>
      <c r="F421" s="385"/>
      <c r="G421" s="385"/>
      <c r="H421" s="385"/>
      <c r="I421" s="442"/>
      <c r="J421" s="442"/>
      <c r="K421" s="442"/>
      <c r="L421" s="442"/>
      <c r="M421" s="442"/>
      <c r="N421" s="442"/>
      <c r="O421" s="443"/>
      <c r="P421" s="385"/>
      <c r="Q421" s="385"/>
      <c r="R421" s="385"/>
      <c r="S421" s="385"/>
      <c r="T421" s="385"/>
      <c r="U421" s="385"/>
      <c r="V421" s="385"/>
      <c r="W421" s="385"/>
      <c r="X421" s="385"/>
      <c r="Y421" s="385"/>
      <c r="Z421" s="385"/>
      <c r="AA421" s="385"/>
      <c r="AB421" s="385"/>
      <c r="AC421" s="385"/>
      <c r="AD421" s="385"/>
      <c r="AE421" s="385"/>
      <c r="AF421" s="385"/>
      <c r="AG421" s="385"/>
      <c r="AH421" s="385"/>
      <c r="AI421" s="385"/>
      <c r="AJ421" s="385"/>
      <c r="AK421" s="385"/>
      <c r="AL421" s="385"/>
      <c r="AM421" s="385"/>
      <c r="AN421" s="385"/>
      <c r="AO421" s="385"/>
      <c r="AP421" s="385"/>
      <c r="AQ421" s="385"/>
      <c r="AR421" s="385"/>
      <c r="AS421" s="385"/>
      <c r="AT421" s="385"/>
      <c r="AU421" s="385"/>
      <c r="AV421" s="385"/>
      <c r="AW421" s="385"/>
      <c r="AX421" s="385"/>
    </row>
    <row r="422" spans="1:50" ht="10.8" hidden="1" thickTop="1" x14ac:dyDescent="0.2">
      <c r="A422" s="385"/>
      <c r="B422" s="385"/>
      <c r="C422" s="385"/>
      <c r="D422" s="385"/>
      <c r="E422" s="385"/>
      <c r="F422" s="385"/>
      <c r="G422" s="385"/>
      <c r="H422" s="385"/>
      <c r="I422" s="442"/>
      <c r="J422" s="442"/>
      <c r="K422" s="442"/>
      <c r="L422" s="442"/>
      <c r="M422" s="442"/>
      <c r="N422" s="442"/>
      <c r="O422" s="443"/>
      <c r="P422" s="385"/>
      <c r="Q422" s="385"/>
      <c r="R422" s="385"/>
      <c r="S422" s="385"/>
      <c r="T422" s="385"/>
      <c r="U422" s="385"/>
      <c r="V422" s="385"/>
      <c r="W422" s="385"/>
      <c r="X422" s="385"/>
      <c r="Y422" s="385"/>
      <c r="Z422" s="385"/>
      <c r="AA422" s="385"/>
      <c r="AB422" s="385"/>
      <c r="AC422" s="385"/>
      <c r="AD422" s="385"/>
      <c r="AE422" s="385"/>
      <c r="AF422" s="385"/>
      <c r="AG422" s="385"/>
      <c r="AH422" s="385"/>
      <c r="AI422" s="385"/>
      <c r="AJ422" s="385"/>
      <c r="AK422" s="385"/>
      <c r="AL422" s="385"/>
      <c r="AM422" s="385"/>
      <c r="AN422" s="385"/>
      <c r="AO422" s="385"/>
      <c r="AP422" s="385"/>
      <c r="AQ422" s="385"/>
      <c r="AR422" s="385"/>
      <c r="AS422" s="385"/>
      <c r="AT422" s="385"/>
      <c r="AU422" s="385"/>
      <c r="AV422" s="385"/>
      <c r="AW422" s="385"/>
      <c r="AX422" s="385"/>
    </row>
    <row r="423" spans="1:50" ht="10.8" hidden="1" thickTop="1" x14ac:dyDescent="0.2">
      <c r="A423" s="385"/>
      <c r="B423" s="385"/>
      <c r="C423" s="385"/>
      <c r="D423" s="385"/>
      <c r="E423" s="385"/>
      <c r="F423" s="385"/>
      <c r="G423" s="385"/>
      <c r="H423" s="385"/>
      <c r="I423" s="442"/>
      <c r="J423" s="442"/>
      <c r="K423" s="442"/>
      <c r="L423" s="442"/>
      <c r="M423" s="442"/>
      <c r="N423" s="442"/>
      <c r="O423" s="443"/>
      <c r="P423" s="385"/>
      <c r="Q423" s="385"/>
      <c r="R423" s="385"/>
      <c r="S423" s="385"/>
      <c r="T423" s="385"/>
      <c r="U423" s="385"/>
      <c r="V423" s="385"/>
      <c r="W423" s="385"/>
      <c r="X423" s="385"/>
      <c r="Y423" s="385"/>
      <c r="Z423" s="385"/>
      <c r="AA423" s="385"/>
      <c r="AB423" s="385"/>
      <c r="AC423" s="385"/>
      <c r="AD423" s="385"/>
      <c r="AE423" s="385"/>
      <c r="AF423" s="385"/>
      <c r="AG423" s="385"/>
      <c r="AH423" s="385"/>
      <c r="AI423" s="385"/>
      <c r="AJ423" s="385"/>
      <c r="AK423" s="385"/>
      <c r="AL423" s="385"/>
      <c r="AM423" s="385"/>
      <c r="AN423" s="385"/>
      <c r="AO423" s="385"/>
      <c r="AP423" s="385"/>
      <c r="AQ423" s="385"/>
      <c r="AR423" s="385"/>
      <c r="AS423" s="385"/>
      <c r="AT423" s="385"/>
      <c r="AU423" s="385"/>
      <c r="AV423" s="385"/>
      <c r="AW423" s="385"/>
      <c r="AX423" s="385"/>
    </row>
    <row r="424" spans="1:50" ht="10.8" hidden="1" thickTop="1" x14ac:dyDescent="0.2">
      <c r="A424" s="385"/>
      <c r="B424" s="385"/>
      <c r="C424" s="385"/>
      <c r="D424" s="385"/>
      <c r="E424" s="385"/>
      <c r="F424" s="385"/>
      <c r="G424" s="385"/>
      <c r="H424" s="385"/>
      <c r="I424" s="442"/>
      <c r="J424" s="442"/>
      <c r="K424" s="442"/>
      <c r="L424" s="442"/>
      <c r="M424" s="442"/>
      <c r="N424" s="442"/>
      <c r="O424" s="443"/>
      <c r="P424" s="385"/>
      <c r="Q424" s="385"/>
      <c r="R424" s="385"/>
      <c r="S424" s="385"/>
      <c r="T424" s="385"/>
      <c r="U424" s="385"/>
      <c r="V424" s="385"/>
      <c r="W424" s="385"/>
      <c r="X424" s="385"/>
      <c r="Y424" s="385"/>
      <c r="Z424" s="385"/>
      <c r="AA424" s="385"/>
      <c r="AB424" s="385"/>
      <c r="AC424" s="385"/>
      <c r="AD424" s="385"/>
      <c r="AE424" s="385"/>
      <c r="AF424" s="385"/>
      <c r="AG424" s="385"/>
      <c r="AH424" s="385"/>
      <c r="AI424" s="385"/>
      <c r="AJ424" s="385"/>
      <c r="AK424" s="385"/>
      <c r="AL424" s="385"/>
      <c r="AM424" s="385"/>
      <c r="AN424" s="385"/>
      <c r="AO424" s="385"/>
      <c r="AP424" s="385"/>
      <c r="AQ424" s="385"/>
      <c r="AR424" s="385"/>
      <c r="AS424" s="385"/>
      <c r="AT424" s="385"/>
      <c r="AU424" s="385"/>
      <c r="AV424" s="385"/>
      <c r="AW424" s="385"/>
      <c r="AX424" s="385"/>
    </row>
    <row r="425" spans="1:50" ht="10.8" hidden="1" thickTop="1" x14ac:dyDescent="0.2">
      <c r="A425" s="385"/>
      <c r="B425" s="385"/>
      <c r="C425" s="385"/>
      <c r="D425" s="385"/>
      <c r="E425" s="385"/>
      <c r="F425" s="385"/>
      <c r="G425" s="385"/>
      <c r="H425" s="385"/>
      <c r="I425" s="442"/>
      <c r="J425" s="442"/>
      <c r="K425" s="442"/>
      <c r="L425" s="442"/>
      <c r="M425" s="442"/>
      <c r="N425" s="442"/>
      <c r="O425" s="443"/>
      <c r="P425" s="385"/>
      <c r="Q425" s="385"/>
      <c r="R425" s="385"/>
      <c r="S425" s="385"/>
      <c r="T425" s="385"/>
      <c r="U425" s="385"/>
      <c r="V425" s="385"/>
      <c r="W425" s="385"/>
      <c r="X425" s="385"/>
      <c r="Y425" s="385"/>
      <c r="Z425" s="385"/>
      <c r="AA425" s="385"/>
      <c r="AB425" s="385"/>
      <c r="AC425" s="385"/>
      <c r="AD425" s="385"/>
      <c r="AE425" s="385"/>
      <c r="AF425" s="385"/>
      <c r="AG425" s="385"/>
      <c r="AH425" s="385"/>
      <c r="AI425" s="385"/>
      <c r="AJ425" s="385"/>
      <c r="AK425" s="385"/>
      <c r="AL425" s="385"/>
      <c r="AM425" s="385"/>
      <c r="AN425" s="385"/>
      <c r="AO425" s="385"/>
      <c r="AP425" s="385"/>
      <c r="AQ425" s="385"/>
      <c r="AR425" s="385"/>
      <c r="AS425" s="385"/>
      <c r="AT425" s="385"/>
      <c r="AU425" s="385"/>
      <c r="AV425" s="385"/>
      <c r="AW425" s="385"/>
      <c r="AX425" s="385"/>
    </row>
    <row r="426" spans="1:50" ht="10.8" hidden="1" thickTop="1" x14ac:dyDescent="0.2">
      <c r="A426" s="385"/>
      <c r="B426" s="385"/>
      <c r="C426" s="385"/>
      <c r="D426" s="385"/>
      <c r="E426" s="385"/>
      <c r="F426" s="385"/>
      <c r="G426" s="385"/>
      <c r="H426" s="385"/>
      <c r="I426" s="442"/>
      <c r="J426" s="442"/>
      <c r="K426" s="442"/>
      <c r="L426" s="442"/>
      <c r="M426" s="442"/>
      <c r="N426" s="442"/>
      <c r="O426" s="443"/>
      <c r="P426" s="385"/>
      <c r="Q426" s="385"/>
      <c r="R426" s="385"/>
      <c r="S426" s="385"/>
      <c r="T426" s="385"/>
      <c r="U426" s="385"/>
      <c r="V426" s="385"/>
      <c r="W426" s="385"/>
      <c r="X426" s="385"/>
      <c r="Y426" s="385"/>
      <c r="Z426" s="385"/>
      <c r="AA426" s="385"/>
      <c r="AB426" s="385"/>
      <c r="AC426" s="385"/>
      <c r="AD426" s="385"/>
      <c r="AE426" s="385"/>
      <c r="AF426" s="385"/>
      <c r="AG426" s="385"/>
      <c r="AH426" s="385"/>
      <c r="AI426" s="385"/>
      <c r="AJ426" s="385"/>
      <c r="AK426" s="385"/>
      <c r="AL426" s="385"/>
      <c r="AM426" s="385"/>
      <c r="AN426" s="385"/>
      <c r="AO426" s="385"/>
      <c r="AP426" s="385"/>
      <c r="AQ426" s="385"/>
      <c r="AR426" s="385"/>
      <c r="AS426" s="385"/>
      <c r="AT426" s="385"/>
      <c r="AU426" s="385"/>
      <c r="AV426" s="385"/>
      <c r="AW426" s="385"/>
      <c r="AX426" s="385"/>
    </row>
    <row r="427" spans="1:50" ht="10.8" hidden="1" thickTop="1" x14ac:dyDescent="0.2">
      <c r="A427" s="385"/>
      <c r="B427" s="385"/>
      <c r="C427" s="385"/>
      <c r="D427" s="385"/>
      <c r="E427" s="385"/>
      <c r="F427" s="385"/>
      <c r="G427" s="385"/>
      <c r="H427" s="385"/>
      <c r="I427" s="442"/>
      <c r="J427" s="442"/>
      <c r="K427" s="442"/>
      <c r="L427" s="442"/>
      <c r="M427" s="442"/>
      <c r="N427" s="442"/>
      <c r="O427" s="443"/>
      <c r="P427" s="385"/>
      <c r="Q427" s="385"/>
      <c r="R427" s="385"/>
      <c r="S427" s="385"/>
      <c r="T427" s="385"/>
      <c r="U427" s="385"/>
      <c r="V427" s="385"/>
      <c r="W427" s="385"/>
      <c r="X427" s="385"/>
      <c r="Y427" s="385"/>
      <c r="Z427" s="385"/>
      <c r="AA427" s="385"/>
      <c r="AB427" s="385"/>
      <c r="AC427" s="385"/>
      <c r="AD427" s="385"/>
      <c r="AE427" s="385"/>
      <c r="AF427" s="385"/>
      <c r="AG427" s="385"/>
      <c r="AH427" s="385"/>
      <c r="AI427" s="385"/>
      <c r="AJ427" s="385"/>
      <c r="AK427" s="385"/>
      <c r="AL427" s="385"/>
      <c r="AM427" s="385"/>
      <c r="AN427" s="385"/>
      <c r="AO427" s="385"/>
      <c r="AP427" s="385"/>
      <c r="AQ427" s="385"/>
      <c r="AR427" s="385"/>
      <c r="AS427" s="385"/>
      <c r="AT427" s="385"/>
      <c r="AU427" s="385"/>
      <c r="AV427" s="385"/>
      <c r="AW427" s="385"/>
      <c r="AX427" s="385"/>
    </row>
    <row r="428" spans="1:50" ht="10.8" hidden="1" thickTop="1" x14ac:dyDescent="0.2">
      <c r="A428" s="385"/>
      <c r="B428" s="385"/>
      <c r="C428" s="385"/>
      <c r="D428" s="385"/>
      <c r="E428" s="385"/>
      <c r="F428" s="385"/>
      <c r="G428" s="385"/>
      <c r="H428" s="385"/>
      <c r="I428" s="442"/>
      <c r="J428" s="442"/>
      <c r="K428" s="442"/>
      <c r="L428" s="442"/>
      <c r="M428" s="442"/>
      <c r="N428" s="442"/>
      <c r="O428" s="443"/>
      <c r="P428" s="385"/>
      <c r="Q428" s="385"/>
      <c r="R428" s="385"/>
      <c r="S428" s="385"/>
      <c r="T428" s="385"/>
      <c r="U428" s="385"/>
      <c r="V428" s="385"/>
      <c r="W428" s="385"/>
      <c r="X428" s="385"/>
      <c r="Y428" s="385"/>
      <c r="Z428" s="385"/>
      <c r="AA428" s="385"/>
      <c r="AB428" s="385"/>
      <c r="AC428" s="385"/>
      <c r="AD428" s="385"/>
      <c r="AE428" s="385"/>
      <c r="AF428" s="385"/>
      <c r="AG428" s="385"/>
      <c r="AH428" s="385"/>
      <c r="AI428" s="385"/>
      <c r="AJ428" s="385"/>
      <c r="AK428" s="385"/>
      <c r="AL428" s="385"/>
      <c r="AM428" s="385"/>
      <c r="AN428" s="385"/>
      <c r="AO428" s="385"/>
      <c r="AP428" s="385"/>
      <c r="AQ428" s="385"/>
      <c r="AR428" s="385"/>
      <c r="AS428" s="385"/>
      <c r="AT428" s="385"/>
      <c r="AU428" s="385"/>
      <c r="AV428" s="385"/>
      <c r="AW428" s="385"/>
      <c r="AX428" s="385"/>
    </row>
    <row r="429" spans="1:50" ht="10.8" hidden="1" thickTop="1" x14ac:dyDescent="0.2">
      <c r="A429" s="385"/>
      <c r="B429" s="385"/>
      <c r="C429" s="385"/>
      <c r="D429" s="385"/>
      <c r="E429" s="385"/>
      <c r="F429" s="385"/>
      <c r="G429" s="385"/>
      <c r="H429" s="385"/>
      <c r="I429" s="442"/>
      <c r="J429" s="442"/>
      <c r="K429" s="442"/>
      <c r="L429" s="442"/>
      <c r="M429" s="442"/>
      <c r="N429" s="442"/>
      <c r="O429" s="443"/>
      <c r="P429" s="385"/>
      <c r="Q429" s="385"/>
      <c r="R429" s="385"/>
      <c r="S429" s="385"/>
      <c r="T429" s="385"/>
      <c r="U429" s="385"/>
      <c r="V429" s="385"/>
      <c r="W429" s="385"/>
      <c r="X429" s="385"/>
      <c r="Y429" s="385"/>
      <c r="Z429" s="385"/>
      <c r="AA429" s="385"/>
      <c r="AB429" s="385"/>
      <c r="AC429" s="385"/>
      <c r="AD429" s="385"/>
      <c r="AE429" s="385"/>
      <c r="AF429" s="385"/>
      <c r="AG429" s="385"/>
      <c r="AH429" s="385"/>
      <c r="AI429" s="385"/>
      <c r="AJ429" s="385"/>
      <c r="AK429" s="385"/>
      <c r="AL429" s="385"/>
      <c r="AM429" s="385"/>
      <c r="AN429" s="385"/>
      <c r="AO429" s="385"/>
      <c r="AP429" s="385"/>
      <c r="AQ429" s="385"/>
      <c r="AR429" s="385"/>
      <c r="AS429" s="385"/>
      <c r="AT429" s="385"/>
      <c r="AU429" s="385"/>
      <c r="AV429" s="385"/>
      <c r="AW429" s="385"/>
      <c r="AX429" s="385"/>
    </row>
    <row r="430" spans="1:50" ht="10.8" hidden="1" thickTop="1" x14ac:dyDescent="0.2">
      <c r="A430" s="385"/>
      <c r="B430" s="385"/>
      <c r="C430" s="385"/>
      <c r="D430" s="385"/>
      <c r="E430" s="385"/>
      <c r="F430" s="385"/>
      <c r="G430" s="385"/>
      <c r="H430" s="385"/>
      <c r="I430" s="442"/>
      <c r="J430" s="442"/>
      <c r="K430" s="442"/>
      <c r="L430" s="442"/>
      <c r="M430" s="442"/>
      <c r="N430" s="442"/>
      <c r="O430" s="443"/>
      <c r="P430" s="385"/>
      <c r="Q430" s="385"/>
      <c r="R430" s="385"/>
      <c r="S430" s="385"/>
      <c r="T430" s="385"/>
      <c r="U430" s="385"/>
      <c r="V430" s="385"/>
      <c r="W430" s="385"/>
      <c r="X430" s="385"/>
      <c r="Y430" s="385"/>
      <c r="Z430" s="385"/>
      <c r="AA430" s="385"/>
      <c r="AB430" s="385"/>
      <c r="AC430" s="385"/>
      <c r="AD430" s="385"/>
      <c r="AE430" s="385"/>
      <c r="AF430" s="385"/>
      <c r="AG430" s="385"/>
      <c r="AH430" s="385"/>
      <c r="AI430" s="385"/>
      <c r="AJ430" s="385"/>
      <c r="AK430" s="385"/>
      <c r="AL430" s="385"/>
      <c r="AM430" s="385"/>
      <c r="AN430" s="385"/>
      <c r="AO430" s="385"/>
      <c r="AP430" s="385"/>
      <c r="AQ430" s="385"/>
      <c r="AR430" s="385"/>
      <c r="AS430" s="385"/>
      <c r="AT430" s="385"/>
      <c r="AU430" s="385"/>
      <c r="AV430" s="385"/>
      <c r="AW430" s="385"/>
      <c r="AX430" s="385"/>
    </row>
    <row r="431" spans="1:50" ht="10.8" hidden="1" thickTop="1" x14ac:dyDescent="0.2">
      <c r="A431" s="385"/>
      <c r="B431" s="385"/>
      <c r="C431" s="385"/>
      <c r="D431" s="385"/>
      <c r="E431" s="385"/>
      <c r="F431" s="385"/>
      <c r="G431" s="385"/>
      <c r="H431" s="385"/>
      <c r="I431" s="442"/>
      <c r="J431" s="442"/>
      <c r="K431" s="442"/>
      <c r="L431" s="442"/>
      <c r="M431" s="442"/>
      <c r="N431" s="442"/>
      <c r="O431" s="443"/>
      <c r="P431" s="385"/>
      <c r="Q431" s="385"/>
      <c r="R431" s="385"/>
      <c r="S431" s="385"/>
      <c r="T431" s="385"/>
      <c r="U431" s="385"/>
      <c r="V431" s="385"/>
      <c r="W431" s="385"/>
      <c r="X431" s="385"/>
      <c r="Y431" s="385"/>
      <c r="Z431" s="385"/>
      <c r="AA431" s="385"/>
      <c r="AB431" s="385"/>
      <c r="AC431" s="385"/>
      <c r="AD431" s="385"/>
      <c r="AE431" s="385"/>
      <c r="AF431" s="385"/>
      <c r="AG431" s="385"/>
      <c r="AH431" s="385"/>
      <c r="AI431" s="385"/>
      <c r="AJ431" s="385"/>
      <c r="AK431" s="385"/>
      <c r="AL431" s="385"/>
      <c r="AM431" s="385"/>
      <c r="AN431" s="385"/>
      <c r="AO431" s="385"/>
      <c r="AP431" s="385"/>
      <c r="AQ431" s="385"/>
      <c r="AR431" s="385"/>
      <c r="AS431" s="385"/>
      <c r="AT431" s="385"/>
      <c r="AU431" s="385"/>
      <c r="AV431" s="385"/>
      <c r="AW431" s="385"/>
      <c r="AX431" s="385"/>
    </row>
    <row r="432" spans="1:50" ht="10.8" hidden="1" thickTop="1" x14ac:dyDescent="0.2">
      <c r="A432" s="385"/>
      <c r="B432" s="385"/>
      <c r="C432" s="385"/>
      <c r="D432" s="385"/>
      <c r="E432" s="385"/>
      <c r="F432" s="385"/>
      <c r="G432" s="385"/>
      <c r="H432" s="385"/>
      <c r="I432" s="442"/>
      <c r="J432" s="442"/>
      <c r="K432" s="442"/>
      <c r="L432" s="442"/>
      <c r="M432" s="442"/>
      <c r="N432" s="442"/>
      <c r="O432" s="443"/>
      <c r="P432" s="385"/>
      <c r="Q432" s="385"/>
      <c r="R432" s="385"/>
      <c r="S432" s="385"/>
      <c r="T432" s="385"/>
      <c r="U432" s="385"/>
      <c r="V432" s="385"/>
      <c r="W432" s="385"/>
      <c r="X432" s="385"/>
      <c r="Y432" s="385"/>
      <c r="Z432" s="385"/>
      <c r="AA432" s="385"/>
      <c r="AB432" s="385"/>
      <c r="AC432" s="385"/>
      <c r="AD432" s="385"/>
      <c r="AE432" s="385"/>
      <c r="AF432" s="385"/>
      <c r="AG432" s="385"/>
      <c r="AH432" s="385"/>
      <c r="AI432" s="385"/>
      <c r="AJ432" s="385"/>
      <c r="AK432" s="385"/>
      <c r="AL432" s="385"/>
      <c r="AM432" s="385"/>
      <c r="AN432" s="385"/>
      <c r="AO432" s="385"/>
      <c r="AP432" s="385"/>
      <c r="AQ432" s="385"/>
      <c r="AR432" s="385"/>
      <c r="AS432" s="385"/>
      <c r="AT432" s="385"/>
      <c r="AU432" s="385"/>
      <c r="AV432" s="385"/>
      <c r="AW432" s="385"/>
      <c r="AX432" s="385"/>
    </row>
    <row r="433" spans="1:50" ht="10.8" hidden="1" thickTop="1" x14ac:dyDescent="0.2">
      <c r="A433" s="385"/>
      <c r="B433" s="385"/>
      <c r="C433" s="385"/>
      <c r="D433" s="385"/>
      <c r="E433" s="385"/>
      <c r="F433" s="385"/>
      <c r="G433" s="385"/>
      <c r="H433" s="385"/>
      <c r="I433" s="442"/>
      <c r="J433" s="442"/>
      <c r="K433" s="442"/>
      <c r="L433" s="442"/>
      <c r="M433" s="442"/>
      <c r="N433" s="442"/>
      <c r="O433" s="443"/>
      <c r="P433" s="385"/>
      <c r="Q433" s="385"/>
      <c r="R433" s="385"/>
      <c r="S433" s="385"/>
      <c r="T433" s="385"/>
      <c r="U433" s="385"/>
      <c r="V433" s="385"/>
      <c r="W433" s="385"/>
      <c r="X433" s="385"/>
      <c r="Y433" s="385"/>
      <c r="Z433" s="385"/>
      <c r="AA433" s="385"/>
      <c r="AB433" s="385"/>
      <c r="AC433" s="385"/>
      <c r="AD433" s="385"/>
      <c r="AE433" s="385"/>
      <c r="AF433" s="385"/>
      <c r="AG433" s="385"/>
      <c r="AH433" s="385"/>
      <c r="AI433" s="385"/>
      <c r="AJ433" s="385"/>
      <c r="AK433" s="385"/>
      <c r="AL433" s="385"/>
      <c r="AM433" s="385"/>
      <c r="AN433" s="385"/>
      <c r="AO433" s="385"/>
      <c r="AP433" s="385"/>
      <c r="AQ433" s="385"/>
      <c r="AR433" s="385"/>
      <c r="AS433" s="385"/>
      <c r="AT433" s="385"/>
      <c r="AU433" s="385"/>
      <c r="AV433" s="385"/>
      <c r="AW433" s="385"/>
      <c r="AX433" s="385"/>
    </row>
    <row r="434" spans="1:50" ht="10.8" hidden="1" thickTop="1" x14ac:dyDescent="0.2">
      <c r="A434" s="385"/>
      <c r="B434" s="385"/>
      <c r="C434" s="385"/>
      <c r="D434" s="385"/>
      <c r="E434" s="385"/>
      <c r="F434" s="385"/>
      <c r="G434" s="385"/>
      <c r="H434" s="385"/>
      <c r="I434" s="442"/>
      <c r="J434" s="442"/>
      <c r="K434" s="442"/>
      <c r="L434" s="442"/>
      <c r="M434" s="442"/>
      <c r="N434" s="442"/>
      <c r="O434" s="443"/>
      <c r="P434" s="385"/>
      <c r="Q434" s="385"/>
      <c r="R434" s="385"/>
      <c r="S434" s="385"/>
      <c r="T434" s="385"/>
      <c r="U434" s="385"/>
      <c r="V434" s="385"/>
      <c r="W434" s="385"/>
      <c r="X434" s="385"/>
      <c r="Y434" s="385"/>
      <c r="Z434" s="385"/>
      <c r="AA434" s="385"/>
      <c r="AB434" s="385"/>
      <c r="AC434" s="385"/>
      <c r="AD434" s="385"/>
      <c r="AE434" s="385"/>
      <c r="AF434" s="385"/>
      <c r="AG434" s="385"/>
      <c r="AH434" s="385"/>
      <c r="AI434" s="385"/>
      <c r="AJ434" s="385"/>
      <c r="AK434" s="385"/>
      <c r="AL434" s="385"/>
      <c r="AM434" s="385"/>
      <c r="AN434" s="385"/>
      <c r="AO434" s="385"/>
      <c r="AP434" s="385"/>
      <c r="AQ434" s="385"/>
      <c r="AR434" s="385"/>
      <c r="AS434" s="385"/>
      <c r="AT434" s="385"/>
      <c r="AU434" s="385"/>
      <c r="AV434" s="385"/>
      <c r="AW434" s="385"/>
      <c r="AX434" s="385"/>
    </row>
    <row r="435" spans="1:50" ht="10.8" hidden="1" thickTop="1" x14ac:dyDescent="0.2">
      <c r="A435" s="385"/>
      <c r="B435" s="385"/>
      <c r="C435" s="385"/>
      <c r="D435" s="385"/>
      <c r="E435" s="385"/>
      <c r="F435" s="385"/>
      <c r="G435" s="385"/>
      <c r="H435" s="385"/>
      <c r="I435" s="442"/>
      <c r="J435" s="442"/>
      <c r="K435" s="442"/>
      <c r="L435" s="442"/>
      <c r="M435" s="442"/>
      <c r="N435" s="442"/>
      <c r="O435" s="443"/>
      <c r="P435" s="385"/>
      <c r="Q435" s="385"/>
      <c r="R435" s="385"/>
      <c r="S435" s="385"/>
      <c r="T435" s="385"/>
      <c r="U435" s="385"/>
      <c r="V435" s="385"/>
      <c r="W435" s="385"/>
      <c r="X435" s="385"/>
      <c r="Y435" s="385"/>
      <c r="Z435" s="385"/>
      <c r="AA435" s="385"/>
      <c r="AB435" s="385"/>
      <c r="AC435" s="385"/>
      <c r="AD435" s="385"/>
      <c r="AE435" s="385"/>
      <c r="AF435" s="385"/>
      <c r="AG435" s="385"/>
      <c r="AH435" s="385"/>
      <c r="AI435" s="385"/>
      <c r="AJ435" s="385"/>
      <c r="AK435" s="385"/>
      <c r="AL435" s="385"/>
      <c r="AM435" s="385"/>
      <c r="AN435" s="385"/>
      <c r="AO435" s="385"/>
      <c r="AP435" s="385"/>
      <c r="AQ435" s="385"/>
      <c r="AR435" s="385"/>
      <c r="AS435" s="385"/>
      <c r="AT435" s="385"/>
      <c r="AU435" s="385"/>
      <c r="AV435" s="385"/>
      <c r="AW435" s="385"/>
      <c r="AX435" s="385"/>
    </row>
    <row r="436" spans="1:50" ht="10.8" hidden="1" thickTop="1" x14ac:dyDescent="0.2">
      <c r="A436" s="385"/>
      <c r="B436" s="385"/>
      <c r="C436" s="385"/>
      <c r="D436" s="385"/>
      <c r="E436" s="385"/>
      <c r="F436" s="385"/>
      <c r="G436" s="385"/>
      <c r="H436" s="385"/>
      <c r="I436" s="442"/>
      <c r="J436" s="442"/>
      <c r="K436" s="442"/>
      <c r="L436" s="442"/>
      <c r="M436" s="442"/>
      <c r="N436" s="442"/>
      <c r="O436" s="443"/>
      <c r="P436" s="385"/>
      <c r="Q436" s="385"/>
      <c r="R436" s="385"/>
      <c r="S436" s="385"/>
      <c r="T436" s="385"/>
      <c r="U436" s="385"/>
      <c r="V436" s="385"/>
      <c r="W436" s="385"/>
      <c r="X436" s="385"/>
      <c r="Y436" s="385"/>
      <c r="Z436" s="385"/>
      <c r="AA436" s="385"/>
      <c r="AB436" s="385"/>
      <c r="AC436" s="385"/>
      <c r="AD436" s="385"/>
      <c r="AE436" s="385"/>
      <c r="AF436" s="385"/>
      <c r="AG436" s="385"/>
      <c r="AH436" s="385"/>
      <c r="AI436" s="385"/>
      <c r="AJ436" s="385"/>
      <c r="AK436" s="385"/>
      <c r="AL436" s="385"/>
      <c r="AM436" s="385"/>
      <c r="AN436" s="385"/>
      <c r="AO436" s="385"/>
      <c r="AP436" s="385"/>
      <c r="AQ436" s="385"/>
      <c r="AR436" s="385"/>
      <c r="AS436" s="385"/>
      <c r="AT436" s="385"/>
      <c r="AU436" s="385"/>
      <c r="AV436" s="385"/>
      <c r="AW436" s="385"/>
      <c r="AX436" s="385"/>
    </row>
    <row r="437" spans="1:50" ht="10.8" hidden="1" thickTop="1" x14ac:dyDescent="0.2">
      <c r="A437" s="385"/>
      <c r="B437" s="385"/>
      <c r="C437" s="385"/>
      <c r="D437" s="385"/>
      <c r="E437" s="385"/>
      <c r="F437" s="385"/>
      <c r="G437" s="385"/>
      <c r="H437" s="385"/>
      <c r="I437" s="442"/>
      <c r="J437" s="442"/>
      <c r="K437" s="442"/>
      <c r="L437" s="442"/>
      <c r="M437" s="442"/>
      <c r="N437" s="442"/>
      <c r="O437" s="443"/>
      <c r="P437" s="385"/>
      <c r="Q437" s="385"/>
      <c r="R437" s="385"/>
      <c r="S437" s="385"/>
      <c r="T437" s="385"/>
      <c r="U437" s="385"/>
      <c r="V437" s="385"/>
      <c r="W437" s="385"/>
      <c r="X437" s="385"/>
      <c r="Y437" s="385"/>
      <c r="Z437" s="385"/>
      <c r="AA437" s="385"/>
      <c r="AB437" s="385"/>
      <c r="AC437" s="385"/>
      <c r="AD437" s="385"/>
      <c r="AE437" s="385"/>
      <c r="AF437" s="385"/>
      <c r="AG437" s="385"/>
      <c r="AH437" s="385"/>
      <c r="AI437" s="385"/>
      <c r="AJ437" s="385"/>
      <c r="AK437" s="385"/>
      <c r="AL437" s="385"/>
      <c r="AM437" s="385"/>
      <c r="AN437" s="385"/>
      <c r="AO437" s="385"/>
      <c r="AP437" s="385"/>
      <c r="AQ437" s="385"/>
      <c r="AR437" s="385"/>
      <c r="AS437" s="385"/>
      <c r="AT437" s="385"/>
      <c r="AU437" s="385"/>
      <c r="AV437" s="385"/>
      <c r="AW437" s="385"/>
      <c r="AX437" s="385"/>
    </row>
    <row r="438" spans="1:50" ht="10.8" hidden="1" thickTop="1" x14ac:dyDescent="0.2">
      <c r="A438" s="385"/>
      <c r="B438" s="385"/>
      <c r="C438" s="385"/>
      <c r="D438" s="385"/>
      <c r="E438" s="385"/>
      <c r="F438" s="385"/>
      <c r="G438" s="385"/>
      <c r="H438" s="385"/>
      <c r="I438" s="442"/>
      <c r="J438" s="442"/>
      <c r="K438" s="442"/>
      <c r="L438" s="442"/>
      <c r="M438" s="442"/>
      <c r="N438" s="442"/>
      <c r="O438" s="443"/>
      <c r="P438" s="385"/>
      <c r="Q438" s="385"/>
      <c r="R438" s="385"/>
      <c r="S438" s="385"/>
      <c r="T438" s="385"/>
      <c r="U438" s="385"/>
      <c r="V438" s="385"/>
      <c r="W438" s="385"/>
      <c r="X438" s="385"/>
      <c r="Y438" s="385"/>
      <c r="Z438" s="385"/>
      <c r="AA438" s="385"/>
      <c r="AB438" s="385"/>
      <c r="AC438" s="385"/>
      <c r="AD438" s="385"/>
      <c r="AE438" s="385"/>
      <c r="AF438" s="385"/>
      <c r="AG438" s="385"/>
      <c r="AH438" s="385"/>
      <c r="AI438" s="385"/>
      <c r="AJ438" s="385"/>
      <c r="AK438" s="385"/>
      <c r="AL438" s="385"/>
      <c r="AM438" s="385"/>
      <c r="AN438" s="385"/>
      <c r="AO438" s="385"/>
      <c r="AP438" s="385"/>
      <c r="AQ438" s="385"/>
      <c r="AR438" s="385"/>
      <c r="AS438" s="385"/>
      <c r="AT438" s="385"/>
      <c r="AU438" s="385"/>
      <c r="AV438" s="385"/>
      <c r="AW438" s="385"/>
      <c r="AX438" s="385"/>
    </row>
    <row r="439" spans="1:50" ht="10.8" hidden="1" thickTop="1" x14ac:dyDescent="0.2">
      <c r="A439" s="385"/>
      <c r="B439" s="385"/>
      <c r="C439" s="385"/>
      <c r="D439" s="385"/>
      <c r="E439" s="385"/>
      <c r="F439" s="385"/>
      <c r="G439" s="385"/>
      <c r="H439" s="385"/>
      <c r="I439" s="442"/>
      <c r="J439" s="442"/>
      <c r="K439" s="442"/>
      <c r="L439" s="442"/>
      <c r="M439" s="442"/>
      <c r="N439" s="442"/>
      <c r="O439" s="443"/>
      <c r="P439" s="385"/>
      <c r="Q439" s="385"/>
      <c r="R439" s="385"/>
      <c r="S439" s="385"/>
      <c r="T439" s="385"/>
      <c r="U439" s="385"/>
      <c r="V439" s="385"/>
      <c r="W439" s="385"/>
      <c r="X439" s="385"/>
      <c r="Y439" s="385"/>
      <c r="Z439" s="385"/>
      <c r="AA439" s="385"/>
      <c r="AB439" s="385"/>
      <c r="AC439" s="385"/>
      <c r="AD439" s="385"/>
      <c r="AE439" s="385"/>
      <c r="AF439" s="385"/>
      <c r="AG439" s="385"/>
      <c r="AH439" s="385"/>
      <c r="AI439" s="385"/>
      <c r="AJ439" s="385"/>
      <c r="AK439" s="385"/>
      <c r="AL439" s="385"/>
      <c r="AM439" s="385"/>
      <c r="AN439" s="385"/>
      <c r="AO439" s="385"/>
      <c r="AP439" s="385"/>
      <c r="AQ439" s="385"/>
      <c r="AR439" s="385"/>
      <c r="AS439" s="385"/>
      <c r="AT439" s="385"/>
      <c r="AU439" s="385"/>
      <c r="AV439" s="385"/>
      <c r="AW439" s="385"/>
      <c r="AX439" s="385"/>
    </row>
    <row r="440" spans="1:50" ht="10.8" hidden="1" thickTop="1" x14ac:dyDescent="0.2">
      <c r="A440" s="385"/>
      <c r="B440" s="385"/>
      <c r="C440" s="385"/>
      <c r="D440" s="385"/>
      <c r="E440" s="385"/>
      <c r="F440" s="385"/>
      <c r="G440" s="385"/>
      <c r="H440" s="385"/>
      <c r="I440" s="442"/>
      <c r="J440" s="442"/>
      <c r="K440" s="442"/>
      <c r="L440" s="442"/>
      <c r="M440" s="442"/>
      <c r="N440" s="442"/>
      <c r="O440" s="443"/>
      <c r="P440" s="385"/>
      <c r="Q440" s="385"/>
      <c r="R440" s="385"/>
      <c r="S440" s="385"/>
      <c r="T440" s="385"/>
      <c r="U440" s="385"/>
      <c r="V440" s="385"/>
      <c r="W440" s="385"/>
      <c r="X440" s="385"/>
      <c r="Y440" s="385"/>
      <c r="Z440" s="385"/>
      <c r="AA440" s="385"/>
      <c r="AB440" s="385"/>
      <c r="AC440" s="385"/>
      <c r="AD440" s="385"/>
      <c r="AE440" s="385"/>
      <c r="AF440" s="385"/>
      <c r="AG440" s="385"/>
      <c r="AH440" s="385"/>
      <c r="AI440" s="385"/>
      <c r="AJ440" s="385"/>
      <c r="AK440" s="385"/>
      <c r="AL440" s="385"/>
      <c r="AM440" s="385"/>
      <c r="AN440" s="385"/>
      <c r="AO440" s="385"/>
      <c r="AP440" s="385"/>
      <c r="AQ440" s="385"/>
      <c r="AR440" s="385"/>
      <c r="AS440" s="385"/>
      <c r="AT440" s="385"/>
      <c r="AU440" s="385"/>
      <c r="AV440" s="385"/>
      <c r="AW440" s="385"/>
      <c r="AX440" s="385"/>
    </row>
    <row r="441" spans="1:50" ht="10.8" hidden="1" thickTop="1" x14ac:dyDescent="0.2">
      <c r="A441" s="385"/>
      <c r="B441" s="385"/>
      <c r="C441" s="385"/>
      <c r="D441" s="385"/>
      <c r="E441" s="385"/>
      <c r="F441" s="385"/>
      <c r="G441" s="385"/>
      <c r="H441" s="385"/>
      <c r="I441" s="442"/>
      <c r="J441" s="442"/>
      <c r="K441" s="442"/>
      <c r="L441" s="442"/>
      <c r="M441" s="442"/>
      <c r="N441" s="442"/>
      <c r="O441" s="443"/>
      <c r="P441" s="385"/>
      <c r="Q441" s="385"/>
      <c r="R441" s="385"/>
      <c r="S441" s="385"/>
      <c r="T441" s="385"/>
      <c r="U441" s="385"/>
      <c r="V441" s="385"/>
      <c r="W441" s="385"/>
      <c r="X441" s="385"/>
      <c r="Y441" s="385"/>
      <c r="Z441" s="385"/>
      <c r="AA441" s="385"/>
      <c r="AB441" s="385"/>
      <c r="AC441" s="385"/>
      <c r="AD441" s="385"/>
      <c r="AE441" s="385"/>
      <c r="AF441" s="385"/>
      <c r="AG441" s="385"/>
      <c r="AH441" s="385"/>
      <c r="AI441" s="385"/>
      <c r="AJ441" s="385"/>
      <c r="AK441" s="385"/>
      <c r="AL441" s="385"/>
      <c r="AM441" s="385"/>
      <c r="AN441" s="385"/>
      <c r="AO441" s="385"/>
      <c r="AP441" s="385"/>
      <c r="AQ441" s="385"/>
      <c r="AR441" s="385"/>
      <c r="AS441" s="385"/>
      <c r="AT441" s="385"/>
      <c r="AU441" s="385"/>
      <c r="AV441" s="385"/>
      <c r="AW441" s="385"/>
      <c r="AX441" s="385"/>
    </row>
    <row r="442" spans="1:50" ht="10.8" hidden="1" thickTop="1" x14ac:dyDescent="0.2">
      <c r="A442" s="385"/>
      <c r="B442" s="385"/>
      <c r="C442" s="385"/>
      <c r="D442" s="385"/>
      <c r="E442" s="385"/>
      <c r="F442" s="385"/>
      <c r="G442" s="385"/>
      <c r="H442" s="385"/>
      <c r="I442" s="442"/>
      <c r="J442" s="442"/>
      <c r="K442" s="442"/>
      <c r="L442" s="442"/>
      <c r="M442" s="442"/>
      <c r="N442" s="442"/>
      <c r="O442" s="443"/>
      <c r="P442" s="385"/>
      <c r="Q442" s="385"/>
      <c r="R442" s="385"/>
      <c r="S442" s="385"/>
      <c r="T442" s="385"/>
      <c r="U442" s="385"/>
      <c r="V442" s="385"/>
      <c r="W442" s="385"/>
      <c r="X442" s="385"/>
      <c r="Y442" s="385"/>
      <c r="Z442" s="385"/>
      <c r="AA442" s="385"/>
      <c r="AB442" s="385"/>
      <c r="AC442" s="385"/>
      <c r="AD442" s="385"/>
      <c r="AE442" s="385"/>
      <c r="AF442" s="385"/>
      <c r="AG442" s="385"/>
      <c r="AH442" s="385"/>
      <c r="AI442" s="385"/>
      <c r="AJ442" s="385"/>
      <c r="AK442" s="385"/>
      <c r="AL442" s="385"/>
      <c r="AM442" s="385"/>
      <c r="AN442" s="385"/>
      <c r="AO442" s="385"/>
      <c r="AP442" s="385"/>
      <c r="AQ442" s="385"/>
      <c r="AR442" s="385"/>
      <c r="AS442" s="385"/>
      <c r="AT442" s="385"/>
      <c r="AU442" s="385"/>
      <c r="AV442" s="385"/>
      <c r="AW442" s="385"/>
      <c r="AX442" s="385"/>
    </row>
    <row r="443" spans="1:50" ht="10.8" hidden="1" thickTop="1" x14ac:dyDescent="0.2">
      <c r="A443" s="385"/>
      <c r="B443" s="385"/>
      <c r="C443" s="385"/>
      <c r="D443" s="385"/>
      <c r="E443" s="385"/>
      <c r="F443" s="385"/>
      <c r="G443" s="385"/>
      <c r="H443" s="385"/>
      <c r="I443" s="442"/>
      <c r="J443" s="442"/>
      <c r="K443" s="442"/>
      <c r="L443" s="442"/>
      <c r="M443" s="442"/>
      <c r="N443" s="442"/>
      <c r="O443" s="443"/>
      <c r="P443" s="385"/>
      <c r="Q443" s="385"/>
      <c r="R443" s="385"/>
      <c r="S443" s="385"/>
      <c r="T443" s="385"/>
      <c r="U443" s="385"/>
      <c r="V443" s="385"/>
      <c r="W443" s="385"/>
      <c r="X443" s="385"/>
      <c r="Y443" s="385"/>
      <c r="Z443" s="385"/>
      <c r="AA443" s="385"/>
      <c r="AB443" s="385"/>
      <c r="AC443" s="385"/>
      <c r="AD443" s="385"/>
      <c r="AE443" s="385"/>
      <c r="AF443" s="385"/>
      <c r="AG443" s="385"/>
      <c r="AH443" s="385"/>
      <c r="AI443" s="385"/>
      <c r="AJ443" s="385"/>
      <c r="AK443" s="385"/>
      <c r="AL443" s="385"/>
      <c r="AM443" s="385"/>
      <c r="AN443" s="385"/>
      <c r="AO443" s="385"/>
      <c r="AP443" s="385"/>
      <c r="AQ443" s="385"/>
      <c r="AR443" s="385"/>
      <c r="AS443" s="385"/>
      <c r="AT443" s="385"/>
      <c r="AU443" s="385"/>
      <c r="AV443" s="385"/>
      <c r="AW443" s="385"/>
      <c r="AX443" s="385"/>
    </row>
    <row r="444" spans="1:50" ht="10.8" hidden="1" thickTop="1" x14ac:dyDescent="0.2">
      <c r="A444" s="385"/>
      <c r="B444" s="385"/>
      <c r="C444" s="385"/>
      <c r="D444" s="385"/>
      <c r="E444" s="385"/>
      <c r="F444" s="385"/>
      <c r="G444" s="385"/>
      <c r="H444" s="385"/>
      <c r="I444" s="442"/>
      <c r="J444" s="442"/>
      <c r="K444" s="442"/>
      <c r="L444" s="442"/>
      <c r="M444" s="442"/>
      <c r="N444" s="442"/>
      <c r="O444" s="443"/>
      <c r="P444" s="385"/>
      <c r="Q444" s="385"/>
      <c r="R444" s="385"/>
      <c r="S444" s="385"/>
      <c r="T444" s="385"/>
      <c r="U444" s="385"/>
      <c r="V444" s="385"/>
      <c r="W444" s="385"/>
      <c r="X444" s="385"/>
      <c r="Y444" s="385"/>
      <c r="Z444" s="385"/>
      <c r="AA444" s="385"/>
      <c r="AB444" s="385"/>
      <c r="AC444" s="385"/>
      <c r="AD444" s="385"/>
      <c r="AE444" s="385"/>
      <c r="AF444" s="385"/>
      <c r="AG444" s="385"/>
      <c r="AH444" s="385"/>
      <c r="AI444" s="385"/>
      <c r="AJ444" s="385"/>
      <c r="AK444" s="385"/>
      <c r="AL444" s="385"/>
      <c r="AM444" s="385"/>
      <c r="AN444" s="385"/>
      <c r="AO444" s="385"/>
      <c r="AP444" s="385"/>
      <c r="AQ444" s="385"/>
      <c r="AR444" s="385"/>
      <c r="AS444" s="385"/>
      <c r="AT444" s="385"/>
      <c r="AU444" s="385"/>
      <c r="AV444" s="385"/>
      <c r="AW444" s="385"/>
      <c r="AX444" s="385"/>
    </row>
    <row r="445" spans="1:50" ht="10.8" hidden="1" thickTop="1" x14ac:dyDescent="0.2">
      <c r="A445" s="385"/>
      <c r="B445" s="444"/>
      <c r="C445" s="385"/>
      <c r="D445" s="385"/>
      <c r="E445" s="385"/>
      <c r="F445" s="385"/>
      <c r="G445" s="385"/>
      <c r="H445" s="385"/>
      <c r="I445" s="442"/>
      <c r="J445" s="442"/>
      <c r="K445" s="442"/>
      <c r="L445" s="442"/>
      <c r="M445" s="442"/>
      <c r="N445" s="442"/>
      <c r="O445" s="443"/>
      <c r="P445" s="385"/>
      <c r="Q445" s="385"/>
      <c r="R445" s="385"/>
      <c r="S445" s="385"/>
      <c r="T445" s="385"/>
      <c r="U445" s="385"/>
      <c r="V445" s="385"/>
      <c r="W445" s="385"/>
      <c r="X445" s="385"/>
      <c r="Y445" s="385"/>
      <c r="Z445" s="385"/>
      <c r="AA445" s="385"/>
      <c r="AB445" s="385"/>
      <c r="AC445" s="385"/>
      <c r="AD445" s="385"/>
      <c r="AE445" s="385"/>
      <c r="AF445" s="385"/>
      <c r="AG445" s="385"/>
      <c r="AH445" s="385"/>
      <c r="AI445" s="385"/>
      <c r="AJ445" s="385"/>
      <c r="AK445" s="385"/>
      <c r="AL445" s="385"/>
      <c r="AM445" s="385"/>
      <c r="AN445" s="385"/>
      <c r="AO445" s="385"/>
      <c r="AP445" s="385"/>
      <c r="AQ445" s="385"/>
      <c r="AR445" s="385"/>
      <c r="AS445" s="385"/>
      <c r="AT445" s="385"/>
      <c r="AU445" s="385"/>
      <c r="AV445" s="385"/>
      <c r="AW445" s="385"/>
      <c r="AX445" s="385"/>
    </row>
    <row r="446" spans="1:50" ht="10.8" hidden="1" thickTop="1" x14ac:dyDescent="0.2">
      <c r="A446" s="385"/>
      <c r="B446" s="385"/>
      <c r="C446" s="385"/>
      <c r="D446" s="385"/>
      <c r="E446" s="385"/>
      <c r="F446" s="385"/>
      <c r="G446" s="385"/>
      <c r="H446" s="385"/>
      <c r="I446" s="442"/>
      <c r="J446" s="442"/>
      <c r="K446" s="442"/>
      <c r="L446" s="442"/>
      <c r="M446" s="442"/>
      <c r="N446" s="442"/>
      <c r="O446" s="443"/>
      <c r="P446" s="385"/>
      <c r="Q446" s="385"/>
      <c r="R446" s="385"/>
      <c r="S446" s="385"/>
      <c r="T446" s="385"/>
      <c r="U446" s="385"/>
      <c r="V446" s="385"/>
      <c r="W446" s="385"/>
      <c r="X446" s="385"/>
      <c r="Y446" s="385"/>
      <c r="Z446" s="385"/>
      <c r="AA446" s="385"/>
      <c r="AB446" s="385"/>
      <c r="AC446" s="385"/>
      <c r="AD446" s="385"/>
      <c r="AE446" s="385"/>
      <c r="AF446" s="385"/>
      <c r="AG446" s="385"/>
      <c r="AH446" s="385"/>
      <c r="AI446" s="385"/>
      <c r="AJ446" s="385"/>
      <c r="AK446" s="385"/>
      <c r="AL446" s="385"/>
      <c r="AM446" s="385"/>
      <c r="AN446" s="385"/>
      <c r="AO446" s="385"/>
      <c r="AP446" s="385"/>
      <c r="AQ446" s="385"/>
      <c r="AR446" s="385"/>
      <c r="AS446" s="385"/>
      <c r="AT446" s="385"/>
      <c r="AU446" s="385"/>
      <c r="AV446" s="385"/>
      <c r="AW446" s="385"/>
      <c r="AX446" s="385"/>
    </row>
    <row r="447" spans="1:50" ht="10.8" hidden="1" thickTop="1" x14ac:dyDescent="0.2">
      <c r="A447" s="385"/>
      <c r="B447" s="445"/>
      <c r="C447" s="385"/>
      <c r="D447" s="445"/>
      <c r="E447" s="385"/>
      <c r="F447" s="385"/>
      <c r="G447" s="385"/>
      <c r="H447" s="385"/>
      <c r="I447" s="442"/>
      <c r="J447" s="442"/>
      <c r="K447" s="442"/>
      <c r="L447" s="442"/>
      <c r="M447" s="442"/>
      <c r="N447" s="442"/>
      <c r="O447" s="443"/>
      <c r="P447" s="385"/>
      <c r="Q447" s="385"/>
      <c r="R447" s="385"/>
      <c r="S447" s="385"/>
      <c r="T447" s="385"/>
      <c r="U447" s="385"/>
      <c r="V447" s="385"/>
      <c r="W447" s="385"/>
      <c r="X447" s="385"/>
      <c r="Y447" s="385"/>
      <c r="Z447" s="385"/>
      <c r="AA447" s="385"/>
      <c r="AB447" s="385"/>
      <c r="AC447" s="385"/>
      <c r="AD447" s="385"/>
      <c r="AE447" s="385"/>
      <c r="AF447" s="385"/>
      <c r="AG447" s="385"/>
      <c r="AH447" s="385"/>
      <c r="AI447" s="385"/>
      <c r="AJ447" s="385"/>
      <c r="AK447" s="385"/>
      <c r="AL447" s="385"/>
      <c r="AM447" s="385"/>
      <c r="AN447" s="385"/>
      <c r="AO447" s="385"/>
      <c r="AP447" s="385"/>
      <c r="AQ447" s="385"/>
      <c r="AR447" s="385"/>
      <c r="AS447" s="385"/>
      <c r="AT447" s="385"/>
      <c r="AU447" s="385"/>
      <c r="AV447" s="385"/>
      <c r="AW447" s="385"/>
      <c r="AX447" s="385"/>
    </row>
    <row r="448" spans="1:50" ht="10.8" hidden="1" thickTop="1" x14ac:dyDescent="0.2">
      <c r="A448" s="385"/>
      <c r="B448" s="385"/>
      <c r="C448" s="385"/>
      <c r="D448" s="385"/>
      <c r="E448" s="385"/>
      <c r="F448" s="385"/>
      <c r="G448" s="385"/>
      <c r="H448" s="385"/>
      <c r="I448" s="442"/>
      <c r="J448" s="442"/>
      <c r="K448" s="442"/>
      <c r="L448" s="442"/>
      <c r="M448" s="442"/>
      <c r="N448" s="442"/>
      <c r="O448" s="443"/>
      <c r="P448" s="385"/>
      <c r="Q448" s="385"/>
      <c r="R448" s="385"/>
      <c r="S448" s="385"/>
      <c r="T448" s="385"/>
      <c r="U448" s="385"/>
      <c r="V448" s="385"/>
      <c r="W448" s="385"/>
      <c r="X448" s="385"/>
      <c r="Y448" s="385"/>
      <c r="Z448" s="385"/>
      <c r="AA448" s="385"/>
      <c r="AB448" s="385"/>
      <c r="AC448" s="385"/>
      <c r="AD448" s="385"/>
      <c r="AE448" s="385"/>
      <c r="AF448" s="385"/>
      <c r="AG448" s="385"/>
      <c r="AH448" s="385"/>
      <c r="AI448" s="385"/>
      <c r="AJ448" s="385"/>
      <c r="AK448" s="385"/>
      <c r="AL448" s="385"/>
      <c r="AM448" s="385"/>
      <c r="AN448" s="385"/>
      <c r="AO448" s="385"/>
      <c r="AP448" s="385"/>
      <c r="AQ448" s="385"/>
      <c r="AR448" s="385"/>
      <c r="AS448" s="385"/>
      <c r="AT448" s="385"/>
      <c r="AU448" s="385"/>
      <c r="AV448" s="385"/>
      <c r="AW448" s="385"/>
      <c r="AX448" s="385"/>
    </row>
    <row r="449" spans="1:50" ht="10.8" hidden="1" thickTop="1" x14ac:dyDescent="0.2">
      <c r="A449" s="385"/>
      <c r="B449" s="385"/>
      <c r="C449" s="385"/>
      <c r="D449" s="385"/>
      <c r="E449" s="385"/>
      <c r="F449" s="385"/>
      <c r="G449" s="385"/>
      <c r="H449" s="385"/>
      <c r="I449" s="442"/>
      <c r="J449" s="442"/>
      <c r="K449" s="442"/>
      <c r="L449" s="442"/>
      <c r="M449" s="442"/>
      <c r="N449" s="442"/>
      <c r="O449" s="443"/>
      <c r="P449" s="385"/>
      <c r="Q449" s="385"/>
      <c r="R449" s="385"/>
      <c r="S449" s="385"/>
      <c r="T449" s="385"/>
      <c r="U449" s="385"/>
      <c r="V449" s="385"/>
      <c r="W449" s="385"/>
      <c r="X449" s="385"/>
      <c r="Y449" s="385"/>
      <c r="Z449" s="385"/>
      <c r="AA449" s="385"/>
      <c r="AB449" s="385"/>
      <c r="AC449" s="385"/>
      <c r="AD449" s="385"/>
      <c r="AE449" s="385"/>
      <c r="AF449" s="385"/>
      <c r="AG449" s="385"/>
      <c r="AH449" s="385"/>
      <c r="AI449" s="385"/>
      <c r="AJ449" s="385"/>
      <c r="AK449" s="385"/>
      <c r="AL449" s="385"/>
      <c r="AM449" s="385"/>
      <c r="AN449" s="385"/>
      <c r="AO449" s="385"/>
      <c r="AP449" s="385"/>
      <c r="AQ449" s="385"/>
      <c r="AR449" s="385"/>
      <c r="AS449" s="385"/>
      <c r="AT449" s="385"/>
      <c r="AU449" s="385"/>
      <c r="AV449" s="385"/>
      <c r="AW449" s="385"/>
      <c r="AX449" s="385"/>
    </row>
    <row r="450" spans="1:50" ht="10.8" hidden="1" thickTop="1" x14ac:dyDescent="0.2">
      <c r="A450" s="385"/>
      <c r="B450" s="385"/>
      <c r="C450" s="385"/>
      <c r="D450" s="385"/>
      <c r="E450" s="385"/>
      <c r="F450" s="385"/>
      <c r="G450" s="385"/>
      <c r="H450" s="385"/>
      <c r="I450" s="442"/>
      <c r="J450" s="442"/>
      <c r="K450" s="442"/>
      <c r="L450" s="442"/>
      <c r="M450" s="442"/>
      <c r="N450" s="442"/>
      <c r="O450" s="443"/>
      <c r="P450" s="385"/>
      <c r="Q450" s="385"/>
      <c r="R450" s="385"/>
      <c r="S450" s="385"/>
      <c r="T450" s="385"/>
      <c r="U450" s="385"/>
      <c r="V450" s="385"/>
      <c r="W450" s="385"/>
      <c r="X450" s="385"/>
      <c r="Y450" s="385"/>
      <c r="Z450" s="385"/>
      <c r="AA450" s="385"/>
      <c r="AB450" s="385"/>
      <c r="AC450" s="385"/>
      <c r="AD450" s="385"/>
      <c r="AE450" s="385"/>
      <c r="AF450" s="385"/>
      <c r="AG450" s="385"/>
      <c r="AH450" s="385"/>
      <c r="AI450" s="385"/>
      <c r="AJ450" s="385"/>
      <c r="AK450" s="385"/>
      <c r="AL450" s="385"/>
      <c r="AM450" s="385"/>
      <c r="AN450" s="385"/>
      <c r="AO450" s="385"/>
      <c r="AP450" s="385"/>
      <c r="AQ450" s="385"/>
      <c r="AR450" s="385"/>
      <c r="AS450" s="385"/>
      <c r="AT450" s="385"/>
      <c r="AU450" s="385"/>
      <c r="AV450" s="385"/>
      <c r="AW450" s="385"/>
      <c r="AX450" s="385"/>
    </row>
    <row r="451" spans="1:50" ht="10.8" hidden="1" thickTop="1" x14ac:dyDescent="0.2">
      <c r="A451" s="385"/>
      <c r="B451" s="385"/>
      <c r="C451" s="385"/>
      <c r="D451" s="385"/>
      <c r="E451" s="385"/>
      <c r="F451" s="385"/>
      <c r="G451" s="385"/>
      <c r="H451" s="385"/>
      <c r="I451" s="442"/>
      <c r="J451" s="442"/>
      <c r="K451" s="442"/>
      <c r="L451" s="442"/>
      <c r="M451" s="442"/>
      <c r="N451" s="442"/>
      <c r="O451" s="443"/>
      <c r="P451" s="385"/>
      <c r="Q451" s="385"/>
      <c r="R451" s="385"/>
      <c r="S451" s="385"/>
      <c r="T451" s="385"/>
      <c r="U451" s="385"/>
      <c r="V451" s="385"/>
      <c r="W451" s="385"/>
      <c r="X451" s="385"/>
      <c r="Y451" s="385"/>
      <c r="Z451" s="385"/>
      <c r="AA451" s="385"/>
      <c r="AB451" s="385"/>
      <c r="AC451" s="385"/>
      <c r="AD451" s="385"/>
      <c r="AE451" s="385"/>
      <c r="AF451" s="385"/>
      <c r="AG451" s="385"/>
      <c r="AH451" s="385"/>
      <c r="AI451" s="385"/>
      <c r="AJ451" s="385"/>
      <c r="AK451" s="385"/>
      <c r="AL451" s="385"/>
      <c r="AM451" s="385"/>
      <c r="AN451" s="385"/>
      <c r="AO451" s="385"/>
      <c r="AP451" s="385"/>
      <c r="AQ451" s="385"/>
      <c r="AR451" s="385"/>
      <c r="AS451" s="385"/>
      <c r="AT451" s="385"/>
      <c r="AU451" s="385"/>
      <c r="AV451" s="385"/>
      <c r="AW451" s="385"/>
      <c r="AX451" s="385"/>
    </row>
    <row r="452" spans="1:50" ht="10.8" hidden="1" thickTop="1" x14ac:dyDescent="0.2">
      <c r="A452" s="385"/>
      <c r="B452" s="385"/>
      <c r="C452" s="385"/>
      <c r="D452" s="385"/>
      <c r="E452" s="385"/>
      <c r="F452" s="385"/>
      <c r="G452" s="385"/>
      <c r="H452" s="385"/>
      <c r="I452" s="442"/>
      <c r="J452" s="442"/>
      <c r="K452" s="442"/>
      <c r="L452" s="442"/>
      <c r="M452" s="442"/>
      <c r="N452" s="442"/>
      <c r="O452" s="443"/>
      <c r="P452" s="385"/>
      <c r="Q452" s="385"/>
      <c r="R452" s="385"/>
      <c r="S452" s="385"/>
      <c r="T452" s="385"/>
      <c r="U452" s="385"/>
      <c r="V452" s="385"/>
      <c r="W452" s="385"/>
      <c r="X452" s="385"/>
      <c r="Y452" s="385"/>
      <c r="Z452" s="385"/>
      <c r="AA452" s="385"/>
      <c r="AB452" s="385"/>
      <c r="AC452" s="385"/>
      <c r="AD452" s="385"/>
      <c r="AE452" s="385"/>
      <c r="AF452" s="385"/>
      <c r="AG452" s="385"/>
      <c r="AH452" s="385"/>
      <c r="AI452" s="385"/>
      <c r="AJ452" s="385"/>
      <c r="AK452" s="385"/>
      <c r="AL452" s="385"/>
      <c r="AM452" s="385"/>
      <c r="AN452" s="385"/>
      <c r="AO452" s="385"/>
      <c r="AP452" s="385"/>
      <c r="AQ452" s="385"/>
      <c r="AR452" s="385"/>
      <c r="AS452" s="385"/>
      <c r="AT452" s="385"/>
      <c r="AU452" s="385"/>
      <c r="AV452" s="385"/>
      <c r="AW452" s="385"/>
      <c r="AX452" s="385"/>
    </row>
    <row r="453" spans="1:50" ht="10.8" hidden="1" thickTop="1" x14ac:dyDescent="0.2">
      <c r="A453" s="385"/>
      <c r="B453" s="385"/>
      <c r="C453" s="385"/>
      <c r="D453" s="385"/>
      <c r="E453" s="385"/>
      <c r="F453" s="385"/>
      <c r="G453" s="385"/>
      <c r="H453" s="385"/>
      <c r="I453" s="442"/>
      <c r="J453" s="442"/>
      <c r="K453" s="442"/>
      <c r="L453" s="442"/>
      <c r="M453" s="442"/>
      <c r="N453" s="442"/>
      <c r="O453" s="443"/>
      <c r="P453" s="385"/>
      <c r="Q453" s="385"/>
      <c r="R453" s="385"/>
      <c r="S453" s="385"/>
      <c r="T453" s="385"/>
      <c r="U453" s="385"/>
      <c r="V453" s="385"/>
      <c r="W453" s="385"/>
      <c r="X453" s="385"/>
      <c r="Y453" s="385"/>
      <c r="Z453" s="385"/>
      <c r="AA453" s="385"/>
      <c r="AB453" s="385"/>
      <c r="AC453" s="385"/>
      <c r="AD453" s="385"/>
      <c r="AE453" s="385"/>
      <c r="AF453" s="385"/>
      <c r="AG453" s="385"/>
      <c r="AH453" s="385"/>
      <c r="AI453" s="385"/>
      <c r="AJ453" s="385"/>
      <c r="AK453" s="385"/>
      <c r="AL453" s="385"/>
      <c r="AM453" s="385"/>
      <c r="AN453" s="385"/>
      <c r="AO453" s="385"/>
      <c r="AP453" s="385"/>
      <c r="AQ453" s="385"/>
      <c r="AR453" s="385"/>
      <c r="AS453" s="385"/>
      <c r="AT453" s="385"/>
      <c r="AU453" s="385"/>
      <c r="AV453" s="385"/>
      <c r="AW453" s="385"/>
      <c r="AX453" s="385"/>
    </row>
    <row r="454" spans="1:50" ht="10.8" hidden="1" thickTop="1" x14ac:dyDescent="0.2">
      <c r="A454" s="385"/>
      <c r="B454" s="385"/>
      <c r="C454" s="385"/>
      <c r="D454" s="385"/>
      <c r="E454" s="385"/>
      <c r="F454" s="385"/>
      <c r="G454" s="385"/>
      <c r="H454" s="385"/>
      <c r="I454" s="442"/>
      <c r="J454" s="442"/>
      <c r="K454" s="442"/>
      <c r="L454" s="442"/>
      <c r="M454" s="442"/>
      <c r="N454" s="442"/>
      <c r="O454" s="443"/>
      <c r="P454" s="385"/>
      <c r="Q454" s="385"/>
      <c r="R454" s="385"/>
      <c r="S454" s="385"/>
      <c r="T454" s="385"/>
      <c r="U454" s="385"/>
      <c r="V454" s="385"/>
      <c r="W454" s="385"/>
      <c r="X454" s="385"/>
      <c r="Y454" s="385"/>
      <c r="Z454" s="385"/>
      <c r="AA454" s="385"/>
      <c r="AB454" s="385"/>
      <c r="AC454" s="385"/>
      <c r="AD454" s="385"/>
      <c r="AE454" s="385"/>
      <c r="AF454" s="385"/>
      <c r="AG454" s="385"/>
      <c r="AH454" s="385"/>
      <c r="AI454" s="385"/>
      <c r="AJ454" s="385"/>
      <c r="AK454" s="385"/>
      <c r="AL454" s="385"/>
      <c r="AM454" s="385"/>
      <c r="AN454" s="385"/>
      <c r="AO454" s="385"/>
      <c r="AP454" s="385"/>
      <c r="AQ454" s="385"/>
      <c r="AR454" s="385"/>
      <c r="AS454" s="385"/>
      <c r="AT454" s="385"/>
      <c r="AU454" s="385"/>
      <c r="AV454" s="385"/>
      <c r="AW454" s="385"/>
      <c r="AX454" s="385"/>
    </row>
    <row r="455" spans="1:50" ht="10.8" hidden="1" thickTop="1" x14ac:dyDescent="0.2">
      <c r="A455" s="385"/>
      <c r="B455" s="444"/>
      <c r="C455" s="385"/>
      <c r="D455" s="385"/>
      <c r="E455" s="385"/>
      <c r="F455" s="385"/>
      <c r="G455" s="385"/>
      <c r="H455" s="385"/>
      <c r="I455" s="442"/>
      <c r="J455" s="442"/>
      <c r="K455" s="442"/>
      <c r="L455" s="442"/>
      <c r="M455" s="442"/>
      <c r="N455" s="442"/>
      <c r="O455" s="443"/>
      <c r="P455" s="385"/>
      <c r="Q455" s="385"/>
      <c r="R455" s="385"/>
      <c r="S455" s="385"/>
      <c r="T455" s="385"/>
      <c r="U455" s="385"/>
      <c r="V455" s="385"/>
      <c r="W455" s="385"/>
      <c r="X455" s="385"/>
      <c r="Y455" s="385"/>
      <c r="Z455" s="385"/>
      <c r="AA455" s="385"/>
      <c r="AB455" s="385"/>
      <c r="AC455" s="385"/>
      <c r="AD455" s="385"/>
      <c r="AE455" s="385"/>
      <c r="AF455" s="385"/>
      <c r="AG455" s="385"/>
      <c r="AH455" s="385"/>
      <c r="AI455" s="385"/>
      <c r="AJ455" s="385"/>
      <c r="AK455" s="385"/>
      <c r="AL455" s="385"/>
      <c r="AM455" s="385"/>
      <c r="AN455" s="385"/>
      <c r="AO455" s="385"/>
      <c r="AP455" s="385"/>
      <c r="AQ455" s="385"/>
      <c r="AR455" s="385"/>
      <c r="AS455" s="385"/>
      <c r="AT455" s="385"/>
      <c r="AU455" s="385"/>
      <c r="AV455" s="385"/>
      <c r="AW455" s="385"/>
      <c r="AX455" s="385"/>
    </row>
    <row r="456" spans="1:50" ht="10.8" hidden="1" thickTop="1" x14ac:dyDescent="0.2">
      <c r="A456" s="385"/>
      <c r="B456" s="385"/>
      <c r="C456" s="385"/>
      <c r="D456" s="385"/>
      <c r="E456" s="385"/>
      <c r="F456" s="385"/>
      <c r="G456" s="385"/>
      <c r="H456" s="385"/>
      <c r="I456" s="442"/>
      <c r="J456" s="442"/>
      <c r="K456" s="442"/>
      <c r="L456" s="442"/>
      <c r="M456" s="442"/>
      <c r="N456" s="442"/>
      <c r="O456" s="443"/>
      <c r="P456" s="385"/>
      <c r="Q456" s="385"/>
      <c r="R456" s="385"/>
      <c r="S456" s="385"/>
      <c r="T456" s="385"/>
      <c r="U456" s="385"/>
      <c r="V456" s="385"/>
      <c r="W456" s="385"/>
      <c r="X456" s="385"/>
      <c r="Y456" s="385"/>
      <c r="Z456" s="385"/>
      <c r="AA456" s="385"/>
      <c r="AB456" s="385"/>
      <c r="AC456" s="385"/>
      <c r="AD456" s="385"/>
      <c r="AE456" s="385"/>
      <c r="AF456" s="385"/>
      <c r="AG456" s="385"/>
      <c r="AH456" s="385"/>
      <c r="AI456" s="385"/>
      <c r="AJ456" s="385"/>
      <c r="AK456" s="385"/>
      <c r="AL456" s="385"/>
      <c r="AM456" s="385"/>
      <c r="AN456" s="385"/>
      <c r="AO456" s="385"/>
      <c r="AP456" s="385"/>
      <c r="AQ456" s="385"/>
      <c r="AR456" s="385"/>
      <c r="AS456" s="385"/>
      <c r="AT456" s="385"/>
      <c r="AU456" s="385"/>
      <c r="AV456" s="385"/>
      <c r="AW456" s="385"/>
      <c r="AX456" s="385"/>
    </row>
    <row r="457" spans="1:50" ht="10.8" hidden="1" thickTop="1" x14ac:dyDescent="0.2">
      <c r="A457" s="385"/>
      <c r="B457" s="385"/>
      <c r="C457" s="385"/>
      <c r="D457" s="445"/>
      <c r="E457" s="385"/>
      <c r="F457" s="385"/>
      <c r="G457" s="385"/>
      <c r="H457" s="385"/>
      <c r="I457" s="442"/>
      <c r="J457" s="442"/>
      <c r="K457" s="442"/>
      <c r="L457" s="442"/>
      <c r="M457" s="442"/>
      <c r="N457" s="442"/>
      <c r="O457" s="443"/>
      <c r="P457" s="385"/>
      <c r="Q457" s="385"/>
      <c r="R457" s="385"/>
      <c r="S457" s="385"/>
      <c r="T457" s="385"/>
      <c r="U457" s="385"/>
      <c r="V457" s="385"/>
      <c r="W457" s="385"/>
      <c r="X457" s="385"/>
      <c r="Y457" s="385"/>
      <c r="Z457" s="385"/>
      <c r="AA457" s="385"/>
      <c r="AB457" s="385"/>
      <c r="AC457" s="385"/>
      <c r="AD457" s="385"/>
      <c r="AE457" s="385"/>
      <c r="AF457" s="385"/>
      <c r="AG457" s="385"/>
      <c r="AH457" s="385"/>
      <c r="AI457" s="385"/>
      <c r="AJ457" s="385"/>
      <c r="AK457" s="385"/>
      <c r="AL457" s="385"/>
      <c r="AM457" s="385"/>
      <c r="AN457" s="385"/>
      <c r="AO457" s="385"/>
      <c r="AP457" s="385"/>
      <c r="AQ457" s="385"/>
      <c r="AR457" s="385"/>
      <c r="AS457" s="385"/>
      <c r="AT457" s="385"/>
      <c r="AU457" s="385"/>
      <c r="AV457" s="385"/>
      <c r="AW457" s="385"/>
      <c r="AX457" s="385"/>
    </row>
    <row r="458" spans="1:50" ht="10.8" hidden="1" thickTop="1" x14ac:dyDescent="0.2">
      <c r="A458" s="385"/>
      <c r="B458" s="385"/>
      <c r="C458" s="385"/>
      <c r="D458" s="385"/>
      <c r="E458" s="385"/>
      <c r="F458" s="385"/>
      <c r="G458" s="385"/>
      <c r="H458" s="385"/>
      <c r="I458" s="442"/>
      <c r="J458" s="442"/>
      <c r="K458" s="442"/>
      <c r="L458" s="442"/>
      <c r="M458" s="442"/>
      <c r="N458" s="442"/>
      <c r="O458" s="443"/>
      <c r="P458" s="385"/>
      <c r="Q458" s="385"/>
      <c r="R458" s="385"/>
      <c r="S458" s="385"/>
      <c r="T458" s="385"/>
      <c r="U458" s="385"/>
      <c r="V458" s="385"/>
      <c r="W458" s="385"/>
      <c r="X458" s="385"/>
      <c r="Y458" s="385"/>
      <c r="Z458" s="385"/>
      <c r="AA458" s="385"/>
      <c r="AB458" s="385"/>
      <c r="AC458" s="385"/>
      <c r="AD458" s="385"/>
      <c r="AE458" s="385"/>
      <c r="AF458" s="385"/>
      <c r="AG458" s="385"/>
      <c r="AH458" s="385"/>
      <c r="AI458" s="385"/>
      <c r="AJ458" s="385"/>
      <c r="AK458" s="385"/>
      <c r="AL458" s="385"/>
      <c r="AM458" s="385"/>
      <c r="AN458" s="385"/>
      <c r="AO458" s="385"/>
      <c r="AP458" s="385"/>
      <c r="AQ458" s="385"/>
      <c r="AR458" s="385"/>
      <c r="AS458" s="385"/>
      <c r="AT458" s="385"/>
      <c r="AU458" s="385"/>
      <c r="AV458" s="385"/>
      <c r="AW458" s="385"/>
      <c r="AX458" s="385"/>
    </row>
    <row r="459" spans="1:50" ht="10.8" hidden="1" thickTop="1" x14ac:dyDescent="0.2">
      <c r="A459" s="385"/>
      <c r="B459" s="385"/>
      <c r="C459" s="385"/>
      <c r="D459" s="385"/>
      <c r="E459" s="385"/>
      <c r="F459" s="385"/>
      <c r="G459" s="385"/>
      <c r="H459" s="385"/>
      <c r="I459" s="442"/>
      <c r="J459" s="442"/>
      <c r="K459" s="442"/>
      <c r="L459" s="442"/>
      <c r="M459" s="442"/>
      <c r="N459" s="442"/>
      <c r="O459" s="443"/>
      <c r="P459" s="385"/>
      <c r="Q459" s="385"/>
      <c r="R459" s="385"/>
      <c r="S459" s="385"/>
      <c r="T459" s="385"/>
      <c r="U459" s="385"/>
      <c r="V459" s="385"/>
      <c r="W459" s="385"/>
      <c r="X459" s="385"/>
      <c r="Y459" s="385"/>
      <c r="Z459" s="385"/>
      <c r="AA459" s="385"/>
      <c r="AB459" s="385"/>
      <c r="AC459" s="385"/>
      <c r="AD459" s="385"/>
      <c r="AE459" s="385"/>
      <c r="AF459" s="385"/>
      <c r="AG459" s="385"/>
      <c r="AH459" s="385"/>
      <c r="AI459" s="385"/>
      <c r="AJ459" s="385"/>
      <c r="AK459" s="385"/>
      <c r="AL459" s="385"/>
      <c r="AM459" s="385"/>
      <c r="AN459" s="385"/>
      <c r="AO459" s="385"/>
      <c r="AP459" s="385"/>
      <c r="AQ459" s="385"/>
      <c r="AR459" s="385"/>
      <c r="AS459" s="385"/>
      <c r="AT459" s="385"/>
      <c r="AU459" s="385"/>
      <c r="AV459" s="385"/>
      <c r="AW459" s="385"/>
      <c r="AX459" s="385"/>
    </row>
    <row r="460" spans="1:50" ht="10.8" hidden="1" thickTop="1" x14ac:dyDescent="0.2">
      <c r="A460" s="385"/>
      <c r="B460" s="385"/>
      <c r="C460" s="385"/>
      <c r="D460" s="385"/>
      <c r="E460" s="385"/>
      <c r="F460" s="385"/>
      <c r="G460" s="385"/>
      <c r="H460" s="385"/>
      <c r="I460" s="442"/>
      <c r="J460" s="442"/>
      <c r="K460" s="442"/>
      <c r="L460" s="442"/>
      <c r="M460" s="442"/>
      <c r="N460" s="442"/>
      <c r="O460" s="443"/>
      <c r="P460" s="385"/>
      <c r="Q460" s="385"/>
      <c r="R460" s="385"/>
      <c r="S460" s="385"/>
      <c r="T460" s="385"/>
      <c r="U460" s="385"/>
      <c r="V460" s="385"/>
      <c r="W460" s="385"/>
      <c r="X460" s="385"/>
      <c r="Y460" s="385"/>
      <c r="Z460" s="385"/>
      <c r="AA460" s="385"/>
      <c r="AB460" s="385"/>
      <c r="AC460" s="385"/>
      <c r="AD460" s="385"/>
      <c r="AE460" s="385"/>
      <c r="AF460" s="385"/>
      <c r="AG460" s="385"/>
      <c r="AH460" s="385"/>
      <c r="AI460" s="385"/>
      <c r="AJ460" s="385"/>
      <c r="AK460" s="385"/>
      <c r="AL460" s="385"/>
      <c r="AM460" s="385"/>
      <c r="AN460" s="385"/>
      <c r="AO460" s="385"/>
      <c r="AP460" s="385"/>
      <c r="AQ460" s="385"/>
      <c r="AR460" s="385"/>
      <c r="AS460" s="385"/>
      <c r="AT460" s="385"/>
      <c r="AU460" s="385"/>
      <c r="AV460" s="385"/>
      <c r="AW460" s="385"/>
      <c r="AX460" s="385"/>
    </row>
    <row r="461" spans="1:50" ht="10.8" hidden="1" thickTop="1" x14ac:dyDescent="0.2">
      <c r="A461" s="385"/>
      <c r="B461" s="385"/>
      <c r="C461" s="385"/>
      <c r="D461" s="385"/>
      <c r="E461" s="385"/>
      <c r="F461" s="385"/>
      <c r="G461" s="385"/>
      <c r="H461" s="385"/>
      <c r="I461" s="442"/>
      <c r="J461" s="442"/>
      <c r="K461" s="442"/>
      <c r="L461" s="442"/>
      <c r="M461" s="442"/>
      <c r="N461" s="442"/>
      <c r="O461" s="443"/>
      <c r="P461" s="385"/>
      <c r="Q461" s="385"/>
      <c r="R461" s="385"/>
      <c r="S461" s="385"/>
      <c r="T461" s="385"/>
      <c r="U461" s="385"/>
      <c r="V461" s="385"/>
      <c r="W461" s="385"/>
      <c r="X461" s="385"/>
      <c r="Y461" s="385"/>
      <c r="Z461" s="385"/>
      <c r="AA461" s="385"/>
      <c r="AB461" s="385"/>
      <c r="AC461" s="385"/>
      <c r="AD461" s="385"/>
      <c r="AE461" s="385"/>
      <c r="AF461" s="385"/>
      <c r="AG461" s="385"/>
      <c r="AH461" s="385"/>
      <c r="AI461" s="385"/>
      <c r="AJ461" s="385"/>
      <c r="AK461" s="385"/>
      <c r="AL461" s="385"/>
      <c r="AM461" s="385"/>
      <c r="AN461" s="385"/>
      <c r="AO461" s="385"/>
      <c r="AP461" s="385"/>
      <c r="AQ461" s="385"/>
      <c r="AR461" s="385"/>
      <c r="AS461" s="385"/>
      <c r="AT461" s="385"/>
      <c r="AU461" s="385"/>
      <c r="AV461" s="385"/>
      <c r="AW461" s="385"/>
      <c r="AX461" s="385"/>
    </row>
    <row r="462" spans="1:50" ht="10.8" hidden="1" thickTop="1" x14ac:dyDescent="0.2">
      <c r="A462" s="385"/>
      <c r="B462" s="385"/>
      <c r="C462" s="385"/>
      <c r="D462" s="385"/>
      <c r="E462" s="385"/>
      <c r="F462" s="385"/>
      <c r="G462" s="385"/>
      <c r="H462" s="385"/>
      <c r="I462" s="442"/>
      <c r="J462" s="442"/>
      <c r="K462" s="442"/>
      <c r="L462" s="442"/>
      <c r="M462" s="442"/>
      <c r="N462" s="442"/>
      <c r="O462" s="443"/>
      <c r="P462" s="385"/>
      <c r="Q462" s="385"/>
      <c r="R462" s="385"/>
      <c r="S462" s="385"/>
      <c r="T462" s="385"/>
      <c r="U462" s="385"/>
      <c r="V462" s="385"/>
      <c r="W462" s="385"/>
      <c r="X462" s="385"/>
      <c r="Y462" s="385"/>
      <c r="Z462" s="385"/>
      <c r="AA462" s="385"/>
      <c r="AB462" s="385"/>
      <c r="AC462" s="385"/>
      <c r="AD462" s="385"/>
      <c r="AE462" s="385"/>
      <c r="AF462" s="385"/>
      <c r="AG462" s="385"/>
      <c r="AH462" s="385"/>
      <c r="AI462" s="385"/>
      <c r="AJ462" s="385"/>
      <c r="AK462" s="385"/>
      <c r="AL462" s="385"/>
      <c r="AM462" s="385"/>
      <c r="AN462" s="385"/>
      <c r="AO462" s="385"/>
      <c r="AP462" s="385"/>
      <c r="AQ462" s="385"/>
      <c r="AR462" s="385"/>
      <c r="AS462" s="385"/>
      <c r="AT462" s="385"/>
      <c r="AU462" s="385"/>
      <c r="AV462" s="385"/>
      <c r="AW462" s="385"/>
      <c r="AX462" s="385"/>
    </row>
    <row r="463" spans="1:50" ht="10.8" hidden="1" thickTop="1" x14ac:dyDescent="0.2">
      <c r="A463" s="385"/>
      <c r="B463" s="444"/>
      <c r="C463" s="385"/>
      <c r="D463" s="385"/>
      <c r="E463" s="385"/>
      <c r="F463" s="385"/>
      <c r="G463" s="385"/>
      <c r="H463" s="385"/>
      <c r="I463" s="442"/>
      <c r="J463" s="442"/>
      <c r="K463" s="442"/>
      <c r="L463" s="442"/>
      <c r="M463" s="442"/>
      <c r="N463" s="442"/>
      <c r="O463" s="443"/>
      <c r="P463" s="385"/>
      <c r="Q463" s="385"/>
      <c r="R463" s="385"/>
      <c r="S463" s="385"/>
      <c r="T463" s="385"/>
      <c r="U463" s="385"/>
      <c r="V463" s="385"/>
      <c r="W463" s="385"/>
      <c r="X463" s="385"/>
      <c r="Y463" s="385"/>
      <c r="Z463" s="385"/>
      <c r="AA463" s="385"/>
      <c r="AB463" s="385"/>
      <c r="AC463" s="385"/>
      <c r="AD463" s="385"/>
      <c r="AE463" s="385"/>
      <c r="AF463" s="385"/>
      <c r="AG463" s="385"/>
      <c r="AH463" s="385"/>
      <c r="AI463" s="385"/>
      <c r="AJ463" s="385"/>
      <c r="AK463" s="385"/>
      <c r="AL463" s="385"/>
      <c r="AM463" s="385"/>
      <c r="AN463" s="385"/>
      <c r="AO463" s="385"/>
      <c r="AP463" s="385"/>
      <c r="AQ463" s="385"/>
      <c r="AR463" s="385"/>
      <c r="AS463" s="385"/>
      <c r="AT463" s="385"/>
      <c r="AU463" s="385"/>
      <c r="AV463" s="385"/>
      <c r="AW463" s="385"/>
      <c r="AX463" s="385"/>
    </row>
    <row r="464" spans="1:50" ht="10.8" hidden="1" thickTop="1" x14ac:dyDescent="0.2">
      <c r="A464" s="385"/>
      <c r="B464" s="385"/>
      <c r="C464" s="385"/>
      <c r="D464" s="385"/>
      <c r="E464" s="385"/>
      <c r="F464" s="385"/>
      <c r="G464" s="385"/>
      <c r="H464" s="385"/>
      <c r="I464" s="442"/>
      <c r="J464" s="442"/>
      <c r="K464" s="442"/>
      <c r="L464" s="442"/>
      <c r="M464" s="442"/>
      <c r="N464" s="442"/>
      <c r="O464" s="443"/>
      <c r="P464" s="385"/>
      <c r="Q464" s="385"/>
      <c r="R464" s="385"/>
      <c r="S464" s="385"/>
      <c r="T464" s="385"/>
      <c r="U464" s="385"/>
      <c r="V464" s="385"/>
      <c r="W464" s="385"/>
      <c r="X464" s="385"/>
      <c r="Y464" s="385"/>
      <c r="Z464" s="385"/>
      <c r="AA464" s="385"/>
      <c r="AB464" s="385"/>
      <c r="AC464" s="385"/>
      <c r="AD464" s="385"/>
      <c r="AE464" s="385"/>
      <c r="AF464" s="385"/>
      <c r="AG464" s="385"/>
      <c r="AH464" s="385"/>
      <c r="AI464" s="385"/>
      <c r="AJ464" s="385"/>
      <c r="AK464" s="385"/>
      <c r="AL464" s="385"/>
      <c r="AM464" s="385"/>
      <c r="AN464" s="385"/>
      <c r="AO464" s="385"/>
      <c r="AP464" s="385"/>
      <c r="AQ464" s="385"/>
      <c r="AR464" s="385"/>
      <c r="AS464" s="385"/>
      <c r="AT464" s="385"/>
      <c r="AU464" s="385"/>
      <c r="AV464" s="385"/>
      <c r="AW464" s="385"/>
      <c r="AX464" s="385"/>
    </row>
    <row r="465" spans="1:50" ht="10.8" hidden="1" thickTop="1" x14ac:dyDescent="0.2">
      <c r="A465" s="385"/>
      <c r="B465" s="385"/>
      <c r="C465" s="385"/>
      <c r="D465" s="445"/>
      <c r="E465" s="385"/>
      <c r="F465" s="385"/>
      <c r="G465" s="385"/>
      <c r="H465" s="385"/>
      <c r="I465" s="442"/>
      <c r="J465" s="442"/>
      <c r="K465" s="442"/>
      <c r="L465" s="442"/>
      <c r="M465" s="442"/>
      <c r="N465" s="442"/>
      <c r="O465" s="443"/>
      <c r="P465" s="385"/>
      <c r="Q465" s="385"/>
      <c r="R465" s="385"/>
      <c r="S465" s="385"/>
      <c r="T465" s="385"/>
      <c r="U465" s="385"/>
      <c r="V465" s="385"/>
      <c r="W465" s="385"/>
      <c r="X465" s="385"/>
      <c r="Y465" s="385"/>
      <c r="Z465" s="385"/>
      <c r="AA465" s="385"/>
      <c r="AB465" s="385"/>
      <c r="AC465" s="385"/>
      <c r="AD465" s="385"/>
      <c r="AE465" s="385"/>
      <c r="AF465" s="385"/>
      <c r="AG465" s="385"/>
      <c r="AH465" s="385"/>
      <c r="AI465" s="385"/>
      <c r="AJ465" s="385"/>
      <c r="AK465" s="385"/>
      <c r="AL465" s="385"/>
      <c r="AM465" s="385"/>
      <c r="AN465" s="385"/>
      <c r="AO465" s="385"/>
      <c r="AP465" s="385"/>
      <c r="AQ465" s="385"/>
      <c r="AR465" s="385"/>
      <c r="AS465" s="385"/>
      <c r="AT465" s="385"/>
      <c r="AU465" s="385"/>
      <c r="AV465" s="385"/>
      <c r="AW465" s="385"/>
      <c r="AX465" s="385"/>
    </row>
    <row r="466" spans="1:50" ht="10.8" hidden="1" thickTop="1" x14ac:dyDescent="0.2">
      <c r="A466" s="385"/>
      <c r="B466" s="385"/>
      <c r="C466" s="385"/>
      <c r="D466" s="385"/>
      <c r="E466" s="385"/>
      <c r="F466" s="385"/>
      <c r="G466" s="385"/>
      <c r="H466" s="385"/>
      <c r="I466" s="442"/>
      <c r="J466" s="442"/>
      <c r="K466" s="442"/>
      <c r="L466" s="442"/>
      <c r="M466" s="442"/>
      <c r="N466" s="442"/>
      <c r="O466" s="443"/>
      <c r="P466" s="385"/>
      <c r="Q466" s="385"/>
      <c r="R466" s="385"/>
      <c r="S466" s="385"/>
      <c r="T466" s="385"/>
      <c r="U466" s="385"/>
      <c r="V466" s="385"/>
      <c r="W466" s="385"/>
      <c r="X466" s="385"/>
      <c r="Y466" s="385"/>
      <c r="Z466" s="385"/>
      <c r="AA466" s="385"/>
      <c r="AB466" s="385"/>
      <c r="AC466" s="385"/>
      <c r="AD466" s="385"/>
      <c r="AE466" s="385"/>
      <c r="AF466" s="385"/>
      <c r="AG466" s="385"/>
      <c r="AH466" s="385"/>
      <c r="AI466" s="385"/>
      <c r="AJ466" s="385"/>
      <c r="AK466" s="385"/>
      <c r="AL466" s="385"/>
      <c r="AM466" s="385"/>
      <c r="AN466" s="385"/>
      <c r="AO466" s="385"/>
      <c r="AP466" s="385"/>
      <c r="AQ466" s="385"/>
      <c r="AR466" s="385"/>
      <c r="AS466" s="385"/>
      <c r="AT466" s="385"/>
      <c r="AU466" s="385"/>
      <c r="AV466" s="385"/>
      <c r="AW466" s="385"/>
      <c r="AX466" s="385"/>
    </row>
    <row r="467" spans="1:50" ht="10.8" hidden="1" thickTop="1" x14ac:dyDescent="0.2">
      <c r="A467" s="385"/>
      <c r="B467" s="385"/>
      <c r="C467" s="385"/>
      <c r="D467" s="385"/>
      <c r="E467" s="385"/>
      <c r="F467" s="385"/>
      <c r="G467" s="385"/>
      <c r="H467" s="385"/>
      <c r="I467" s="442"/>
      <c r="J467" s="442"/>
      <c r="K467" s="442"/>
      <c r="L467" s="442"/>
      <c r="M467" s="442"/>
      <c r="N467" s="442"/>
      <c r="O467" s="443"/>
      <c r="P467" s="385"/>
      <c r="Q467" s="385"/>
      <c r="R467" s="385"/>
      <c r="S467" s="385"/>
      <c r="T467" s="385"/>
      <c r="U467" s="385"/>
      <c r="V467" s="385"/>
      <c r="W467" s="385"/>
      <c r="X467" s="385"/>
      <c r="Y467" s="385"/>
      <c r="Z467" s="385"/>
      <c r="AA467" s="385"/>
      <c r="AB467" s="385"/>
      <c r="AC467" s="385"/>
      <c r="AD467" s="385"/>
      <c r="AE467" s="385"/>
      <c r="AF467" s="385"/>
      <c r="AG467" s="385"/>
      <c r="AH467" s="385"/>
      <c r="AI467" s="385"/>
      <c r="AJ467" s="385"/>
      <c r="AK467" s="385"/>
      <c r="AL467" s="385"/>
      <c r="AM467" s="385"/>
      <c r="AN467" s="385"/>
      <c r="AO467" s="385"/>
      <c r="AP467" s="385"/>
      <c r="AQ467" s="385"/>
      <c r="AR467" s="385"/>
      <c r="AS467" s="385"/>
      <c r="AT467" s="385"/>
      <c r="AU467" s="385"/>
      <c r="AV467" s="385"/>
      <c r="AW467" s="385"/>
      <c r="AX467" s="385"/>
    </row>
    <row r="468" spans="1:50" ht="10.8" hidden="1" thickTop="1" x14ac:dyDescent="0.2">
      <c r="A468" s="385"/>
      <c r="B468" s="385"/>
      <c r="C468" s="385"/>
      <c r="D468" s="385"/>
      <c r="E468" s="385"/>
      <c r="F468" s="385"/>
      <c r="G468" s="385"/>
      <c r="H468" s="385"/>
      <c r="I468" s="442"/>
      <c r="J468" s="442"/>
      <c r="K468" s="442"/>
      <c r="L468" s="442"/>
      <c r="M468" s="442"/>
      <c r="N468" s="442"/>
      <c r="O468" s="443"/>
      <c r="P468" s="385"/>
      <c r="Q468" s="385"/>
      <c r="R468" s="385"/>
      <c r="S468" s="385"/>
      <c r="T468" s="385"/>
      <c r="U468" s="385"/>
      <c r="V468" s="385"/>
      <c r="W468" s="385"/>
      <c r="X468" s="385"/>
      <c r="Y468" s="385"/>
      <c r="Z468" s="385"/>
      <c r="AA468" s="385"/>
      <c r="AB468" s="385"/>
      <c r="AC468" s="385"/>
      <c r="AD468" s="385"/>
      <c r="AE468" s="385"/>
      <c r="AF468" s="385"/>
      <c r="AG468" s="385"/>
      <c r="AH468" s="385"/>
      <c r="AI468" s="385"/>
      <c r="AJ468" s="385"/>
      <c r="AK468" s="385"/>
      <c r="AL468" s="385"/>
      <c r="AM468" s="385"/>
      <c r="AN468" s="385"/>
      <c r="AO468" s="385"/>
      <c r="AP468" s="385"/>
      <c r="AQ468" s="385"/>
      <c r="AR468" s="385"/>
      <c r="AS468" s="385"/>
      <c r="AT468" s="385"/>
      <c r="AU468" s="385"/>
      <c r="AV468" s="385"/>
      <c r="AW468" s="385"/>
      <c r="AX468" s="385"/>
    </row>
    <row r="469" spans="1:50" ht="10.8" hidden="1" thickTop="1" x14ac:dyDescent="0.2">
      <c r="A469" s="385"/>
      <c r="B469" s="385"/>
      <c r="C469" s="385"/>
      <c r="D469" s="385"/>
      <c r="E469" s="385"/>
      <c r="F469" s="385"/>
      <c r="G469" s="385"/>
      <c r="H469" s="385"/>
      <c r="I469" s="442"/>
      <c r="J469" s="442"/>
      <c r="K469" s="442"/>
      <c r="L469" s="442"/>
      <c r="M469" s="442"/>
      <c r="N469" s="442"/>
      <c r="O469" s="443"/>
      <c r="P469" s="385"/>
      <c r="Q469" s="385"/>
      <c r="R469" s="385"/>
      <c r="S469" s="385"/>
      <c r="T469" s="385"/>
      <c r="U469" s="385"/>
      <c r="V469" s="385"/>
      <c r="W469" s="385"/>
      <c r="X469" s="385"/>
      <c r="Y469" s="385"/>
      <c r="Z469" s="385"/>
      <c r="AA469" s="385"/>
      <c r="AB469" s="385"/>
      <c r="AC469" s="385"/>
      <c r="AD469" s="385"/>
      <c r="AE469" s="385"/>
      <c r="AF469" s="385"/>
      <c r="AG469" s="385"/>
      <c r="AH469" s="385"/>
      <c r="AI469" s="385"/>
      <c r="AJ469" s="385"/>
      <c r="AK469" s="385"/>
      <c r="AL469" s="385"/>
      <c r="AM469" s="385"/>
      <c r="AN469" s="385"/>
      <c r="AO469" s="385"/>
      <c r="AP469" s="385"/>
      <c r="AQ469" s="385"/>
      <c r="AR469" s="385"/>
      <c r="AS469" s="385"/>
      <c r="AT469" s="385"/>
      <c r="AU469" s="385"/>
      <c r="AV469" s="385"/>
      <c r="AW469" s="385"/>
      <c r="AX469" s="385"/>
    </row>
    <row r="470" spans="1:50" ht="10.8" hidden="1" thickTop="1" x14ac:dyDescent="0.2">
      <c r="A470" s="385"/>
      <c r="B470" s="385"/>
      <c r="C470" s="385"/>
      <c r="D470" s="385"/>
      <c r="E470" s="385"/>
      <c r="F470" s="385"/>
      <c r="G470" s="385"/>
      <c r="H470" s="385"/>
      <c r="I470" s="442"/>
      <c r="J470" s="442"/>
      <c r="K470" s="442"/>
      <c r="L470" s="442"/>
      <c r="M470" s="442"/>
      <c r="N470" s="442"/>
      <c r="O470" s="443"/>
      <c r="P470" s="385"/>
      <c r="Q470" s="385"/>
      <c r="R470" s="385"/>
      <c r="S470" s="385"/>
      <c r="T470" s="385"/>
      <c r="U470" s="385"/>
      <c r="V470" s="385"/>
      <c r="W470" s="385"/>
      <c r="X470" s="385"/>
      <c r="Y470" s="385"/>
      <c r="Z470" s="385"/>
      <c r="AA470" s="385"/>
      <c r="AB470" s="385"/>
      <c r="AC470" s="385"/>
      <c r="AD470" s="385"/>
      <c r="AE470" s="385"/>
      <c r="AF470" s="385"/>
      <c r="AG470" s="385"/>
      <c r="AH470" s="385"/>
      <c r="AI470" s="385"/>
      <c r="AJ470" s="385"/>
      <c r="AK470" s="385"/>
      <c r="AL470" s="385"/>
      <c r="AM470" s="385"/>
      <c r="AN470" s="385"/>
      <c r="AO470" s="385"/>
      <c r="AP470" s="385"/>
      <c r="AQ470" s="385"/>
      <c r="AR470" s="385"/>
      <c r="AS470" s="385"/>
      <c r="AT470" s="385"/>
      <c r="AU470" s="385"/>
      <c r="AV470" s="385"/>
      <c r="AW470" s="385"/>
      <c r="AX470" s="385"/>
    </row>
    <row r="471" spans="1:50" ht="10.8" hidden="1" thickTop="1" x14ac:dyDescent="0.2">
      <c r="A471" s="385"/>
      <c r="B471" s="444"/>
      <c r="C471" s="385"/>
      <c r="D471" s="385"/>
      <c r="E471" s="385"/>
      <c r="F471" s="385"/>
      <c r="G471" s="385"/>
      <c r="H471" s="385"/>
      <c r="I471" s="442"/>
      <c r="J471" s="442"/>
      <c r="K471" s="442"/>
      <c r="L471" s="442"/>
      <c r="M471" s="442"/>
      <c r="N471" s="442"/>
      <c r="O471" s="443"/>
      <c r="P471" s="385"/>
      <c r="Q471" s="385"/>
      <c r="R471" s="385"/>
      <c r="S471" s="385"/>
      <c r="T471" s="385"/>
      <c r="U471" s="385"/>
      <c r="V471" s="385"/>
      <c r="W471" s="385"/>
      <c r="X471" s="385"/>
      <c r="Y471" s="385"/>
      <c r="Z471" s="385"/>
      <c r="AA471" s="385"/>
      <c r="AB471" s="385"/>
      <c r="AC471" s="385"/>
      <c r="AD471" s="385"/>
      <c r="AE471" s="385"/>
      <c r="AF471" s="385"/>
      <c r="AG471" s="385"/>
      <c r="AH471" s="385"/>
      <c r="AI471" s="385"/>
      <c r="AJ471" s="385"/>
      <c r="AK471" s="385"/>
      <c r="AL471" s="385"/>
      <c r="AM471" s="385"/>
      <c r="AN471" s="385"/>
      <c r="AO471" s="385"/>
      <c r="AP471" s="385"/>
      <c r="AQ471" s="385"/>
      <c r="AR471" s="385"/>
      <c r="AS471" s="385"/>
      <c r="AT471" s="385"/>
      <c r="AU471" s="385"/>
      <c r="AV471" s="385"/>
      <c r="AW471" s="385"/>
      <c r="AX471" s="385"/>
    </row>
    <row r="472" spans="1:50" ht="10.8" hidden="1" thickTop="1" x14ac:dyDescent="0.2">
      <c r="A472" s="385"/>
      <c r="B472" s="455"/>
      <c r="C472" s="455"/>
      <c r="D472" s="455"/>
      <c r="E472" s="455"/>
      <c r="F472" s="385"/>
      <c r="G472" s="385"/>
      <c r="H472" s="385"/>
      <c r="I472" s="442"/>
      <c r="J472" s="442"/>
      <c r="K472" s="442"/>
      <c r="L472" s="442"/>
      <c r="M472" s="442"/>
      <c r="N472" s="442"/>
      <c r="O472" s="443"/>
      <c r="P472" s="385"/>
      <c r="Q472" s="385"/>
      <c r="R472" s="385"/>
      <c r="S472" s="385"/>
      <c r="T472" s="385"/>
      <c r="U472" s="385"/>
      <c r="V472" s="385"/>
      <c r="W472" s="385"/>
      <c r="X472" s="385"/>
      <c r="Y472" s="385"/>
      <c r="Z472" s="385"/>
      <c r="AA472" s="385"/>
      <c r="AB472" s="385"/>
      <c r="AC472" s="385"/>
      <c r="AD472" s="385"/>
      <c r="AE472" s="385"/>
      <c r="AF472" s="385"/>
      <c r="AG472" s="385"/>
      <c r="AH472" s="385"/>
      <c r="AI472" s="385"/>
      <c r="AJ472" s="385"/>
      <c r="AK472" s="385"/>
      <c r="AL472" s="385"/>
      <c r="AM472" s="385"/>
      <c r="AN472" s="385"/>
      <c r="AO472" s="385"/>
      <c r="AP472" s="385"/>
      <c r="AQ472" s="385"/>
      <c r="AR472" s="385"/>
      <c r="AS472" s="385"/>
      <c r="AT472" s="385"/>
      <c r="AU472" s="385"/>
      <c r="AV472" s="385"/>
      <c r="AW472" s="385"/>
      <c r="AX472" s="385"/>
    </row>
    <row r="473" spans="1:50" ht="10.8" hidden="1" thickTop="1" x14ac:dyDescent="0.2">
      <c r="A473" s="385"/>
      <c r="B473" s="455"/>
      <c r="C473" s="455"/>
      <c r="D473" s="455"/>
      <c r="E473" s="455"/>
      <c r="F473" s="385"/>
      <c r="G473" s="385"/>
      <c r="H473" s="385"/>
      <c r="I473" s="442"/>
      <c r="J473" s="442"/>
      <c r="K473" s="442"/>
      <c r="L473" s="442"/>
      <c r="M473" s="442"/>
      <c r="N473" s="442"/>
      <c r="O473" s="443"/>
      <c r="P473" s="385"/>
      <c r="Q473" s="385"/>
      <c r="R473" s="385"/>
      <c r="S473" s="385"/>
      <c r="T473" s="385"/>
      <c r="U473" s="385"/>
      <c r="V473" s="385"/>
      <c r="W473" s="385"/>
      <c r="X473" s="385"/>
      <c r="Y473" s="385"/>
      <c r="Z473" s="385"/>
      <c r="AA473" s="385"/>
      <c r="AB473" s="385"/>
      <c r="AC473" s="385"/>
      <c r="AD473" s="385"/>
      <c r="AE473" s="385"/>
      <c r="AF473" s="385"/>
      <c r="AG473" s="385"/>
      <c r="AH473" s="385"/>
      <c r="AI473" s="385"/>
      <c r="AJ473" s="385"/>
      <c r="AK473" s="385"/>
      <c r="AL473" s="385"/>
      <c r="AM473" s="385"/>
      <c r="AN473" s="385"/>
      <c r="AO473" s="385"/>
      <c r="AP473" s="385"/>
      <c r="AQ473" s="385"/>
      <c r="AR473" s="385"/>
      <c r="AS473" s="385"/>
      <c r="AT473" s="385"/>
      <c r="AU473" s="385"/>
      <c r="AV473" s="385"/>
      <c r="AW473" s="385"/>
      <c r="AX473" s="385"/>
    </row>
    <row r="474" spans="1:50" ht="10.8" hidden="1" thickTop="1" x14ac:dyDescent="0.2">
      <c r="A474" s="385"/>
      <c r="B474" s="455"/>
      <c r="C474" s="455"/>
      <c r="D474" s="455"/>
      <c r="E474" s="455"/>
      <c r="F474" s="385"/>
      <c r="G474" s="385"/>
      <c r="H474" s="385"/>
      <c r="I474" s="442"/>
      <c r="J474" s="442"/>
      <c r="K474" s="442"/>
      <c r="L474" s="442"/>
      <c r="M474" s="442"/>
      <c r="N474" s="442"/>
      <c r="O474" s="443"/>
      <c r="P474" s="385"/>
      <c r="Q474" s="385"/>
      <c r="R474" s="385"/>
      <c r="S474" s="385"/>
      <c r="T474" s="385"/>
      <c r="U474" s="385"/>
      <c r="V474" s="385"/>
      <c r="W474" s="385"/>
      <c r="X474" s="385"/>
      <c r="Y474" s="385"/>
      <c r="Z474" s="385"/>
      <c r="AA474" s="385"/>
      <c r="AB474" s="385"/>
      <c r="AC474" s="385"/>
      <c r="AD474" s="385"/>
      <c r="AE474" s="385"/>
      <c r="AF474" s="385"/>
      <c r="AG474" s="385"/>
      <c r="AH474" s="385"/>
      <c r="AI474" s="385"/>
      <c r="AJ474" s="385"/>
      <c r="AK474" s="385"/>
      <c r="AL474" s="385"/>
      <c r="AM474" s="385"/>
      <c r="AN474" s="385"/>
      <c r="AO474" s="385"/>
      <c r="AP474" s="385"/>
      <c r="AQ474" s="385"/>
      <c r="AR474" s="385"/>
      <c r="AS474" s="385"/>
      <c r="AT474" s="385"/>
      <c r="AU474" s="385"/>
      <c r="AV474" s="385"/>
      <c r="AW474" s="385"/>
      <c r="AX474" s="385"/>
    </row>
    <row r="475" spans="1:50" ht="10.8" hidden="1" thickTop="1" x14ac:dyDescent="0.2">
      <c r="A475" s="385"/>
      <c r="B475" s="455"/>
      <c r="C475" s="455"/>
      <c r="D475" s="455"/>
      <c r="E475" s="455"/>
      <c r="F475" s="385"/>
      <c r="G475" s="385"/>
      <c r="H475" s="385"/>
      <c r="I475" s="442"/>
      <c r="J475" s="442"/>
      <c r="K475" s="442"/>
      <c r="L475" s="442"/>
      <c r="M475" s="442"/>
      <c r="N475" s="442"/>
      <c r="O475" s="443"/>
      <c r="P475" s="385"/>
      <c r="Q475" s="385"/>
      <c r="R475" s="385"/>
      <c r="S475" s="385"/>
      <c r="T475" s="385"/>
      <c r="U475" s="385"/>
      <c r="V475" s="385"/>
      <c r="W475" s="385"/>
      <c r="X475" s="385"/>
      <c r="Y475" s="385"/>
      <c r="Z475" s="385"/>
      <c r="AA475" s="385"/>
      <c r="AB475" s="385"/>
      <c r="AC475" s="385"/>
      <c r="AD475" s="385"/>
      <c r="AE475" s="385"/>
      <c r="AF475" s="385"/>
      <c r="AG475" s="385"/>
      <c r="AH475" s="385"/>
      <c r="AI475" s="385"/>
      <c r="AJ475" s="385"/>
      <c r="AK475" s="385"/>
      <c r="AL475" s="385"/>
      <c r="AM475" s="385"/>
      <c r="AN475" s="385"/>
      <c r="AO475" s="385"/>
      <c r="AP475" s="385"/>
      <c r="AQ475" s="385"/>
      <c r="AR475" s="385"/>
      <c r="AS475" s="385"/>
      <c r="AT475" s="385"/>
      <c r="AU475" s="385"/>
      <c r="AV475" s="385"/>
      <c r="AW475" s="385"/>
      <c r="AX475" s="385"/>
    </row>
    <row r="476" spans="1:50" ht="10.8" hidden="1" thickTop="1" x14ac:dyDescent="0.2">
      <c r="A476" s="385"/>
      <c r="B476" s="385"/>
      <c r="C476" s="385"/>
      <c r="D476" s="385"/>
      <c r="E476" s="385"/>
      <c r="F476" s="385"/>
      <c r="G476" s="385"/>
      <c r="H476" s="385"/>
      <c r="I476" s="442"/>
      <c r="J476" s="442"/>
      <c r="K476" s="442"/>
      <c r="L476" s="442"/>
      <c r="M476" s="442"/>
      <c r="N476" s="442"/>
      <c r="O476" s="443"/>
      <c r="P476" s="385"/>
      <c r="Q476" s="385"/>
      <c r="R476" s="385"/>
      <c r="S476" s="385"/>
      <c r="T476" s="385"/>
      <c r="U476" s="385"/>
      <c r="V476" s="385"/>
      <c r="W476" s="385"/>
      <c r="X476" s="385"/>
      <c r="Y476" s="385"/>
      <c r="Z476" s="385"/>
      <c r="AA476" s="385"/>
      <c r="AB476" s="385"/>
      <c r="AC476" s="385"/>
      <c r="AD476" s="385"/>
      <c r="AE476" s="385"/>
      <c r="AF476" s="385"/>
      <c r="AG476" s="385"/>
      <c r="AH476" s="385"/>
      <c r="AI476" s="385"/>
      <c r="AJ476" s="385"/>
      <c r="AK476" s="385"/>
      <c r="AL476" s="385"/>
      <c r="AM476" s="385"/>
      <c r="AN476" s="385"/>
      <c r="AO476" s="385"/>
      <c r="AP476" s="385"/>
      <c r="AQ476" s="385"/>
      <c r="AR476" s="385"/>
      <c r="AS476" s="385"/>
      <c r="AT476" s="385"/>
      <c r="AU476" s="385"/>
      <c r="AV476" s="385"/>
      <c r="AW476" s="385"/>
      <c r="AX476" s="385"/>
    </row>
    <row r="477" spans="1:50" ht="10.8" hidden="1" thickTop="1" x14ac:dyDescent="0.2">
      <c r="A477" s="385"/>
      <c r="B477" s="385"/>
      <c r="C477" s="385"/>
      <c r="D477" s="385"/>
      <c r="E477" s="385"/>
      <c r="F477" s="385"/>
      <c r="G477" s="385"/>
      <c r="H477" s="385"/>
      <c r="I477" s="442"/>
      <c r="J477" s="442"/>
      <c r="K477" s="442"/>
      <c r="L477" s="442"/>
      <c r="M477" s="442"/>
      <c r="N477" s="442"/>
      <c r="O477" s="443"/>
      <c r="P477" s="385"/>
      <c r="Q477" s="385"/>
      <c r="R477" s="385"/>
      <c r="S477" s="385"/>
      <c r="T477" s="385"/>
      <c r="U477" s="385"/>
      <c r="V477" s="385"/>
      <c r="W477" s="385"/>
      <c r="X477" s="385"/>
      <c r="Y477" s="385"/>
      <c r="Z477" s="385"/>
      <c r="AA477" s="385"/>
      <c r="AB477" s="385"/>
      <c r="AC477" s="385"/>
      <c r="AD477" s="385"/>
      <c r="AE477" s="385"/>
      <c r="AF477" s="385"/>
      <c r="AG477" s="385"/>
      <c r="AH477" s="385"/>
      <c r="AI477" s="385"/>
      <c r="AJ477" s="385"/>
      <c r="AK477" s="385"/>
      <c r="AL477" s="385"/>
      <c r="AM477" s="385"/>
      <c r="AN477" s="385"/>
      <c r="AO477" s="385"/>
      <c r="AP477" s="385"/>
      <c r="AQ477" s="385"/>
      <c r="AR477" s="385"/>
      <c r="AS477" s="385"/>
      <c r="AT477" s="385"/>
      <c r="AU477" s="385"/>
      <c r="AV477" s="385"/>
      <c r="AW477" s="385"/>
      <c r="AX477" s="385"/>
    </row>
    <row r="478" spans="1:50" ht="10.8" hidden="1" thickTop="1" x14ac:dyDescent="0.2">
      <c r="A478" s="385"/>
      <c r="B478" s="385"/>
      <c r="C478" s="385"/>
      <c r="D478" s="385"/>
      <c r="E478" s="385"/>
      <c r="F478" s="385"/>
      <c r="G478" s="385"/>
      <c r="H478" s="385"/>
      <c r="I478" s="442"/>
      <c r="J478" s="442"/>
      <c r="K478" s="442"/>
      <c r="L478" s="442"/>
      <c r="M478" s="442"/>
      <c r="N478" s="442"/>
      <c r="O478" s="443"/>
      <c r="P478" s="385"/>
      <c r="Q478" s="385"/>
      <c r="R478" s="385"/>
      <c r="S478" s="385"/>
      <c r="T478" s="385"/>
      <c r="U478" s="385"/>
      <c r="V478" s="385"/>
      <c r="W478" s="385"/>
      <c r="X478" s="385"/>
      <c r="Y478" s="385"/>
      <c r="Z478" s="385"/>
      <c r="AA478" s="385"/>
      <c r="AB478" s="385"/>
      <c r="AC478" s="385"/>
      <c r="AD478" s="385"/>
      <c r="AE478" s="385"/>
      <c r="AF478" s="385"/>
      <c r="AG478" s="385"/>
      <c r="AH478" s="385"/>
      <c r="AI478" s="385"/>
      <c r="AJ478" s="385"/>
      <c r="AK478" s="385"/>
      <c r="AL478" s="385"/>
      <c r="AM478" s="385"/>
      <c r="AN478" s="385"/>
      <c r="AO478" s="385"/>
      <c r="AP478" s="385"/>
      <c r="AQ478" s="385"/>
      <c r="AR478" s="385"/>
      <c r="AS478" s="385"/>
      <c r="AT478" s="385"/>
      <c r="AU478" s="385"/>
      <c r="AV478" s="385"/>
      <c r="AW478" s="385"/>
      <c r="AX478" s="385"/>
    </row>
    <row r="479" spans="1:50" ht="10.8" hidden="1" thickTop="1" x14ac:dyDescent="0.2">
      <c r="A479" s="385"/>
      <c r="B479" s="444"/>
      <c r="C479" s="385"/>
      <c r="D479" s="385"/>
      <c r="E479" s="385"/>
      <c r="F479" s="385"/>
      <c r="G479" s="385"/>
      <c r="H479" s="385"/>
      <c r="I479" s="442"/>
      <c r="J479" s="442"/>
      <c r="K479" s="442"/>
      <c r="L479" s="442"/>
      <c r="M479" s="442"/>
      <c r="N479" s="442"/>
      <c r="O479" s="443"/>
      <c r="P479" s="385"/>
      <c r="Q479" s="385"/>
      <c r="R479" s="385"/>
      <c r="S479" s="385"/>
      <c r="T479" s="385"/>
      <c r="U479" s="385"/>
      <c r="V479" s="385"/>
      <c r="W479" s="385"/>
      <c r="X479" s="385"/>
      <c r="Y479" s="385"/>
      <c r="Z479" s="385"/>
      <c r="AA479" s="385"/>
      <c r="AB479" s="385"/>
      <c r="AC479" s="385"/>
      <c r="AD479" s="385"/>
      <c r="AE479" s="385"/>
      <c r="AF479" s="385"/>
      <c r="AG479" s="385"/>
      <c r="AH479" s="385"/>
      <c r="AI479" s="385"/>
      <c r="AJ479" s="385"/>
      <c r="AK479" s="385"/>
      <c r="AL479" s="385"/>
      <c r="AM479" s="385"/>
      <c r="AN479" s="385"/>
      <c r="AO479" s="385"/>
      <c r="AP479" s="385"/>
      <c r="AQ479" s="385"/>
      <c r="AR479" s="385"/>
      <c r="AS479" s="385"/>
      <c r="AT479" s="385"/>
      <c r="AU479" s="385"/>
      <c r="AV479" s="385"/>
      <c r="AW479" s="385"/>
      <c r="AX479" s="385"/>
    </row>
    <row r="480" spans="1:50" ht="10.8" hidden="1" thickTop="1" x14ac:dyDescent="0.2">
      <c r="A480" s="385"/>
      <c r="B480" s="385"/>
      <c r="C480" s="385"/>
      <c r="D480" s="385"/>
      <c r="E480" s="385"/>
      <c r="F480" s="385"/>
      <c r="G480" s="385"/>
      <c r="H480" s="385"/>
      <c r="I480" s="442"/>
      <c r="J480" s="442"/>
      <c r="K480" s="442"/>
      <c r="L480" s="442"/>
      <c r="M480" s="442"/>
      <c r="N480" s="442"/>
      <c r="O480" s="443"/>
      <c r="P480" s="385"/>
      <c r="Q480" s="385"/>
      <c r="R480" s="385"/>
      <c r="S480" s="385"/>
      <c r="T480" s="385"/>
      <c r="U480" s="385"/>
      <c r="V480" s="385"/>
      <c r="W480" s="385"/>
      <c r="X480" s="385"/>
      <c r="Y480" s="385"/>
      <c r="Z480" s="385"/>
      <c r="AA480" s="385"/>
      <c r="AB480" s="385"/>
      <c r="AC480" s="385"/>
      <c r="AD480" s="385"/>
      <c r="AE480" s="385"/>
      <c r="AF480" s="385"/>
      <c r="AG480" s="385"/>
      <c r="AH480" s="385"/>
      <c r="AI480" s="385"/>
      <c r="AJ480" s="385"/>
      <c r="AK480" s="385"/>
      <c r="AL480" s="385"/>
      <c r="AM480" s="385"/>
      <c r="AN480" s="385"/>
      <c r="AO480" s="385"/>
      <c r="AP480" s="385"/>
      <c r="AQ480" s="385"/>
      <c r="AR480" s="385"/>
      <c r="AS480" s="385"/>
      <c r="AT480" s="385"/>
      <c r="AU480" s="385"/>
      <c r="AV480" s="385"/>
      <c r="AW480" s="385"/>
      <c r="AX480" s="385"/>
    </row>
    <row r="481" spans="1:50" ht="10.8" hidden="1" thickTop="1" x14ac:dyDescent="0.2">
      <c r="A481" s="385"/>
      <c r="B481" s="385"/>
      <c r="C481" s="385"/>
      <c r="D481" s="385"/>
      <c r="E481" s="385"/>
      <c r="F481" s="385"/>
      <c r="G481" s="385"/>
      <c r="H481" s="385"/>
      <c r="I481" s="442"/>
      <c r="J481" s="442"/>
      <c r="K481" s="442"/>
      <c r="L481" s="442"/>
      <c r="M481" s="442"/>
      <c r="N481" s="442"/>
      <c r="O481" s="443"/>
      <c r="P481" s="385"/>
      <c r="Q481" s="385"/>
      <c r="R481" s="385"/>
      <c r="S481" s="385"/>
      <c r="T481" s="385"/>
      <c r="U481" s="385"/>
      <c r="V481" s="385"/>
      <c r="W481" s="385"/>
      <c r="X481" s="385"/>
      <c r="Y481" s="385"/>
      <c r="Z481" s="385"/>
      <c r="AA481" s="385"/>
      <c r="AB481" s="385"/>
      <c r="AC481" s="385"/>
      <c r="AD481" s="385"/>
      <c r="AE481" s="385"/>
      <c r="AF481" s="385"/>
      <c r="AG481" s="385"/>
      <c r="AH481" s="385"/>
      <c r="AI481" s="385"/>
      <c r="AJ481" s="385"/>
      <c r="AK481" s="385"/>
      <c r="AL481" s="385"/>
      <c r="AM481" s="385"/>
      <c r="AN481" s="385"/>
      <c r="AO481" s="385"/>
      <c r="AP481" s="385"/>
      <c r="AQ481" s="385"/>
      <c r="AR481" s="385"/>
      <c r="AS481" s="385"/>
      <c r="AT481" s="385"/>
      <c r="AU481" s="385"/>
      <c r="AV481" s="385"/>
      <c r="AW481" s="385"/>
      <c r="AX481" s="385"/>
    </row>
    <row r="482" spans="1:50" ht="10.8" hidden="1" thickTop="1" x14ac:dyDescent="0.2">
      <c r="A482" s="385"/>
      <c r="B482" s="385"/>
      <c r="C482" s="385"/>
      <c r="D482" s="385"/>
      <c r="E482" s="385"/>
      <c r="F482" s="385"/>
      <c r="G482" s="385"/>
      <c r="H482" s="385"/>
      <c r="I482" s="442"/>
      <c r="J482" s="442"/>
      <c r="K482" s="442"/>
      <c r="L482" s="442"/>
      <c r="M482" s="442"/>
      <c r="N482" s="442"/>
      <c r="O482" s="443"/>
      <c r="P482" s="385"/>
      <c r="Q482" s="385"/>
      <c r="R482" s="385"/>
      <c r="S482" s="385"/>
      <c r="T482" s="385"/>
      <c r="U482" s="385"/>
      <c r="V482" s="385"/>
      <c r="W482" s="385"/>
      <c r="X482" s="385"/>
      <c r="Y482" s="385"/>
      <c r="Z482" s="385"/>
      <c r="AA482" s="385"/>
      <c r="AB482" s="385"/>
      <c r="AC482" s="385"/>
      <c r="AD482" s="385"/>
      <c r="AE482" s="385"/>
      <c r="AF482" s="385"/>
      <c r="AG482" s="385"/>
      <c r="AH482" s="385"/>
      <c r="AI482" s="385"/>
      <c r="AJ482" s="385"/>
      <c r="AK482" s="385"/>
      <c r="AL482" s="385"/>
      <c r="AM482" s="385"/>
      <c r="AN482" s="385"/>
      <c r="AO482" s="385"/>
      <c r="AP482" s="385"/>
      <c r="AQ482" s="385"/>
      <c r="AR482" s="385"/>
      <c r="AS482" s="385"/>
      <c r="AT482" s="385"/>
      <c r="AU482" s="385"/>
      <c r="AV482" s="385"/>
      <c r="AW482" s="385"/>
      <c r="AX482" s="385"/>
    </row>
    <row r="483" spans="1:50" ht="10.8" hidden="1" thickTop="1" x14ac:dyDescent="0.2">
      <c r="A483" s="385"/>
      <c r="B483" s="385"/>
      <c r="C483" s="385"/>
      <c r="D483" s="385"/>
      <c r="E483" s="385"/>
      <c r="F483" s="385"/>
      <c r="G483" s="385"/>
      <c r="H483" s="385"/>
      <c r="I483" s="442"/>
      <c r="J483" s="442"/>
      <c r="K483" s="442"/>
      <c r="L483" s="442"/>
      <c r="M483" s="442"/>
      <c r="N483" s="442"/>
      <c r="O483" s="443"/>
      <c r="P483" s="385"/>
      <c r="Q483" s="385"/>
      <c r="R483" s="385"/>
      <c r="S483" s="385"/>
      <c r="T483" s="385"/>
      <c r="U483" s="385"/>
      <c r="V483" s="385"/>
      <c r="W483" s="385"/>
      <c r="X483" s="385"/>
      <c r="Y483" s="385"/>
      <c r="Z483" s="385"/>
      <c r="AA483" s="385"/>
      <c r="AB483" s="385"/>
      <c r="AC483" s="385"/>
      <c r="AD483" s="385"/>
      <c r="AE483" s="385"/>
      <c r="AF483" s="385"/>
      <c r="AG483" s="385"/>
      <c r="AH483" s="385"/>
      <c r="AI483" s="385"/>
      <c r="AJ483" s="385"/>
      <c r="AK483" s="385"/>
      <c r="AL483" s="385"/>
      <c r="AM483" s="385"/>
      <c r="AN483" s="385"/>
      <c r="AO483" s="385"/>
      <c r="AP483" s="385"/>
      <c r="AQ483" s="385"/>
      <c r="AR483" s="385"/>
      <c r="AS483" s="385"/>
      <c r="AT483" s="385"/>
      <c r="AU483" s="385"/>
      <c r="AV483" s="385"/>
      <c r="AW483" s="385"/>
      <c r="AX483" s="385"/>
    </row>
    <row r="484" spans="1:50" ht="10.8" hidden="1" thickTop="1" x14ac:dyDescent="0.2">
      <c r="A484" s="385"/>
      <c r="B484" s="445"/>
      <c r="C484" s="445"/>
      <c r="D484" s="385"/>
      <c r="E484" s="385"/>
      <c r="F484" s="385"/>
      <c r="G484" s="385"/>
      <c r="H484" s="385"/>
      <c r="I484" s="442"/>
      <c r="J484" s="442"/>
      <c r="K484" s="442"/>
      <c r="L484" s="442"/>
      <c r="M484" s="442"/>
      <c r="N484" s="442"/>
      <c r="O484" s="443"/>
      <c r="P484" s="385"/>
      <c r="Q484" s="385"/>
      <c r="R484" s="385"/>
      <c r="S484" s="385"/>
      <c r="T484" s="385"/>
      <c r="U484" s="385"/>
      <c r="V484" s="385"/>
      <c r="W484" s="385"/>
      <c r="X484" s="385"/>
      <c r="Y484" s="385"/>
      <c r="Z484" s="385"/>
      <c r="AA484" s="385"/>
      <c r="AB484" s="385"/>
      <c r="AC484" s="385"/>
      <c r="AD484" s="385"/>
      <c r="AE484" s="385"/>
      <c r="AF484" s="385"/>
      <c r="AG484" s="385"/>
      <c r="AH484" s="385"/>
      <c r="AI484" s="385"/>
      <c r="AJ484" s="385"/>
      <c r="AK484" s="385"/>
      <c r="AL484" s="385"/>
      <c r="AM484" s="385"/>
      <c r="AN484" s="385"/>
      <c r="AO484" s="385"/>
      <c r="AP484" s="385"/>
      <c r="AQ484" s="385"/>
      <c r="AR484" s="385"/>
      <c r="AS484" s="385"/>
      <c r="AT484" s="385"/>
      <c r="AU484" s="385"/>
      <c r="AV484" s="385"/>
      <c r="AW484" s="385"/>
      <c r="AX484" s="385"/>
    </row>
    <row r="485" spans="1:50" ht="10.8" hidden="1" thickTop="1" x14ac:dyDescent="0.2">
      <c r="A485" s="385"/>
      <c r="B485" s="445"/>
      <c r="C485" s="385"/>
      <c r="D485" s="385"/>
      <c r="E485" s="385"/>
      <c r="F485" s="385"/>
      <c r="G485" s="385"/>
      <c r="H485" s="385"/>
      <c r="I485" s="442"/>
      <c r="J485" s="442"/>
      <c r="K485" s="442"/>
      <c r="L485" s="442"/>
      <c r="M485" s="442"/>
      <c r="N485" s="442"/>
      <c r="O485" s="443"/>
      <c r="P485" s="385"/>
      <c r="Q485" s="385"/>
      <c r="R485" s="385"/>
      <c r="S485" s="385"/>
      <c r="T485" s="385"/>
      <c r="U485" s="385"/>
      <c r="V485" s="385"/>
      <c r="W485" s="385"/>
      <c r="X485" s="385"/>
      <c r="Y485" s="385"/>
      <c r="Z485" s="385"/>
      <c r="AA485" s="385"/>
      <c r="AB485" s="385"/>
      <c r="AC485" s="385"/>
      <c r="AD485" s="385"/>
      <c r="AE485" s="385"/>
      <c r="AF485" s="385"/>
      <c r="AG485" s="385"/>
      <c r="AH485" s="385"/>
      <c r="AI485" s="385"/>
      <c r="AJ485" s="385"/>
      <c r="AK485" s="385"/>
      <c r="AL485" s="385"/>
      <c r="AM485" s="385"/>
      <c r="AN485" s="385"/>
      <c r="AO485" s="385"/>
      <c r="AP485" s="385"/>
      <c r="AQ485" s="385"/>
      <c r="AR485" s="385"/>
      <c r="AS485" s="385"/>
      <c r="AT485" s="385"/>
      <c r="AU485" s="385"/>
      <c r="AV485" s="385"/>
      <c r="AW485" s="385"/>
      <c r="AX485" s="385"/>
    </row>
    <row r="486" spans="1:50" ht="10.8" hidden="1" thickTop="1" x14ac:dyDescent="0.2">
      <c r="A486" s="385"/>
      <c r="B486" s="445"/>
      <c r="C486" s="385"/>
      <c r="D486" s="385"/>
      <c r="E486" s="385"/>
      <c r="F486" s="385"/>
      <c r="G486" s="385"/>
      <c r="H486" s="385"/>
      <c r="I486" s="442"/>
      <c r="J486" s="442"/>
      <c r="K486" s="442"/>
      <c r="L486" s="442"/>
      <c r="M486" s="442"/>
      <c r="N486" s="442"/>
      <c r="O486" s="443"/>
      <c r="P486" s="385"/>
      <c r="Q486" s="385"/>
      <c r="R486" s="385"/>
      <c r="S486" s="385"/>
      <c r="T486" s="385"/>
      <c r="U486" s="385"/>
      <c r="V486" s="385"/>
      <c r="W486" s="385"/>
      <c r="X486" s="385"/>
      <c r="Y486" s="385"/>
      <c r="Z486" s="385"/>
      <c r="AA486" s="385"/>
      <c r="AB486" s="385"/>
      <c r="AC486" s="385"/>
      <c r="AD486" s="385"/>
      <c r="AE486" s="385"/>
      <c r="AF486" s="385"/>
      <c r="AG486" s="385"/>
      <c r="AH486" s="385"/>
      <c r="AI486" s="385"/>
      <c r="AJ486" s="385"/>
      <c r="AK486" s="385"/>
      <c r="AL486" s="385"/>
      <c r="AM486" s="385"/>
      <c r="AN486" s="385"/>
      <c r="AO486" s="385"/>
      <c r="AP486" s="385"/>
      <c r="AQ486" s="385"/>
      <c r="AR486" s="385"/>
      <c r="AS486" s="385"/>
      <c r="AT486" s="385"/>
      <c r="AU486" s="385"/>
      <c r="AV486" s="385"/>
      <c r="AW486" s="385"/>
      <c r="AX486" s="385"/>
    </row>
    <row r="487" spans="1:50" ht="10.8" hidden="1" thickTop="1" x14ac:dyDescent="0.2">
      <c r="A487" s="385"/>
      <c r="B487" s="445"/>
      <c r="C487" s="385"/>
      <c r="D487" s="385"/>
      <c r="E487" s="385"/>
      <c r="F487" s="385"/>
      <c r="G487" s="385"/>
      <c r="H487" s="385"/>
      <c r="I487" s="442"/>
      <c r="J487" s="442"/>
      <c r="K487" s="442"/>
      <c r="L487" s="442"/>
      <c r="M487" s="442"/>
      <c r="N487" s="442"/>
      <c r="O487" s="443"/>
      <c r="P487" s="385"/>
      <c r="Q487" s="385"/>
      <c r="R487" s="385"/>
      <c r="S487" s="385"/>
      <c r="T487" s="385"/>
      <c r="U487" s="385"/>
      <c r="V487" s="385"/>
      <c r="W487" s="385"/>
      <c r="X487" s="385"/>
      <c r="Y487" s="385"/>
      <c r="Z487" s="385"/>
      <c r="AA487" s="385"/>
      <c r="AB487" s="385"/>
      <c r="AC487" s="385"/>
      <c r="AD487" s="385"/>
      <c r="AE487" s="385"/>
      <c r="AF487" s="385"/>
      <c r="AG487" s="385"/>
      <c r="AH487" s="385"/>
      <c r="AI487" s="385"/>
      <c r="AJ487" s="385"/>
      <c r="AK487" s="385"/>
      <c r="AL487" s="385"/>
      <c r="AM487" s="385"/>
      <c r="AN487" s="385"/>
      <c r="AO487" s="385"/>
      <c r="AP487" s="385"/>
      <c r="AQ487" s="385"/>
      <c r="AR487" s="385"/>
      <c r="AS487" s="385"/>
      <c r="AT487" s="385"/>
      <c r="AU487" s="385"/>
      <c r="AV487" s="385"/>
      <c r="AW487" s="385"/>
      <c r="AX487" s="385"/>
    </row>
    <row r="488" spans="1:50" ht="10.8" hidden="1" thickTop="1" x14ac:dyDescent="0.2">
      <c r="A488" s="385"/>
      <c r="B488" s="445"/>
      <c r="C488" s="385"/>
      <c r="D488" s="385"/>
      <c r="E488" s="385"/>
      <c r="F488" s="385"/>
      <c r="G488" s="385"/>
      <c r="H488" s="385"/>
      <c r="I488" s="442"/>
      <c r="J488" s="442"/>
      <c r="K488" s="442"/>
      <c r="L488" s="442"/>
      <c r="M488" s="442"/>
      <c r="N488" s="442"/>
      <c r="O488" s="443"/>
      <c r="P488" s="385"/>
      <c r="Q488" s="385"/>
      <c r="R488" s="385"/>
      <c r="S488" s="385"/>
      <c r="T488" s="385"/>
      <c r="U488" s="385"/>
      <c r="V488" s="385"/>
      <c r="W488" s="385"/>
      <c r="X488" s="385"/>
      <c r="Y488" s="385"/>
      <c r="Z488" s="385"/>
      <c r="AA488" s="385"/>
      <c r="AB488" s="385"/>
      <c r="AC488" s="385"/>
      <c r="AD488" s="385"/>
      <c r="AE488" s="385"/>
      <c r="AF488" s="385"/>
      <c r="AG488" s="385"/>
      <c r="AH488" s="385"/>
      <c r="AI488" s="385"/>
      <c r="AJ488" s="385"/>
      <c r="AK488" s="385"/>
      <c r="AL488" s="385"/>
      <c r="AM488" s="385"/>
      <c r="AN488" s="385"/>
      <c r="AO488" s="385"/>
      <c r="AP488" s="385"/>
      <c r="AQ488" s="385"/>
      <c r="AR488" s="385"/>
      <c r="AS488" s="385"/>
      <c r="AT488" s="385"/>
      <c r="AU488" s="385"/>
      <c r="AV488" s="385"/>
      <c r="AW488" s="385"/>
      <c r="AX488" s="385"/>
    </row>
    <row r="489" spans="1:50" ht="10.8" hidden="1" thickTop="1" x14ac:dyDescent="0.2">
      <c r="A489" s="385"/>
      <c r="B489" s="445"/>
      <c r="C489" s="385"/>
      <c r="D489" s="385"/>
      <c r="E489" s="385"/>
      <c r="F489" s="385"/>
      <c r="G489" s="385"/>
      <c r="H489" s="385"/>
      <c r="I489" s="442"/>
      <c r="J489" s="442"/>
      <c r="K489" s="442"/>
      <c r="L489" s="442"/>
      <c r="M489" s="442"/>
      <c r="N489" s="442"/>
      <c r="O489" s="443"/>
      <c r="P489" s="385"/>
      <c r="Q489" s="385"/>
      <c r="R489" s="385"/>
      <c r="S489" s="385"/>
      <c r="T489" s="385"/>
      <c r="U489" s="385"/>
      <c r="V489" s="385"/>
      <c r="W489" s="385"/>
      <c r="X489" s="385"/>
      <c r="Y489" s="385"/>
      <c r="Z489" s="385"/>
      <c r="AA489" s="385"/>
      <c r="AB489" s="385"/>
      <c r="AC489" s="385"/>
      <c r="AD489" s="385"/>
      <c r="AE489" s="385"/>
      <c r="AF489" s="385"/>
      <c r="AG489" s="385"/>
      <c r="AH489" s="385"/>
      <c r="AI489" s="385"/>
      <c r="AJ489" s="385"/>
      <c r="AK489" s="385"/>
      <c r="AL489" s="385"/>
      <c r="AM489" s="385"/>
      <c r="AN489" s="385"/>
      <c r="AO489" s="385"/>
      <c r="AP489" s="385"/>
      <c r="AQ489" s="385"/>
      <c r="AR489" s="385"/>
      <c r="AS489" s="385"/>
      <c r="AT489" s="385"/>
      <c r="AU489" s="385"/>
      <c r="AV489" s="385"/>
      <c r="AW489" s="385"/>
      <c r="AX489" s="385"/>
    </row>
    <row r="490" spans="1:50" ht="10.8" hidden="1" thickTop="1" x14ac:dyDescent="0.2">
      <c r="A490" s="385"/>
      <c r="B490" s="445"/>
      <c r="C490" s="385"/>
      <c r="D490" s="385"/>
      <c r="E490" s="385"/>
      <c r="F490" s="385"/>
      <c r="G490" s="385"/>
      <c r="H490" s="385"/>
      <c r="I490" s="442"/>
      <c r="J490" s="442"/>
      <c r="K490" s="442"/>
      <c r="L490" s="442"/>
      <c r="M490" s="442"/>
      <c r="N490" s="442"/>
      <c r="O490" s="443"/>
      <c r="P490" s="385"/>
      <c r="Q490" s="385"/>
      <c r="R490" s="385"/>
      <c r="S490" s="385"/>
      <c r="T490" s="385"/>
      <c r="U490" s="385"/>
      <c r="V490" s="385"/>
      <c r="W490" s="385"/>
      <c r="X490" s="385"/>
      <c r="Y490" s="385"/>
      <c r="Z490" s="385"/>
      <c r="AA490" s="385"/>
      <c r="AB490" s="385"/>
      <c r="AC490" s="385"/>
      <c r="AD490" s="385"/>
      <c r="AE490" s="385"/>
      <c r="AF490" s="385"/>
      <c r="AG490" s="385"/>
      <c r="AH490" s="385"/>
      <c r="AI490" s="385"/>
      <c r="AJ490" s="385"/>
      <c r="AK490" s="385"/>
      <c r="AL490" s="385"/>
      <c r="AM490" s="385"/>
      <c r="AN490" s="385"/>
      <c r="AO490" s="385"/>
      <c r="AP490" s="385"/>
      <c r="AQ490" s="385"/>
      <c r="AR490" s="385"/>
      <c r="AS490" s="385"/>
      <c r="AT490" s="385"/>
      <c r="AU490" s="385"/>
      <c r="AV490" s="385"/>
      <c r="AW490" s="385"/>
      <c r="AX490" s="385"/>
    </row>
    <row r="491" spans="1:50" ht="10.8" hidden="1" thickTop="1" x14ac:dyDescent="0.2">
      <c r="A491" s="385"/>
      <c r="B491" s="445"/>
      <c r="C491" s="385"/>
      <c r="D491" s="385"/>
      <c r="E491" s="385"/>
      <c r="F491" s="385"/>
      <c r="G491" s="385"/>
      <c r="H491" s="385"/>
      <c r="I491" s="442"/>
      <c r="J491" s="442"/>
      <c r="K491" s="442"/>
      <c r="L491" s="442"/>
      <c r="M491" s="442"/>
      <c r="N491" s="442"/>
      <c r="O491" s="443"/>
      <c r="P491" s="385"/>
      <c r="Q491" s="385"/>
      <c r="R491" s="385"/>
      <c r="S491" s="385"/>
      <c r="T491" s="385"/>
      <c r="U491" s="385"/>
      <c r="V491" s="385"/>
      <c r="W491" s="385"/>
      <c r="X491" s="385"/>
      <c r="Y491" s="385"/>
      <c r="Z491" s="385"/>
      <c r="AA491" s="385"/>
      <c r="AB491" s="385"/>
      <c r="AC491" s="385"/>
      <c r="AD491" s="385"/>
      <c r="AE491" s="385"/>
      <c r="AF491" s="385"/>
      <c r="AG491" s="385"/>
      <c r="AH491" s="385"/>
      <c r="AI491" s="385"/>
      <c r="AJ491" s="385"/>
      <c r="AK491" s="385"/>
      <c r="AL491" s="385"/>
      <c r="AM491" s="385"/>
      <c r="AN491" s="385"/>
      <c r="AO491" s="385"/>
      <c r="AP491" s="385"/>
      <c r="AQ491" s="385"/>
      <c r="AR491" s="385"/>
      <c r="AS491" s="385"/>
      <c r="AT491" s="385"/>
      <c r="AU491" s="385"/>
      <c r="AV491" s="385"/>
      <c r="AW491" s="385"/>
      <c r="AX491" s="385"/>
    </row>
    <row r="492" spans="1:50" ht="10.8" hidden="1" thickTop="1" x14ac:dyDescent="0.2">
      <c r="A492" s="385"/>
      <c r="B492" s="445"/>
      <c r="C492" s="385"/>
      <c r="D492" s="385"/>
      <c r="E492" s="385"/>
      <c r="F492" s="385"/>
      <c r="G492" s="385"/>
      <c r="H492" s="385"/>
      <c r="I492" s="442"/>
      <c r="J492" s="442"/>
      <c r="K492" s="442"/>
      <c r="L492" s="442"/>
      <c r="M492" s="442"/>
      <c r="N492" s="442"/>
      <c r="O492" s="443"/>
      <c r="P492" s="385"/>
      <c r="Q492" s="385"/>
      <c r="R492" s="385"/>
      <c r="S492" s="385"/>
      <c r="T492" s="385"/>
      <c r="U492" s="385"/>
      <c r="V492" s="385"/>
      <c r="W492" s="385"/>
      <c r="X492" s="385"/>
      <c r="Y492" s="385"/>
      <c r="Z492" s="385"/>
      <c r="AA492" s="385"/>
      <c r="AB492" s="385"/>
      <c r="AC492" s="385"/>
      <c r="AD492" s="385"/>
      <c r="AE492" s="385"/>
      <c r="AF492" s="385"/>
      <c r="AG492" s="385"/>
      <c r="AH492" s="385"/>
      <c r="AI492" s="385"/>
      <c r="AJ492" s="385"/>
      <c r="AK492" s="385"/>
      <c r="AL492" s="385"/>
      <c r="AM492" s="385"/>
      <c r="AN492" s="385"/>
      <c r="AO492" s="385"/>
      <c r="AP492" s="385"/>
      <c r="AQ492" s="385"/>
      <c r="AR492" s="385"/>
      <c r="AS492" s="385"/>
      <c r="AT492" s="385"/>
      <c r="AU492" s="385"/>
      <c r="AV492" s="385"/>
      <c r="AW492" s="385"/>
      <c r="AX492" s="385"/>
    </row>
    <row r="493" spans="1:50" ht="10.8" hidden="1" thickTop="1" x14ac:dyDescent="0.2">
      <c r="A493" s="385"/>
      <c r="B493" s="445"/>
      <c r="C493" s="385"/>
      <c r="D493" s="385"/>
      <c r="E493" s="385"/>
      <c r="F493" s="385"/>
      <c r="G493" s="385"/>
      <c r="H493" s="385"/>
      <c r="I493" s="442"/>
      <c r="J493" s="442"/>
      <c r="K493" s="442"/>
      <c r="L493" s="442"/>
      <c r="M493" s="442"/>
      <c r="N493" s="442"/>
      <c r="O493" s="443"/>
      <c r="P493" s="385"/>
      <c r="Q493" s="385"/>
      <c r="R493" s="385"/>
      <c r="S493" s="385"/>
      <c r="T493" s="385"/>
      <c r="U493" s="385"/>
      <c r="V493" s="385"/>
      <c r="W493" s="385"/>
      <c r="X493" s="385"/>
      <c r="Y493" s="385"/>
      <c r="Z493" s="385"/>
      <c r="AA493" s="385"/>
      <c r="AB493" s="385"/>
      <c r="AC493" s="385"/>
      <c r="AD493" s="385"/>
      <c r="AE493" s="385"/>
      <c r="AF493" s="385"/>
      <c r="AG493" s="385"/>
      <c r="AH493" s="385"/>
      <c r="AI493" s="385"/>
      <c r="AJ493" s="385"/>
      <c r="AK493" s="385"/>
      <c r="AL493" s="385"/>
      <c r="AM493" s="385"/>
      <c r="AN493" s="385"/>
      <c r="AO493" s="385"/>
      <c r="AP493" s="385"/>
      <c r="AQ493" s="385"/>
      <c r="AR493" s="385"/>
      <c r="AS493" s="385"/>
      <c r="AT493" s="385"/>
      <c r="AU493" s="385"/>
      <c r="AV493" s="385"/>
      <c r="AW493" s="385"/>
      <c r="AX493" s="385"/>
    </row>
    <row r="494" spans="1:50" ht="10.8" hidden="1" thickTop="1" x14ac:dyDescent="0.2">
      <c r="A494" s="385"/>
      <c r="B494" s="445"/>
      <c r="C494" s="385"/>
      <c r="D494" s="385"/>
      <c r="E494" s="385"/>
      <c r="F494" s="385"/>
      <c r="G494" s="385"/>
      <c r="H494" s="385"/>
      <c r="I494" s="442"/>
      <c r="J494" s="442"/>
      <c r="K494" s="442"/>
      <c r="L494" s="442"/>
      <c r="M494" s="442"/>
      <c r="N494" s="442"/>
      <c r="O494" s="443"/>
      <c r="P494" s="385"/>
      <c r="Q494" s="385"/>
      <c r="R494" s="385"/>
      <c r="S494" s="385"/>
      <c r="T494" s="385"/>
      <c r="U494" s="385"/>
      <c r="V494" s="385"/>
      <c r="W494" s="385"/>
      <c r="X494" s="385"/>
      <c r="Y494" s="385"/>
      <c r="Z494" s="385"/>
      <c r="AA494" s="385"/>
      <c r="AB494" s="385"/>
      <c r="AC494" s="385"/>
      <c r="AD494" s="385"/>
      <c r="AE494" s="385"/>
      <c r="AF494" s="385"/>
      <c r="AG494" s="385"/>
      <c r="AH494" s="385"/>
      <c r="AI494" s="385"/>
      <c r="AJ494" s="385"/>
      <c r="AK494" s="385"/>
      <c r="AL494" s="385"/>
      <c r="AM494" s="385"/>
      <c r="AN494" s="385"/>
      <c r="AO494" s="385"/>
      <c r="AP494" s="385"/>
      <c r="AQ494" s="385"/>
      <c r="AR494" s="385"/>
      <c r="AS494" s="385"/>
      <c r="AT494" s="385"/>
      <c r="AU494" s="385"/>
      <c r="AV494" s="385"/>
      <c r="AW494" s="385"/>
      <c r="AX494" s="385"/>
    </row>
    <row r="495" spans="1:50" ht="10.8" hidden="1" thickTop="1" x14ac:dyDescent="0.2">
      <c r="A495" s="385"/>
      <c r="B495" s="445"/>
      <c r="C495" s="385"/>
      <c r="D495" s="385"/>
      <c r="E495" s="385"/>
      <c r="F495" s="385"/>
      <c r="G495" s="385"/>
      <c r="H495" s="385"/>
      <c r="I495" s="442"/>
      <c r="J495" s="442"/>
      <c r="K495" s="442"/>
      <c r="L495" s="442"/>
      <c r="M495" s="442"/>
      <c r="N495" s="442"/>
      <c r="O495" s="443"/>
      <c r="P495" s="385"/>
      <c r="Q495" s="385"/>
      <c r="R495" s="385"/>
      <c r="S495" s="385"/>
      <c r="T495" s="385"/>
      <c r="U495" s="385"/>
      <c r="V495" s="385"/>
      <c r="W495" s="385"/>
      <c r="X495" s="385"/>
      <c r="Y495" s="385"/>
      <c r="Z495" s="385"/>
      <c r="AA495" s="385"/>
      <c r="AB495" s="385"/>
      <c r="AC495" s="385"/>
      <c r="AD495" s="385"/>
      <c r="AE495" s="385"/>
      <c r="AF495" s="385"/>
      <c r="AG495" s="385"/>
      <c r="AH495" s="385"/>
      <c r="AI495" s="385"/>
      <c r="AJ495" s="385"/>
      <c r="AK495" s="385"/>
      <c r="AL495" s="385"/>
      <c r="AM495" s="385"/>
      <c r="AN495" s="385"/>
      <c r="AO495" s="385"/>
      <c r="AP495" s="385"/>
      <c r="AQ495" s="385"/>
      <c r="AR495" s="385"/>
      <c r="AS495" s="385"/>
      <c r="AT495" s="385"/>
      <c r="AU495" s="385"/>
      <c r="AV495" s="385"/>
      <c r="AW495" s="385"/>
      <c r="AX495" s="385"/>
    </row>
    <row r="496" spans="1:50" ht="10.8" hidden="1" thickTop="1" x14ac:dyDescent="0.2">
      <c r="A496" s="385"/>
      <c r="B496" s="445"/>
      <c r="C496" s="385"/>
      <c r="D496" s="385"/>
      <c r="E496" s="385"/>
      <c r="F496" s="385"/>
      <c r="G496" s="385"/>
      <c r="H496" s="385"/>
      <c r="I496" s="442"/>
      <c r="J496" s="442"/>
      <c r="K496" s="442"/>
      <c r="L496" s="442"/>
      <c r="M496" s="442"/>
      <c r="N496" s="442"/>
      <c r="O496" s="443"/>
      <c r="P496" s="385"/>
      <c r="Q496" s="385"/>
      <c r="R496" s="385"/>
      <c r="S496" s="385"/>
      <c r="T496" s="385"/>
      <c r="U496" s="385"/>
      <c r="V496" s="385"/>
      <c r="W496" s="385"/>
      <c r="X496" s="385"/>
      <c r="Y496" s="385"/>
      <c r="Z496" s="385"/>
      <c r="AA496" s="385"/>
      <c r="AB496" s="385"/>
      <c r="AC496" s="385"/>
      <c r="AD496" s="385"/>
      <c r="AE496" s="385"/>
      <c r="AF496" s="385"/>
      <c r="AG496" s="385"/>
      <c r="AH496" s="385"/>
      <c r="AI496" s="385"/>
      <c r="AJ496" s="385"/>
      <c r="AK496" s="385"/>
      <c r="AL496" s="385"/>
      <c r="AM496" s="385"/>
      <c r="AN496" s="385"/>
      <c r="AO496" s="385"/>
      <c r="AP496" s="385"/>
      <c r="AQ496" s="385"/>
      <c r="AR496" s="385"/>
      <c r="AS496" s="385"/>
      <c r="AT496" s="385"/>
      <c r="AU496" s="385"/>
      <c r="AV496" s="385"/>
      <c r="AW496" s="385"/>
      <c r="AX496" s="385"/>
    </row>
    <row r="497" spans="1:50" ht="10.8" hidden="1" thickTop="1" x14ac:dyDescent="0.2">
      <c r="A497" s="385"/>
      <c r="B497" s="445"/>
      <c r="C497" s="385"/>
      <c r="D497" s="385"/>
      <c r="E497" s="385"/>
      <c r="F497" s="385"/>
      <c r="G497" s="385"/>
      <c r="H497" s="385"/>
      <c r="I497" s="442"/>
      <c r="J497" s="442"/>
      <c r="K497" s="442"/>
      <c r="L497" s="442"/>
      <c r="M497" s="442"/>
      <c r="N497" s="442"/>
      <c r="O497" s="443"/>
      <c r="P497" s="385"/>
      <c r="Q497" s="385"/>
      <c r="R497" s="385"/>
      <c r="S497" s="385"/>
      <c r="T497" s="385"/>
      <c r="U497" s="385"/>
      <c r="V497" s="385"/>
      <c r="W497" s="385"/>
      <c r="X497" s="385"/>
      <c r="Y497" s="385"/>
      <c r="Z497" s="385"/>
      <c r="AA497" s="385"/>
      <c r="AB497" s="385"/>
      <c r="AC497" s="385"/>
      <c r="AD497" s="385"/>
      <c r="AE497" s="385"/>
      <c r="AF497" s="385"/>
      <c r="AG497" s="385"/>
      <c r="AH497" s="385"/>
      <c r="AI497" s="385"/>
      <c r="AJ497" s="385"/>
      <c r="AK497" s="385"/>
      <c r="AL497" s="385"/>
      <c r="AM497" s="385"/>
      <c r="AN497" s="385"/>
      <c r="AO497" s="385"/>
      <c r="AP497" s="385"/>
      <c r="AQ497" s="385"/>
      <c r="AR497" s="385"/>
      <c r="AS497" s="385"/>
      <c r="AT497" s="385"/>
      <c r="AU497" s="385"/>
      <c r="AV497" s="385"/>
      <c r="AW497" s="385"/>
      <c r="AX497" s="385"/>
    </row>
    <row r="498" spans="1:50" ht="10.8" hidden="1" thickTop="1" x14ac:dyDescent="0.2">
      <c r="A498" s="385"/>
      <c r="B498" s="445"/>
      <c r="C498" s="385"/>
      <c r="D498" s="385"/>
      <c r="E498" s="385"/>
      <c r="F498" s="385"/>
      <c r="G498" s="385"/>
      <c r="H498" s="385"/>
      <c r="I498" s="442"/>
      <c r="J498" s="442"/>
      <c r="K498" s="442"/>
      <c r="L498" s="442"/>
      <c r="M498" s="442"/>
      <c r="N498" s="442"/>
      <c r="O498" s="443"/>
      <c r="P498" s="385"/>
      <c r="Q498" s="385"/>
      <c r="R498" s="385"/>
      <c r="S498" s="385"/>
      <c r="T498" s="385"/>
      <c r="U498" s="385"/>
      <c r="V498" s="385"/>
      <c r="W498" s="385"/>
      <c r="X498" s="385"/>
      <c r="Y498" s="385"/>
      <c r="Z498" s="385"/>
      <c r="AA498" s="385"/>
      <c r="AB498" s="385"/>
      <c r="AC498" s="385"/>
      <c r="AD498" s="385"/>
      <c r="AE498" s="385"/>
      <c r="AF498" s="385"/>
      <c r="AG498" s="385"/>
      <c r="AH498" s="385"/>
      <c r="AI498" s="385"/>
      <c r="AJ498" s="385"/>
      <c r="AK498" s="385"/>
      <c r="AL498" s="385"/>
      <c r="AM498" s="385"/>
      <c r="AN498" s="385"/>
      <c r="AO498" s="385"/>
      <c r="AP498" s="385"/>
      <c r="AQ498" s="385"/>
      <c r="AR498" s="385"/>
      <c r="AS498" s="385"/>
      <c r="AT498" s="385"/>
      <c r="AU498" s="385"/>
      <c r="AV498" s="385"/>
      <c r="AW498" s="385"/>
      <c r="AX498" s="385"/>
    </row>
    <row r="499" spans="1:50" ht="10.8" hidden="1" thickTop="1" x14ac:dyDescent="0.2">
      <c r="A499" s="385"/>
      <c r="B499" s="445"/>
      <c r="C499" s="385"/>
      <c r="D499" s="385"/>
      <c r="E499" s="385"/>
      <c r="F499" s="385"/>
      <c r="G499" s="385"/>
      <c r="H499" s="385"/>
      <c r="I499" s="442"/>
      <c r="J499" s="442"/>
      <c r="K499" s="442"/>
      <c r="L499" s="442"/>
      <c r="M499" s="442"/>
      <c r="N499" s="442"/>
      <c r="O499" s="443"/>
      <c r="P499" s="385"/>
      <c r="Q499" s="385"/>
      <c r="R499" s="385"/>
      <c r="S499" s="385"/>
      <c r="T499" s="385"/>
      <c r="U499" s="385"/>
      <c r="V499" s="385"/>
      <c r="W499" s="385"/>
      <c r="X499" s="385"/>
      <c r="Y499" s="385"/>
      <c r="Z499" s="385"/>
      <c r="AA499" s="385"/>
      <c r="AB499" s="385"/>
      <c r="AC499" s="385"/>
      <c r="AD499" s="385"/>
      <c r="AE499" s="385"/>
      <c r="AF499" s="385"/>
      <c r="AG499" s="385"/>
      <c r="AH499" s="385"/>
      <c r="AI499" s="385"/>
      <c r="AJ499" s="385"/>
      <c r="AK499" s="385"/>
      <c r="AL499" s="385"/>
      <c r="AM499" s="385"/>
      <c r="AN499" s="385"/>
      <c r="AO499" s="385"/>
      <c r="AP499" s="385"/>
      <c r="AQ499" s="385"/>
      <c r="AR499" s="385"/>
      <c r="AS499" s="385"/>
      <c r="AT499" s="385"/>
      <c r="AU499" s="385"/>
      <c r="AV499" s="385"/>
      <c r="AW499" s="385"/>
      <c r="AX499" s="385"/>
    </row>
    <row r="500" spans="1:50" ht="10.8" hidden="1" thickTop="1" x14ac:dyDescent="0.2">
      <c r="A500" s="385"/>
      <c r="B500" s="445"/>
      <c r="C500" s="385"/>
      <c r="D500" s="385"/>
      <c r="E500" s="385"/>
      <c r="F500" s="385"/>
      <c r="G500" s="385"/>
      <c r="H500" s="385"/>
      <c r="I500" s="442"/>
      <c r="J500" s="442"/>
      <c r="K500" s="442"/>
      <c r="L500" s="442"/>
      <c r="M500" s="442"/>
      <c r="N500" s="442"/>
      <c r="O500" s="443"/>
      <c r="P500" s="385"/>
      <c r="Q500" s="385"/>
      <c r="R500" s="385"/>
      <c r="S500" s="385"/>
      <c r="T500" s="385"/>
      <c r="U500" s="385"/>
      <c r="V500" s="385"/>
      <c r="W500" s="385"/>
      <c r="X500" s="385"/>
      <c r="Y500" s="385"/>
      <c r="Z500" s="385"/>
      <c r="AA500" s="385"/>
      <c r="AB500" s="385"/>
      <c r="AC500" s="385"/>
      <c r="AD500" s="385"/>
      <c r="AE500" s="385"/>
      <c r="AF500" s="385"/>
      <c r="AG500" s="385"/>
      <c r="AH500" s="385"/>
      <c r="AI500" s="385"/>
      <c r="AJ500" s="385"/>
      <c r="AK500" s="385"/>
      <c r="AL500" s="385"/>
      <c r="AM500" s="385"/>
      <c r="AN500" s="385"/>
      <c r="AO500" s="385"/>
      <c r="AP500" s="385"/>
      <c r="AQ500" s="385"/>
      <c r="AR500" s="385"/>
      <c r="AS500" s="385"/>
      <c r="AT500" s="385"/>
      <c r="AU500" s="385"/>
      <c r="AV500" s="385"/>
      <c r="AW500" s="385"/>
      <c r="AX500" s="385"/>
    </row>
    <row r="501" spans="1:50" ht="10.8" hidden="1" thickTop="1" x14ac:dyDescent="0.2">
      <c r="A501" s="385"/>
      <c r="B501" s="445"/>
      <c r="C501" s="385"/>
      <c r="D501" s="385"/>
      <c r="E501" s="385"/>
      <c r="F501" s="385"/>
      <c r="G501" s="385"/>
      <c r="H501" s="385"/>
      <c r="I501" s="442"/>
      <c r="J501" s="442"/>
      <c r="K501" s="442"/>
      <c r="L501" s="442"/>
      <c r="M501" s="442"/>
      <c r="N501" s="442"/>
      <c r="O501" s="443"/>
      <c r="P501" s="385"/>
      <c r="Q501" s="385"/>
      <c r="R501" s="385"/>
      <c r="S501" s="385"/>
      <c r="T501" s="385"/>
      <c r="U501" s="385"/>
      <c r="V501" s="385"/>
      <c r="W501" s="385"/>
      <c r="X501" s="385"/>
      <c r="Y501" s="385"/>
      <c r="Z501" s="385"/>
      <c r="AA501" s="385"/>
      <c r="AB501" s="385"/>
      <c r="AC501" s="385"/>
      <c r="AD501" s="385"/>
      <c r="AE501" s="385"/>
      <c r="AF501" s="385"/>
      <c r="AG501" s="385"/>
      <c r="AH501" s="385"/>
      <c r="AI501" s="385"/>
      <c r="AJ501" s="385"/>
      <c r="AK501" s="385"/>
      <c r="AL501" s="385"/>
      <c r="AM501" s="385"/>
      <c r="AN501" s="385"/>
      <c r="AO501" s="385"/>
      <c r="AP501" s="385"/>
      <c r="AQ501" s="385"/>
      <c r="AR501" s="385"/>
      <c r="AS501" s="385"/>
      <c r="AT501" s="385"/>
      <c r="AU501" s="385"/>
      <c r="AV501" s="385"/>
      <c r="AW501" s="385"/>
      <c r="AX501" s="385"/>
    </row>
    <row r="502" spans="1:50" ht="10.8" hidden="1" thickTop="1" x14ac:dyDescent="0.2">
      <c r="A502" s="385"/>
      <c r="B502" s="445"/>
      <c r="C502" s="385"/>
      <c r="D502" s="385"/>
      <c r="E502" s="385"/>
      <c r="F502" s="385"/>
      <c r="G502" s="385"/>
      <c r="H502" s="385"/>
      <c r="I502" s="442"/>
      <c r="J502" s="442"/>
      <c r="K502" s="442"/>
      <c r="L502" s="442"/>
      <c r="M502" s="442"/>
      <c r="N502" s="442"/>
      <c r="O502" s="443"/>
      <c r="P502" s="385"/>
      <c r="Q502" s="385"/>
      <c r="R502" s="385"/>
      <c r="S502" s="385"/>
      <c r="T502" s="385"/>
      <c r="U502" s="385"/>
      <c r="V502" s="385"/>
      <c r="W502" s="385"/>
      <c r="X502" s="385"/>
      <c r="Y502" s="385"/>
      <c r="Z502" s="385"/>
      <c r="AA502" s="385"/>
      <c r="AB502" s="385"/>
      <c r="AC502" s="385"/>
      <c r="AD502" s="385"/>
      <c r="AE502" s="385"/>
      <c r="AF502" s="385"/>
      <c r="AG502" s="385"/>
      <c r="AH502" s="385"/>
      <c r="AI502" s="385"/>
      <c r="AJ502" s="385"/>
      <c r="AK502" s="385"/>
      <c r="AL502" s="385"/>
      <c r="AM502" s="385"/>
      <c r="AN502" s="385"/>
      <c r="AO502" s="385"/>
      <c r="AP502" s="385"/>
      <c r="AQ502" s="385"/>
      <c r="AR502" s="385"/>
      <c r="AS502" s="385"/>
      <c r="AT502" s="385"/>
      <c r="AU502" s="385"/>
      <c r="AV502" s="385"/>
      <c r="AW502" s="385"/>
      <c r="AX502" s="385"/>
    </row>
    <row r="503" spans="1:50" ht="10.8" hidden="1" thickTop="1" x14ac:dyDescent="0.2">
      <c r="A503" s="385"/>
      <c r="B503" s="445"/>
      <c r="C503" s="385"/>
      <c r="D503" s="385"/>
      <c r="E503" s="385"/>
      <c r="F503" s="385"/>
      <c r="G503" s="385"/>
      <c r="H503" s="385"/>
      <c r="I503" s="442"/>
      <c r="J503" s="442"/>
      <c r="K503" s="442"/>
      <c r="L503" s="442"/>
      <c r="M503" s="442"/>
      <c r="N503" s="442"/>
      <c r="O503" s="443"/>
      <c r="P503" s="385"/>
      <c r="Q503" s="385"/>
      <c r="R503" s="385"/>
      <c r="S503" s="385"/>
      <c r="T503" s="385"/>
      <c r="U503" s="385"/>
      <c r="V503" s="385"/>
      <c r="W503" s="385"/>
      <c r="X503" s="385"/>
      <c r="Y503" s="385"/>
      <c r="Z503" s="385"/>
      <c r="AA503" s="385"/>
      <c r="AB503" s="385"/>
      <c r="AC503" s="385"/>
      <c r="AD503" s="385"/>
      <c r="AE503" s="385"/>
      <c r="AF503" s="385"/>
      <c r="AG503" s="385"/>
      <c r="AH503" s="385"/>
      <c r="AI503" s="385"/>
      <c r="AJ503" s="385"/>
      <c r="AK503" s="385"/>
      <c r="AL503" s="385"/>
      <c r="AM503" s="385"/>
      <c r="AN503" s="385"/>
      <c r="AO503" s="385"/>
      <c r="AP503" s="385"/>
      <c r="AQ503" s="385"/>
      <c r="AR503" s="385"/>
      <c r="AS503" s="385"/>
      <c r="AT503" s="385"/>
      <c r="AU503" s="385"/>
      <c r="AV503" s="385"/>
      <c r="AW503" s="385"/>
      <c r="AX503" s="385"/>
    </row>
    <row r="504" spans="1:50" ht="10.8" hidden="1" thickTop="1" x14ac:dyDescent="0.2">
      <c r="A504" s="385"/>
      <c r="B504" s="445"/>
      <c r="C504" s="385"/>
      <c r="D504" s="385"/>
      <c r="E504" s="385"/>
      <c r="F504" s="385"/>
      <c r="G504" s="385"/>
      <c r="H504" s="385"/>
      <c r="I504" s="442"/>
      <c r="J504" s="442"/>
      <c r="K504" s="442"/>
      <c r="L504" s="442"/>
      <c r="M504" s="442"/>
      <c r="N504" s="442"/>
      <c r="O504" s="443"/>
      <c r="P504" s="385"/>
      <c r="Q504" s="385"/>
      <c r="R504" s="385"/>
      <c r="S504" s="385"/>
      <c r="T504" s="385"/>
      <c r="U504" s="385"/>
      <c r="V504" s="385"/>
      <c r="W504" s="385"/>
      <c r="X504" s="385"/>
      <c r="Y504" s="385"/>
      <c r="Z504" s="385"/>
      <c r="AA504" s="385"/>
      <c r="AB504" s="385"/>
      <c r="AC504" s="385"/>
      <c r="AD504" s="385"/>
      <c r="AE504" s="385"/>
      <c r="AF504" s="385"/>
      <c r="AG504" s="385"/>
      <c r="AH504" s="385"/>
      <c r="AI504" s="385"/>
      <c r="AJ504" s="385"/>
      <c r="AK504" s="385"/>
      <c r="AL504" s="385"/>
      <c r="AM504" s="385"/>
      <c r="AN504" s="385"/>
      <c r="AO504" s="385"/>
      <c r="AP504" s="385"/>
      <c r="AQ504" s="385"/>
      <c r="AR504" s="385"/>
      <c r="AS504" s="385"/>
      <c r="AT504" s="385"/>
      <c r="AU504" s="385"/>
      <c r="AV504" s="385"/>
      <c r="AW504" s="385"/>
      <c r="AX504" s="385"/>
    </row>
    <row r="505" spans="1:50" ht="10.8" hidden="1" thickTop="1" x14ac:dyDescent="0.2">
      <c r="A505" s="385"/>
      <c r="B505" s="445"/>
      <c r="C505" s="385"/>
      <c r="D505" s="385"/>
      <c r="E505" s="385"/>
      <c r="F505" s="385"/>
      <c r="G505" s="385"/>
      <c r="H505" s="385"/>
      <c r="I505" s="442"/>
      <c r="J505" s="442"/>
      <c r="K505" s="442"/>
      <c r="L505" s="442"/>
      <c r="M505" s="442"/>
      <c r="N505" s="442"/>
      <c r="O505" s="443"/>
      <c r="P505" s="385"/>
      <c r="Q505" s="385"/>
      <c r="R505" s="385"/>
      <c r="S505" s="385"/>
      <c r="T505" s="385"/>
      <c r="U505" s="385"/>
      <c r="V505" s="385"/>
      <c r="W505" s="385"/>
      <c r="X505" s="385"/>
      <c r="Y505" s="385"/>
      <c r="Z505" s="385"/>
      <c r="AA505" s="385"/>
      <c r="AB505" s="385"/>
      <c r="AC505" s="385"/>
      <c r="AD505" s="385"/>
      <c r="AE505" s="385"/>
      <c r="AF505" s="385"/>
      <c r="AG505" s="385"/>
      <c r="AH505" s="385"/>
      <c r="AI505" s="385"/>
      <c r="AJ505" s="385"/>
      <c r="AK505" s="385"/>
      <c r="AL505" s="385"/>
      <c r="AM505" s="385"/>
      <c r="AN505" s="385"/>
      <c r="AO505" s="385"/>
      <c r="AP505" s="385"/>
      <c r="AQ505" s="385"/>
      <c r="AR505" s="385"/>
      <c r="AS505" s="385"/>
      <c r="AT505" s="385"/>
      <c r="AU505" s="385"/>
      <c r="AV505" s="385"/>
      <c r="AW505" s="385"/>
      <c r="AX505" s="385"/>
    </row>
    <row r="506" spans="1:50" ht="10.8" hidden="1" thickTop="1" x14ac:dyDescent="0.2">
      <c r="A506" s="385"/>
      <c r="B506" s="445"/>
      <c r="C506" s="385"/>
      <c r="D506" s="385"/>
      <c r="E506" s="385"/>
      <c r="F506" s="385"/>
      <c r="G506" s="385"/>
      <c r="H506" s="385"/>
      <c r="I506" s="442"/>
      <c r="J506" s="442"/>
      <c r="K506" s="442"/>
      <c r="L506" s="442"/>
      <c r="M506" s="442"/>
      <c r="N506" s="442"/>
      <c r="O506" s="443"/>
      <c r="P506" s="385"/>
      <c r="Q506" s="385"/>
      <c r="R506" s="385"/>
      <c r="S506" s="385"/>
      <c r="T506" s="385"/>
      <c r="U506" s="385"/>
      <c r="V506" s="385"/>
      <c r="W506" s="385"/>
      <c r="X506" s="385"/>
      <c r="Y506" s="385"/>
      <c r="Z506" s="385"/>
      <c r="AA506" s="385"/>
      <c r="AB506" s="385"/>
      <c r="AC506" s="385"/>
      <c r="AD506" s="385"/>
      <c r="AE506" s="385"/>
      <c r="AF506" s="385"/>
      <c r="AG506" s="385"/>
      <c r="AH506" s="385"/>
      <c r="AI506" s="385"/>
      <c r="AJ506" s="385"/>
      <c r="AK506" s="385"/>
      <c r="AL506" s="385"/>
      <c r="AM506" s="385"/>
      <c r="AN506" s="385"/>
      <c r="AO506" s="385"/>
      <c r="AP506" s="385"/>
      <c r="AQ506" s="385"/>
      <c r="AR506" s="385"/>
      <c r="AS506" s="385"/>
      <c r="AT506" s="385"/>
      <c r="AU506" s="385"/>
      <c r="AV506" s="385"/>
      <c r="AW506" s="385"/>
      <c r="AX506" s="385"/>
    </row>
    <row r="507" spans="1:50" ht="10.8" hidden="1" thickTop="1" x14ac:dyDescent="0.2">
      <c r="A507" s="385"/>
      <c r="B507" s="445"/>
      <c r="C507" s="385"/>
      <c r="D507" s="385"/>
      <c r="E507" s="385"/>
      <c r="F507" s="385"/>
      <c r="G507" s="385"/>
      <c r="H507" s="385"/>
      <c r="I507" s="442"/>
      <c r="J507" s="442"/>
      <c r="K507" s="442"/>
      <c r="L507" s="442"/>
      <c r="M507" s="442"/>
      <c r="N507" s="442"/>
      <c r="O507" s="443"/>
      <c r="P507" s="385"/>
      <c r="Q507" s="385"/>
      <c r="R507" s="385"/>
      <c r="S507" s="385"/>
      <c r="T507" s="385"/>
      <c r="U507" s="385"/>
      <c r="V507" s="385"/>
      <c r="W507" s="385"/>
      <c r="X507" s="385"/>
      <c r="Y507" s="385"/>
      <c r="Z507" s="385"/>
      <c r="AA507" s="385"/>
      <c r="AB507" s="385"/>
      <c r="AC507" s="385"/>
      <c r="AD507" s="385"/>
      <c r="AE507" s="385"/>
      <c r="AF507" s="385"/>
      <c r="AG507" s="385"/>
      <c r="AH507" s="385"/>
      <c r="AI507" s="385"/>
      <c r="AJ507" s="385"/>
      <c r="AK507" s="385"/>
      <c r="AL507" s="385"/>
      <c r="AM507" s="385"/>
      <c r="AN507" s="385"/>
      <c r="AO507" s="385"/>
      <c r="AP507" s="385"/>
      <c r="AQ507" s="385"/>
      <c r="AR507" s="385"/>
      <c r="AS507" s="385"/>
      <c r="AT507" s="385"/>
      <c r="AU507" s="385"/>
      <c r="AV507" s="385"/>
      <c r="AW507" s="385"/>
      <c r="AX507" s="385"/>
    </row>
    <row r="508" spans="1:50" ht="10.8" hidden="1" thickTop="1" x14ac:dyDescent="0.2">
      <c r="A508" s="385"/>
      <c r="B508" s="445"/>
      <c r="C508" s="385"/>
      <c r="D508" s="385"/>
      <c r="E508" s="385"/>
      <c r="F508" s="385"/>
      <c r="G508" s="385"/>
      <c r="H508" s="385"/>
      <c r="I508" s="442"/>
      <c r="J508" s="442"/>
      <c r="K508" s="442"/>
      <c r="L508" s="442"/>
      <c r="M508" s="442"/>
      <c r="N508" s="442"/>
      <c r="O508" s="443"/>
      <c r="P508" s="385"/>
      <c r="Q508" s="385"/>
      <c r="R508" s="385"/>
      <c r="S508" s="385"/>
      <c r="T508" s="385"/>
      <c r="U508" s="385"/>
      <c r="V508" s="385"/>
      <c r="W508" s="385"/>
      <c r="X508" s="385"/>
      <c r="Y508" s="385"/>
      <c r="Z508" s="385"/>
      <c r="AA508" s="385"/>
      <c r="AB508" s="385"/>
      <c r="AC508" s="385"/>
      <c r="AD508" s="385"/>
      <c r="AE508" s="385"/>
      <c r="AF508" s="385"/>
      <c r="AG508" s="385"/>
      <c r="AH508" s="385"/>
      <c r="AI508" s="385"/>
      <c r="AJ508" s="385"/>
      <c r="AK508" s="385"/>
      <c r="AL508" s="385"/>
      <c r="AM508" s="385"/>
      <c r="AN508" s="385"/>
      <c r="AO508" s="385"/>
      <c r="AP508" s="385"/>
      <c r="AQ508" s="385"/>
      <c r="AR508" s="385"/>
      <c r="AS508" s="385"/>
      <c r="AT508" s="385"/>
      <c r="AU508" s="385"/>
      <c r="AV508" s="385"/>
      <c r="AW508" s="385"/>
      <c r="AX508" s="385"/>
    </row>
    <row r="509" spans="1:50" ht="10.8" hidden="1" thickTop="1" x14ac:dyDescent="0.2">
      <c r="A509" s="385"/>
      <c r="B509" s="445"/>
      <c r="C509" s="385"/>
      <c r="D509" s="385"/>
      <c r="E509" s="385"/>
      <c r="F509" s="385"/>
      <c r="G509" s="385"/>
      <c r="H509" s="385"/>
      <c r="I509" s="442"/>
      <c r="J509" s="442"/>
      <c r="K509" s="442"/>
      <c r="L509" s="442"/>
      <c r="M509" s="442"/>
      <c r="N509" s="442"/>
      <c r="O509" s="443"/>
      <c r="P509" s="385"/>
      <c r="Q509" s="385"/>
      <c r="R509" s="385"/>
      <c r="S509" s="385"/>
      <c r="T509" s="385"/>
      <c r="U509" s="385"/>
      <c r="V509" s="385"/>
      <c r="W509" s="385"/>
      <c r="X509" s="385"/>
      <c r="Y509" s="385"/>
      <c r="Z509" s="385"/>
      <c r="AA509" s="385"/>
      <c r="AB509" s="385"/>
      <c r="AC509" s="385"/>
      <c r="AD509" s="385"/>
      <c r="AE509" s="385"/>
      <c r="AF509" s="385"/>
      <c r="AG509" s="385"/>
      <c r="AH509" s="385"/>
      <c r="AI509" s="385"/>
      <c r="AJ509" s="385"/>
      <c r="AK509" s="385"/>
      <c r="AL509" s="385"/>
      <c r="AM509" s="385"/>
      <c r="AN509" s="385"/>
      <c r="AO509" s="385"/>
      <c r="AP509" s="385"/>
      <c r="AQ509" s="385"/>
      <c r="AR509" s="385"/>
      <c r="AS509" s="385"/>
      <c r="AT509" s="385"/>
      <c r="AU509" s="385"/>
      <c r="AV509" s="385"/>
      <c r="AW509" s="385"/>
      <c r="AX509" s="385"/>
    </row>
    <row r="510" spans="1:50" ht="10.8" hidden="1" thickTop="1" x14ac:dyDescent="0.2">
      <c r="A510" s="385"/>
      <c r="B510" s="445"/>
      <c r="C510" s="385"/>
      <c r="D510" s="385"/>
      <c r="E510" s="385"/>
      <c r="F510" s="385"/>
      <c r="G510" s="385"/>
      <c r="H510" s="385"/>
      <c r="I510" s="442"/>
      <c r="J510" s="442"/>
      <c r="K510" s="442"/>
      <c r="L510" s="442"/>
      <c r="M510" s="442"/>
      <c r="N510" s="442"/>
      <c r="O510" s="443"/>
      <c r="P510" s="385"/>
      <c r="Q510" s="385"/>
      <c r="R510" s="385"/>
      <c r="S510" s="385"/>
      <c r="T510" s="385"/>
      <c r="U510" s="385"/>
      <c r="V510" s="385"/>
      <c r="W510" s="385"/>
      <c r="X510" s="385"/>
      <c r="Y510" s="385"/>
      <c r="Z510" s="385"/>
      <c r="AA510" s="385"/>
      <c r="AB510" s="385"/>
      <c r="AC510" s="385"/>
      <c r="AD510" s="385"/>
      <c r="AE510" s="385"/>
      <c r="AF510" s="385"/>
      <c r="AG510" s="385"/>
      <c r="AH510" s="385"/>
      <c r="AI510" s="385"/>
      <c r="AJ510" s="385"/>
      <c r="AK510" s="385"/>
      <c r="AL510" s="385"/>
      <c r="AM510" s="385"/>
      <c r="AN510" s="385"/>
      <c r="AO510" s="385"/>
      <c r="AP510" s="385"/>
      <c r="AQ510" s="385"/>
      <c r="AR510" s="385"/>
      <c r="AS510" s="385"/>
      <c r="AT510" s="385"/>
      <c r="AU510" s="385"/>
      <c r="AV510" s="385"/>
      <c r="AW510" s="385"/>
      <c r="AX510" s="385"/>
    </row>
    <row r="511" spans="1:50" ht="10.8" hidden="1" thickTop="1" x14ac:dyDescent="0.2">
      <c r="A511" s="385"/>
      <c r="B511" s="445"/>
      <c r="C511" s="385"/>
      <c r="D511" s="385"/>
      <c r="E511" s="385"/>
      <c r="F511" s="385"/>
      <c r="G511" s="385"/>
      <c r="H511" s="385"/>
      <c r="I511" s="442"/>
      <c r="J511" s="442"/>
      <c r="K511" s="442"/>
      <c r="L511" s="442"/>
      <c r="M511" s="442"/>
      <c r="N511" s="442"/>
      <c r="O511" s="443"/>
      <c r="P511" s="385"/>
      <c r="Q511" s="385"/>
      <c r="R511" s="385"/>
      <c r="S511" s="385"/>
      <c r="T511" s="385"/>
      <c r="U511" s="385"/>
      <c r="V511" s="385"/>
      <c r="W511" s="385"/>
      <c r="X511" s="385"/>
      <c r="Y511" s="385"/>
      <c r="Z511" s="385"/>
      <c r="AA511" s="385"/>
      <c r="AB511" s="385"/>
      <c r="AC511" s="385"/>
      <c r="AD511" s="385"/>
      <c r="AE511" s="385"/>
      <c r="AF511" s="385"/>
      <c r="AG511" s="385"/>
      <c r="AH511" s="385"/>
      <c r="AI511" s="385"/>
      <c r="AJ511" s="385"/>
      <c r="AK511" s="385"/>
      <c r="AL511" s="385"/>
      <c r="AM511" s="385"/>
      <c r="AN511" s="385"/>
      <c r="AO511" s="385"/>
      <c r="AP511" s="385"/>
      <c r="AQ511" s="385"/>
      <c r="AR511" s="385"/>
      <c r="AS511" s="385"/>
      <c r="AT511" s="385"/>
      <c r="AU511" s="385"/>
      <c r="AV511" s="385"/>
      <c r="AW511" s="385"/>
      <c r="AX511" s="385"/>
    </row>
    <row r="512" spans="1:50" ht="10.8" hidden="1" thickTop="1" x14ac:dyDescent="0.2">
      <c r="A512" s="385"/>
      <c r="B512" s="445"/>
      <c r="C512" s="385"/>
      <c r="D512" s="385"/>
      <c r="E512" s="385"/>
      <c r="F512" s="385"/>
      <c r="G512" s="385"/>
      <c r="H512" s="385"/>
      <c r="I512" s="442"/>
      <c r="J512" s="442"/>
      <c r="K512" s="442"/>
      <c r="L512" s="442"/>
      <c r="M512" s="442"/>
      <c r="N512" s="442"/>
      <c r="O512" s="443"/>
      <c r="P512" s="385"/>
      <c r="Q512" s="385"/>
      <c r="R512" s="385"/>
      <c r="S512" s="385"/>
      <c r="T512" s="385"/>
      <c r="U512" s="385"/>
      <c r="V512" s="385"/>
      <c r="W512" s="385"/>
      <c r="X512" s="385"/>
      <c r="Y512" s="385"/>
      <c r="Z512" s="385"/>
      <c r="AA512" s="385"/>
      <c r="AB512" s="385"/>
      <c r="AC512" s="385"/>
      <c r="AD512" s="385"/>
      <c r="AE512" s="385"/>
      <c r="AF512" s="385"/>
      <c r="AG512" s="385"/>
      <c r="AH512" s="385"/>
      <c r="AI512" s="385"/>
      <c r="AJ512" s="385"/>
      <c r="AK512" s="385"/>
      <c r="AL512" s="385"/>
      <c r="AM512" s="385"/>
      <c r="AN512" s="385"/>
      <c r="AO512" s="385"/>
      <c r="AP512" s="385"/>
      <c r="AQ512" s="385"/>
      <c r="AR512" s="385"/>
      <c r="AS512" s="385"/>
      <c r="AT512" s="385"/>
      <c r="AU512" s="385"/>
      <c r="AV512" s="385"/>
      <c r="AW512" s="385"/>
      <c r="AX512" s="385"/>
    </row>
    <row r="513" spans="1:50" ht="10.8" hidden="1" thickTop="1" x14ac:dyDescent="0.2">
      <c r="A513" s="385"/>
      <c r="B513" s="445"/>
      <c r="C513" s="385"/>
      <c r="D513" s="385"/>
      <c r="E513" s="385"/>
      <c r="F513" s="385"/>
      <c r="G513" s="385"/>
      <c r="H513" s="385"/>
      <c r="I513" s="442"/>
      <c r="J513" s="442"/>
      <c r="K513" s="442"/>
      <c r="L513" s="442"/>
      <c r="M513" s="442"/>
      <c r="N513" s="442"/>
      <c r="O513" s="443"/>
      <c r="P513" s="385"/>
      <c r="Q513" s="385"/>
      <c r="R513" s="385"/>
      <c r="S513" s="385"/>
      <c r="T513" s="385"/>
      <c r="U513" s="385"/>
      <c r="V513" s="385"/>
      <c r="W513" s="385"/>
      <c r="X513" s="385"/>
      <c r="Y513" s="385"/>
      <c r="Z513" s="385"/>
      <c r="AA513" s="385"/>
      <c r="AB513" s="385"/>
      <c r="AC513" s="385"/>
      <c r="AD513" s="385"/>
      <c r="AE513" s="385"/>
      <c r="AF513" s="385"/>
      <c r="AG513" s="385"/>
      <c r="AH513" s="385"/>
      <c r="AI513" s="385"/>
      <c r="AJ513" s="385"/>
      <c r="AK513" s="385"/>
      <c r="AL513" s="385"/>
      <c r="AM513" s="385"/>
      <c r="AN513" s="385"/>
      <c r="AO513" s="385"/>
      <c r="AP513" s="385"/>
      <c r="AQ513" s="385"/>
      <c r="AR513" s="385"/>
      <c r="AS513" s="385"/>
      <c r="AT513" s="385"/>
      <c r="AU513" s="385"/>
      <c r="AV513" s="385"/>
      <c r="AW513" s="385"/>
      <c r="AX513" s="385"/>
    </row>
    <row r="514" spans="1:50" ht="10.8" hidden="1" thickTop="1" x14ac:dyDescent="0.2">
      <c r="A514" s="385"/>
      <c r="B514" s="445"/>
      <c r="C514" s="385"/>
      <c r="D514" s="385"/>
      <c r="E514" s="385"/>
      <c r="F514" s="385"/>
      <c r="G514" s="385"/>
      <c r="H514" s="385"/>
      <c r="I514" s="442"/>
      <c r="J514" s="442"/>
      <c r="K514" s="442"/>
      <c r="L514" s="442"/>
      <c r="M514" s="442"/>
      <c r="N514" s="442"/>
      <c r="O514" s="443"/>
      <c r="P514" s="385"/>
      <c r="Q514" s="385"/>
      <c r="R514" s="385"/>
      <c r="S514" s="385"/>
      <c r="T514" s="385"/>
      <c r="U514" s="385"/>
      <c r="V514" s="385"/>
      <c r="W514" s="385"/>
      <c r="X514" s="385"/>
      <c r="Y514" s="385"/>
      <c r="Z514" s="385"/>
      <c r="AA514" s="385"/>
      <c r="AB514" s="385"/>
      <c r="AC514" s="385"/>
      <c r="AD514" s="385"/>
      <c r="AE514" s="385"/>
      <c r="AF514" s="385"/>
      <c r="AG514" s="385"/>
      <c r="AH514" s="385"/>
      <c r="AI514" s="385"/>
      <c r="AJ514" s="385"/>
      <c r="AK514" s="385"/>
      <c r="AL514" s="385"/>
      <c r="AM514" s="385"/>
      <c r="AN514" s="385"/>
      <c r="AO514" s="385"/>
      <c r="AP514" s="385"/>
      <c r="AQ514" s="385"/>
      <c r="AR514" s="385"/>
      <c r="AS514" s="385"/>
      <c r="AT514" s="385"/>
      <c r="AU514" s="385"/>
      <c r="AV514" s="385"/>
      <c r="AW514" s="385"/>
      <c r="AX514" s="385"/>
    </row>
    <row r="515" spans="1:50" ht="10.8" hidden="1" thickTop="1" x14ac:dyDescent="0.2">
      <c r="A515" s="385"/>
      <c r="B515" s="445"/>
      <c r="C515" s="385"/>
      <c r="D515" s="385"/>
      <c r="E515" s="385"/>
      <c r="F515" s="385"/>
      <c r="G515" s="385"/>
      <c r="H515" s="385"/>
      <c r="I515" s="442"/>
      <c r="J515" s="442"/>
      <c r="K515" s="442"/>
      <c r="L515" s="442"/>
      <c r="M515" s="442"/>
      <c r="N515" s="442"/>
      <c r="O515" s="443"/>
      <c r="P515" s="385"/>
      <c r="Q515" s="385"/>
      <c r="R515" s="385"/>
      <c r="S515" s="385"/>
      <c r="T515" s="385"/>
      <c r="U515" s="385"/>
      <c r="V515" s="385"/>
      <c r="W515" s="385"/>
      <c r="X515" s="385"/>
      <c r="Y515" s="385"/>
      <c r="Z515" s="385"/>
      <c r="AA515" s="385"/>
      <c r="AB515" s="385"/>
      <c r="AC515" s="385"/>
      <c r="AD515" s="385"/>
      <c r="AE515" s="385"/>
      <c r="AF515" s="385"/>
      <c r="AG515" s="385"/>
      <c r="AH515" s="385"/>
      <c r="AI515" s="385"/>
      <c r="AJ515" s="385"/>
      <c r="AK515" s="385"/>
      <c r="AL515" s="385"/>
      <c r="AM515" s="385"/>
      <c r="AN515" s="385"/>
      <c r="AO515" s="385"/>
      <c r="AP515" s="385"/>
      <c r="AQ515" s="385"/>
      <c r="AR515" s="385"/>
      <c r="AS515" s="385"/>
      <c r="AT515" s="385"/>
      <c r="AU515" s="385"/>
      <c r="AV515" s="385"/>
      <c r="AW515" s="385"/>
      <c r="AX515" s="385"/>
    </row>
    <row r="516" spans="1:50" ht="10.8" hidden="1" thickTop="1" x14ac:dyDescent="0.2">
      <c r="A516" s="385"/>
      <c r="B516" s="445"/>
      <c r="C516" s="385"/>
      <c r="D516" s="385"/>
      <c r="E516" s="385"/>
      <c r="F516" s="385"/>
      <c r="G516" s="385"/>
      <c r="H516" s="385"/>
      <c r="I516" s="442"/>
      <c r="J516" s="442"/>
      <c r="K516" s="442"/>
      <c r="L516" s="442"/>
      <c r="M516" s="442"/>
      <c r="N516" s="442"/>
      <c r="O516" s="443"/>
      <c r="P516" s="385"/>
      <c r="Q516" s="385"/>
      <c r="R516" s="385"/>
      <c r="S516" s="385"/>
      <c r="T516" s="385"/>
      <c r="U516" s="385"/>
      <c r="V516" s="385"/>
      <c r="W516" s="385"/>
      <c r="X516" s="385"/>
      <c r="Y516" s="385"/>
      <c r="Z516" s="385"/>
      <c r="AA516" s="385"/>
      <c r="AB516" s="385"/>
      <c r="AC516" s="385"/>
      <c r="AD516" s="385"/>
      <c r="AE516" s="385"/>
      <c r="AF516" s="385"/>
      <c r="AG516" s="385"/>
      <c r="AH516" s="385"/>
      <c r="AI516" s="385"/>
      <c r="AJ516" s="385"/>
      <c r="AK516" s="385"/>
      <c r="AL516" s="385"/>
      <c r="AM516" s="385"/>
      <c r="AN516" s="385"/>
      <c r="AO516" s="385"/>
      <c r="AP516" s="385"/>
      <c r="AQ516" s="385"/>
      <c r="AR516" s="385"/>
      <c r="AS516" s="385"/>
      <c r="AT516" s="385"/>
      <c r="AU516" s="385"/>
      <c r="AV516" s="385"/>
      <c r="AW516" s="385"/>
      <c r="AX516" s="385"/>
    </row>
    <row r="517" spans="1:50" ht="10.8" hidden="1" thickTop="1" x14ac:dyDescent="0.2">
      <c r="A517" s="385"/>
      <c r="B517" s="445"/>
      <c r="C517" s="385"/>
      <c r="D517" s="385"/>
      <c r="E517" s="385"/>
      <c r="F517" s="385"/>
      <c r="G517" s="385"/>
      <c r="H517" s="385"/>
      <c r="I517" s="442"/>
      <c r="J517" s="442"/>
      <c r="K517" s="442"/>
      <c r="L517" s="442"/>
      <c r="M517" s="442"/>
      <c r="N517" s="442"/>
      <c r="O517" s="443"/>
      <c r="P517" s="385"/>
      <c r="Q517" s="385"/>
      <c r="R517" s="385"/>
      <c r="S517" s="385"/>
      <c r="T517" s="385"/>
      <c r="U517" s="385"/>
      <c r="V517" s="385"/>
      <c r="W517" s="385"/>
      <c r="X517" s="385"/>
      <c r="Y517" s="385"/>
      <c r="Z517" s="385"/>
      <c r="AA517" s="385"/>
      <c r="AB517" s="385"/>
      <c r="AC517" s="385"/>
      <c r="AD517" s="385"/>
      <c r="AE517" s="385"/>
      <c r="AF517" s="385"/>
      <c r="AG517" s="385"/>
      <c r="AH517" s="385"/>
      <c r="AI517" s="385"/>
      <c r="AJ517" s="385"/>
      <c r="AK517" s="385"/>
      <c r="AL517" s="385"/>
      <c r="AM517" s="385"/>
      <c r="AN517" s="385"/>
      <c r="AO517" s="385"/>
      <c r="AP517" s="385"/>
      <c r="AQ517" s="385"/>
      <c r="AR517" s="385"/>
      <c r="AS517" s="385"/>
      <c r="AT517" s="385"/>
      <c r="AU517" s="385"/>
      <c r="AV517" s="385"/>
      <c r="AW517" s="385"/>
      <c r="AX517" s="385"/>
    </row>
    <row r="518" spans="1:50" ht="10.8" hidden="1" thickTop="1" x14ac:dyDescent="0.2">
      <c r="A518" s="385"/>
      <c r="B518" s="445"/>
      <c r="C518" s="385"/>
      <c r="D518" s="385"/>
      <c r="E518" s="385"/>
      <c r="F518" s="385"/>
      <c r="G518" s="385"/>
      <c r="H518" s="385"/>
      <c r="I518" s="442"/>
      <c r="J518" s="442"/>
      <c r="K518" s="442"/>
      <c r="L518" s="442"/>
      <c r="M518" s="442"/>
      <c r="N518" s="442"/>
      <c r="O518" s="443"/>
      <c r="P518" s="385"/>
      <c r="Q518" s="385"/>
      <c r="R518" s="385"/>
      <c r="S518" s="385"/>
      <c r="T518" s="385"/>
      <c r="U518" s="385"/>
      <c r="V518" s="385"/>
      <c r="W518" s="385"/>
      <c r="X518" s="385"/>
      <c r="Y518" s="385"/>
      <c r="Z518" s="385"/>
      <c r="AA518" s="385"/>
      <c r="AB518" s="385"/>
      <c r="AC518" s="385"/>
      <c r="AD518" s="385"/>
      <c r="AE518" s="385"/>
      <c r="AF518" s="385"/>
      <c r="AG518" s="385"/>
      <c r="AH518" s="385"/>
      <c r="AI518" s="385"/>
      <c r="AJ518" s="385"/>
      <c r="AK518" s="385"/>
      <c r="AL518" s="385"/>
      <c r="AM518" s="385"/>
      <c r="AN518" s="385"/>
      <c r="AO518" s="385"/>
      <c r="AP518" s="385"/>
      <c r="AQ518" s="385"/>
      <c r="AR518" s="385"/>
      <c r="AS518" s="385"/>
      <c r="AT518" s="385"/>
      <c r="AU518" s="385"/>
      <c r="AV518" s="385"/>
      <c r="AW518" s="385"/>
      <c r="AX518" s="385"/>
    </row>
    <row r="519" spans="1:50" ht="10.8" hidden="1" thickTop="1" x14ac:dyDescent="0.2">
      <c r="A519" s="385"/>
      <c r="B519" s="445"/>
      <c r="C519" s="385"/>
      <c r="D519" s="385"/>
      <c r="E519" s="385"/>
      <c r="F519" s="385"/>
      <c r="G519" s="385"/>
      <c r="H519" s="385"/>
      <c r="I519" s="442"/>
      <c r="J519" s="442"/>
      <c r="K519" s="442"/>
      <c r="L519" s="442"/>
      <c r="M519" s="442"/>
      <c r="N519" s="442"/>
      <c r="O519" s="443"/>
      <c r="P519" s="385"/>
      <c r="Q519" s="385"/>
      <c r="R519" s="385"/>
      <c r="S519" s="385"/>
      <c r="T519" s="385"/>
      <c r="U519" s="385"/>
      <c r="V519" s="385"/>
      <c r="W519" s="385"/>
      <c r="X519" s="385"/>
      <c r="Y519" s="385"/>
      <c r="Z519" s="385"/>
      <c r="AA519" s="385"/>
      <c r="AB519" s="385"/>
      <c r="AC519" s="385"/>
      <c r="AD519" s="385"/>
      <c r="AE519" s="385"/>
      <c r="AF519" s="385"/>
      <c r="AG519" s="385"/>
      <c r="AH519" s="385"/>
      <c r="AI519" s="385"/>
      <c r="AJ519" s="385"/>
      <c r="AK519" s="385"/>
      <c r="AL519" s="385"/>
      <c r="AM519" s="385"/>
      <c r="AN519" s="385"/>
      <c r="AO519" s="385"/>
      <c r="AP519" s="385"/>
      <c r="AQ519" s="385"/>
      <c r="AR519" s="385"/>
      <c r="AS519" s="385"/>
      <c r="AT519" s="385"/>
      <c r="AU519" s="385"/>
      <c r="AV519" s="385"/>
      <c r="AW519" s="385"/>
      <c r="AX519" s="385"/>
    </row>
    <row r="520" spans="1:50" ht="10.8" hidden="1" thickTop="1" x14ac:dyDescent="0.2">
      <c r="A520" s="385"/>
      <c r="B520" s="445"/>
      <c r="C520" s="385"/>
      <c r="D520" s="385"/>
      <c r="E520" s="385"/>
      <c r="F520" s="385"/>
      <c r="G520" s="385"/>
      <c r="H520" s="385"/>
      <c r="I520" s="442"/>
      <c r="J520" s="442"/>
      <c r="K520" s="442"/>
      <c r="L520" s="442"/>
      <c r="M520" s="442"/>
      <c r="N520" s="442"/>
      <c r="O520" s="443"/>
      <c r="P520" s="385"/>
      <c r="Q520" s="385"/>
      <c r="R520" s="385"/>
      <c r="S520" s="385"/>
      <c r="T520" s="385"/>
      <c r="U520" s="385"/>
      <c r="V520" s="385"/>
      <c r="W520" s="385"/>
      <c r="X520" s="385"/>
      <c r="Y520" s="385"/>
      <c r="Z520" s="385"/>
      <c r="AA520" s="385"/>
      <c r="AB520" s="385"/>
      <c r="AC520" s="385"/>
      <c r="AD520" s="385"/>
      <c r="AE520" s="385"/>
      <c r="AF520" s="385"/>
      <c r="AG520" s="385"/>
      <c r="AH520" s="385"/>
      <c r="AI520" s="385"/>
      <c r="AJ520" s="385"/>
      <c r="AK520" s="385"/>
      <c r="AL520" s="385"/>
      <c r="AM520" s="385"/>
      <c r="AN520" s="385"/>
      <c r="AO520" s="385"/>
      <c r="AP520" s="385"/>
      <c r="AQ520" s="385"/>
      <c r="AR520" s="385"/>
      <c r="AS520" s="385"/>
      <c r="AT520" s="385"/>
      <c r="AU520" s="385"/>
      <c r="AV520" s="385"/>
      <c r="AW520" s="385"/>
      <c r="AX520" s="385"/>
    </row>
    <row r="521" spans="1:50" ht="10.8" hidden="1" thickTop="1" x14ac:dyDescent="0.2">
      <c r="A521" s="385"/>
      <c r="B521" s="385"/>
      <c r="C521" s="385"/>
      <c r="D521" s="385"/>
      <c r="E521" s="385"/>
      <c r="F521" s="385"/>
      <c r="G521" s="385"/>
      <c r="H521" s="385"/>
      <c r="I521" s="442"/>
      <c r="J521" s="442"/>
      <c r="K521" s="442"/>
      <c r="L521" s="442"/>
      <c r="M521" s="442"/>
      <c r="N521" s="442"/>
      <c r="O521" s="443"/>
      <c r="P521" s="385"/>
      <c r="Q521" s="385"/>
      <c r="R521" s="385"/>
      <c r="S521" s="385"/>
      <c r="T521" s="385"/>
      <c r="U521" s="385"/>
      <c r="V521" s="385"/>
      <c r="W521" s="385"/>
      <c r="X521" s="385"/>
      <c r="Y521" s="385"/>
      <c r="Z521" s="385"/>
      <c r="AA521" s="385"/>
      <c r="AB521" s="385"/>
      <c r="AC521" s="385"/>
      <c r="AD521" s="385"/>
      <c r="AE521" s="385"/>
      <c r="AF521" s="385"/>
      <c r="AG521" s="385"/>
      <c r="AH521" s="385"/>
      <c r="AI521" s="385"/>
      <c r="AJ521" s="385"/>
      <c r="AK521" s="385"/>
      <c r="AL521" s="385"/>
      <c r="AM521" s="385"/>
      <c r="AN521" s="385"/>
      <c r="AO521" s="385"/>
      <c r="AP521" s="385"/>
      <c r="AQ521" s="385"/>
      <c r="AR521" s="385"/>
      <c r="AS521" s="385"/>
      <c r="AT521" s="385"/>
      <c r="AU521" s="385"/>
      <c r="AV521" s="385"/>
      <c r="AW521" s="385"/>
      <c r="AX521" s="385"/>
    </row>
    <row r="522" spans="1:50" ht="10.8" hidden="1" thickTop="1" x14ac:dyDescent="0.2">
      <c r="A522" s="385"/>
      <c r="B522" s="385"/>
      <c r="C522" s="385"/>
      <c r="D522" s="385"/>
      <c r="E522" s="385"/>
      <c r="F522" s="385"/>
      <c r="G522" s="385"/>
      <c r="H522" s="385"/>
      <c r="I522" s="442"/>
      <c r="J522" s="442"/>
      <c r="K522" s="442"/>
      <c r="L522" s="442"/>
      <c r="M522" s="442"/>
      <c r="N522" s="442"/>
      <c r="O522" s="443"/>
      <c r="P522" s="385"/>
      <c r="Q522" s="385"/>
      <c r="R522" s="385"/>
      <c r="S522" s="385"/>
      <c r="T522" s="385"/>
      <c r="U522" s="385"/>
      <c r="V522" s="385"/>
      <c r="W522" s="385"/>
      <c r="X522" s="385"/>
      <c r="Y522" s="385"/>
      <c r="Z522" s="385"/>
      <c r="AA522" s="385"/>
      <c r="AB522" s="385"/>
      <c r="AC522" s="385"/>
      <c r="AD522" s="385"/>
      <c r="AE522" s="385"/>
      <c r="AF522" s="385"/>
      <c r="AG522" s="385"/>
      <c r="AH522" s="385"/>
      <c r="AI522" s="385"/>
      <c r="AJ522" s="385"/>
      <c r="AK522" s="385"/>
      <c r="AL522" s="385"/>
      <c r="AM522" s="385"/>
      <c r="AN522" s="385"/>
      <c r="AO522" s="385"/>
      <c r="AP522" s="385"/>
      <c r="AQ522" s="385"/>
      <c r="AR522" s="385"/>
      <c r="AS522" s="385"/>
      <c r="AT522" s="385"/>
      <c r="AU522" s="385"/>
      <c r="AV522" s="385"/>
      <c r="AW522" s="385"/>
      <c r="AX522" s="385"/>
    </row>
    <row r="523" spans="1:50" ht="10.8" hidden="1" thickTop="1" x14ac:dyDescent="0.2">
      <c r="A523" s="385"/>
      <c r="B523" s="385"/>
      <c r="C523" s="385"/>
      <c r="D523" s="385"/>
      <c r="E523" s="385"/>
      <c r="F523" s="385"/>
      <c r="G523" s="385"/>
      <c r="H523" s="385"/>
      <c r="I523" s="442"/>
      <c r="J523" s="442"/>
      <c r="K523" s="442"/>
      <c r="L523" s="442"/>
      <c r="M523" s="442"/>
      <c r="N523" s="442"/>
      <c r="O523" s="443"/>
      <c r="P523" s="385"/>
      <c r="Q523" s="385"/>
      <c r="R523" s="385"/>
      <c r="S523" s="385"/>
      <c r="T523" s="385"/>
      <c r="U523" s="385"/>
      <c r="V523" s="385"/>
      <c r="W523" s="385"/>
      <c r="X523" s="385"/>
      <c r="Y523" s="385"/>
      <c r="Z523" s="385"/>
      <c r="AA523" s="385"/>
      <c r="AB523" s="385"/>
      <c r="AC523" s="385"/>
      <c r="AD523" s="385"/>
      <c r="AE523" s="385"/>
      <c r="AF523" s="385"/>
      <c r="AG523" s="385"/>
      <c r="AH523" s="385"/>
      <c r="AI523" s="385"/>
      <c r="AJ523" s="385"/>
      <c r="AK523" s="385"/>
      <c r="AL523" s="385"/>
      <c r="AM523" s="385"/>
      <c r="AN523" s="385"/>
      <c r="AO523" s="385"/>
      <c r="AP523" s="385"/>
      <c r="AQ523" s="385"/>
      <c r="AR523" s="385"/>
      <c r="AS523" s="385"/>
      <c r="AT523" s="385"/>
      <c r="AU523" s="385"/>
      <c r="AV523" s="385"/>
      <c r="AW523" s="385"/>
      <c r="AX523" s="385"/>
    </row>
    <row r="524" spans="1:50" ht="10.8" hidden="1" thickTop="1" x14ac:dyDescent="0.2">
      <c r="A524" s="385"/>
      <c r="B524" s="385"/>
      <c r="C524" s="385"/>
      <c r="D524" s="385"/>
      <c r="E524" s="385"/>
      <c r="F524" s="385"/>
      <c r="G524" s="385"/>
      <c r="H524" s="385"/>
      <c r="I524" s="442"/>
      <c r="J524" s="442"/>
      <c r="K524" s="442"/>
      <c r="L524" s="442"/>
      <c r="M524" s="442"/>
      <c r="N524" s="442"/>
      <c r="O524" s="443"/>
      <c r="P524" s="385"/>
      <c r="Q524" s="385"/>
      <c r="R524" s="385"/>
      <c r="S524" s="385"/>
      <c r="T524" s="385"/>
      <c r="U524" s="385"/>
      <c r="V524" s="385"/>
      <c r="W524" s="385"/>
      <c r="X524" s="385"/>
      <c r="Y524" s="385"/>
      <c r="Z524" s="385"/>
      <c r="AA524" s="385"/>
      <c r="AB524" s="385"/>
      <c r="AC524" s="385"/>
      <c r="AD524" s="385"/>
      <c r="AE524" s="385"/>
      <c r="AF524" s="385"/>
      <c r="AG524" s="385"/>
      <c r="AH524" s="385"/>
      <c r="AI524" s="385"/>
      <c r="AJ524" s="385"/>
      <c r="AK524" s="385"/>
      <c r="AL524" s="385"/>
      <c r="AM524" s="385"/>
      <c r="AN524" s="385"/>
      <c r="AO524" s="385"/>
      <c r="AP524" s="385"/>
      <c r="AQ524" s="385"/>
      <c r="AR524" s="385"/>
      <c r="AS524" s="385"/>
      <c r="AT524" s="385"/>
      <c r="AU524" s="385"/>
      <c r="AV524" s="385"/>
      <c r="AW524" s="385"/>
      <c r="AX524" s="385"/>
    </row>
    <row r="525" spans="1:50" ht="10.8" hidden="1" thickTop="1" x14ac:dyDescent="0.2">
      <c r="A525" s="385"/>
      <c r="B525" s="445"/>
      <c r="C525" s="446"/>
      <c r="D525" s="385"/>
      <c r="E525" s="385"/>
      <c r="F525" s="385"/>
      <c r="G525" s="385"/>
      <c r="H525" s="385"/>
      <c r="I525" s="442"/>
      <c r="J525" s="442"/>
      <c r="K525" s="442"/>
      <c r="L525" s="442"/>
      <c r="M525" s="442"/>
      <c r="N525" s="442"/>
      <c r="O525" s="443"/>
      <c r="P525" s="385"/>
      <c r="Q525" s="385"/>
      <c r="R525" s="385"/>
      <c r="S525" s="385"/>
      <c r="T525" s="385"/>
      <c r="U525" s="385"/>
      <c r="V525" s="385"/>
      <c r="W525" s="385"/>
      <c r="X525" s="385"/>
      <c r="Y525" s="385"/>
      <c r="Z525" s="385"/>
      <c r="AA525" s="385"/>
      <c r="AB525" s="385"/>
      <c r="AC525" s="385"/>
      <c r="AD525" s="385"/>
      <c r="AE525" s="385"/>
      <c r="AF525" s="385"/>
      <c r="AG525" s="385"/>
      <c r="AH525" s="385"/>
      <c r="AI525" s="385"/>
      <c r="AJ525" s="385"/>
      <c r="AK525" s="385"/>
      <c r="AL525" s="385"/>
      <c r="AM525" s="385"/>
      <c r="AN525" s="385"/>
      <c r="AO525" s="385"/>
      <c r="AP525" s="385"/>
      <c r="AQ525" s="385"/>
      <c r="AR525" s="385"/>
      <c r="AS525" s="385"/>
      <c r="AT525" s="385"/>
      <c r="AU525" s="385"/>
      <c r="AV525" s="385"/>
      <c r="AW525" s="385"/>
      <c r="AX525" s="385"/>
    </row>
    <row r="526" spans="1:50" ht="10.8" hidden="1" thickTop="1" x14ac:dyDescent="0.2">
      <c r="A526" s="385"/>
      <c r="B526" s="385"/>
      <c r="C526" s="385"/>
      <c r="D526" s="385"/>
      <c r="E526" s="385"/>
      <c r="F526" s="385"/>
      <c r="G526" s="385"/>
      <c r="H526" s="385"/>
      <c r="I526" s="442"/>
      <c r="J526" s="442"/>
      <c r="K526" s="442"/>
      <c r="L526" s="442"/>
      <c r="M526" s="442"/>
      <c r="N526" s="442"/>
      <c r="O526" s="443"/>
      <c r="P526" s="385"/>
      <c r="Q526" s="385"/>
      <c r="R526" s="385"/>
      <c r="S526" s="385"/>
      <c r="T526" s="385"/>
      <c r="U526" s="385"/>
      <c r="V526" s="385"/>
      <c r="W526" s="385"/>
      <c r="X526" s="385"/>
      <c r="Y526" s="385"/>
      <c r="Z526" s="385"/>
      <c r="AA526" s="385"/>
      <c r="AB526" s="385"/>
      <c r="AC526" s="385"/>
      <c r="AD526" s="385"/>
      <c r="AE526" s="385"/>
      <c r="AF526" s="385"/>
      <c r="AG526" s="385"/>
      <c r="AH526" s="385"/>
      <c r="AI526" s="385"/>
      <c r="AJ526" s="385"/>
      <c r="AK526" s="385"/>
      <c r="AL526" s="385"/>
      <c r="AM526" s="385"/>
      <c r="AN526" s="385"/>
      <c r="AO526" s="385"/>
      <c r="AP526" s="385"/>
      <c r="AQ526" s="385"/>
      <c r="AR526" s="385"/>
      <c r="AS526" s="385"/>
      <c r="AT526" s="385"/>
      <c r="AU526" s="385"/>
      <c r="AV526" s="385"/>
      <c r="AW526" s="385"/>
      <c r="AX526" s="385"/>
    </row>
    <row r="527" spans="1:50" ht="10.8" hidden="1" thickTop="1" x14ac:dyDescent="0.2">
      <c r="A527" s="385"/>
      <c r="B527" s="385"/>
      <c r="C527" s="385"/>
      <c r="D527" s="385"/>
      <c r="E527" s="385"/>
      <c r="F527" s="385"/>
      <c r="G527" s="385"/>
      <c r="H527" s="385"/>
      <c r="I527" s="442"/>
      <c r="J527" s="442"/>
      <c r="K527" s="442"/>
      <c r="L527" s="442"/>
      <c r="M527" s="442"/>
      <c r="N527" s="442"/>
      <c r="O527" s="443"/>
      <c r="P527" s="385"/>
      <c r="Q527" s="385"/>
      <c r="R527" s="385"/>
      <c r="S527" s="385"/>
      <c r="T527" s="385"/>
      <c r="U527" s="385"/>
      <c r="V527" s="385"/>
      <c r="W527" s="385"/>
      <c r="X527" s="385"/>
      <c r="Y527" s="385"/>
      <c r="Z527" s="385"/>
      <c r="AA527" s="385"/>
      <c r="AB527" s="385"/>
      <c r="AC527" s="385"/>
      <c r="AD527" s="385"/>
      <c r="AE527" s="385"/>
      <c r="AF527" s="385"/>
      <c r="AG527" s="385"/>
      <c r="AH527" s="385"/>
      <c r="AI527" s="385"/>
      <c r="AJ527" s="385"/>
      <c r="AK527" s="385"/>
      <c r="AL527" s="385"/>
      <c r="AM527" s="385"/>
      <c r="AN527" s="385"/>
      <c r="AO527" s="385"/>
      <c r="AP527" s="385"/>
      <c r="AQ527" s="385"/>
      <c r="AR527" s="385"/>
      <c r="AS527" s="385"/>
      <c r="AT527" s="385"/>
      <c r="AU527" s="385"/>
      <c r="AV527" s="385"/>
      <c r="AW527" s="385"/>
      <c r="AX527" s="385"/>
    </row>
    <row r="528" spans="1:50" ht="10.8" hidden="1" thickTop="1" x14ac:dyDescent="0.2">
      <c r="A528" s="385"/>
      <c r="B528" s="385"/>
      <c r="C528" s="385"/>
      <c r="D528" s="385"/>
      <c r="E528" s="385"/>
      <c r="F528" s="385"/>
      <c r="G528" s="385"/>
      <c r="H528" s="385"/>
      <c r="I528" s="442"/>
      <c r="J528" s="442"/>
      <c r="K528" s="442"/>
      <c r="L528" s="442"/>
      <c r="M528" s="442"/>
      <c r="N528" s="442"/>
      <c r="O528" s="443"/>
      <c r="P528" s="385"/>
      <c r="Q528" s="385"/>
      <c r="R528" s="385"/>
      <c r="S528" s="385"/>
      <c r="T528" s="385"/>
      <c r="U528" s="385"/>
      <c r="V528" s="385"/>
      <c r="W528" s="385"/>
      <c r="X528" s="385"/>
      <c r="Y528" s="385"/>
      <c r="Z528" s="385"/>
      <c r="AA528" s="385"/>
      <c r="AB528" s="385"/>
      <c r="AC528" s="385"/>
      <c r="AD528" s="385"/>
      <c r="AE528" s="385"/>
      <c r="AF528" s="385"/>
      <c r="AG528" s="385"/>
      <c r="AH528" s="385"/>
      <c r="AI528" s="385"/>
      <c r="AJ528" s="385"/>
      <c r="AK528" s="385"/>
      <c r="AL528" s="385"/>
      <c r="AM528" s="385"/>
      <c r="AN528" s="385"/>
      <c r="AO528" s="385"/>
      <c r="AP528" s="385"/>
      <c r="AQ528" s="385"/>
      <c r="AR528" s="385"/>
      <c r="AS528" s="385"/>
      <c r="AT528" s="385"/>
      <c r="AU528" s="385"/>
      <c r="AV528" s="385"/>
      <c r="AW528" s="385"/>
      <c r="AX528" s="385"/>
    </row>
    <row r="529" spans="1:50" ht="10.8" hidden="1" thickTop="1" x14ac:dyDescent="0.2">
      <c r="A529" s="385"/>
      <c r="B529" s="445"/>
      <c r="C529" s="385"/>
      <c r="D529" s="385"/>
      <c r="E529" s="385"/>
      <c r="F529" s="385"/>
      <c r="G529" s="385"/>
      <c r="H529" s="385"/>
      <c r="I529" s="442"/>
      <c r="J529" s="442"/>
      <c r="K529" s="442"/>
      <c r="L529" s="442"/>
      <c r="M529" s="442"/>
      <c r="N529" s="442"/>
      <c r="O529" s="443"/>
      <c r="P529" s="385"/>
      <c r="Q529" s="385"/>
      <c r="R529" s="385"/>
      <c r="S529" s="385"/>
      <c r="T529" s="385"/>
      <c r="U529" s="385"/>
      <c r="V529" s="385"/>
      <c r="W529" s="385"/>
      <c r="X529" s="385"/>
      <c r="Y529" s="385"/>
      <c r="Z529" s="385"/>
      <c r="AA529" s="385"/>
      <c r="AB529" s="385"/>
      <c r="AC529" s="385"/>
      <c r="AD529" s="385"/>
      <c r="AE529" s="385"/>
      <c r="AF529" s="385"/>
      <c r="AG529" s="385"/>
      <c r="AH529" s="385"/>
      <c r="AI529" s="385"/>
      <c r="AJ529" s="385"/>
      <c r="AK529" s="385"/>
      <c r="AL529" s="385"/>
      <c r="AM529" s="385"/>
      <c r="AN529" s="385"/>
      <c r="AO529" s="385"/>
      <c r="AP529" s="385"/>
      <c r="AQ529" s="385"/>
      <c r="AR529" s="385"/>
      <c r="AS529" s="385"/>
      <c r="AT529" s="385"/>
      <c r="AU529" s="385"/>
      <c r="AV529" s="385"/>
      <c r="AW529" s="385"/>
      <c r="AX529" s="385"/>
    </row>
    <row r="530" spans="1:50" ht="10.8" hidden="1" thickTop="1" x14ac:dyDescent="0.2">
      <c r="A530" s="385"/>
      <c r="B530" s="445"/>
      <c r="C530" s="385"/>
      <c r="D530" s="385"/>
      <c r="E530" s="385"/>
      <c r="F530" s="385"/>
      <c r="G530" s="385"/>
      <c r="H530" s="385"/>
      <c r="I530" s="442"/>
      <c r="J530" s="442"/>
      <c r="K530" s="442"/>
      <c r="L530" s="442"/>
      <c r="M530" s="442"/>
      <c r="N530" s="442"/>
      <c r="O530" s="443"/>
      <c r="P530" s="385"/>
      <c r="Q530" s="385"/>
      <c r="R530" s="385"/>
      <c r="S530" s="385"/>
      <c r="T530" s="385"/>
      <c r="U530" s="385"/>
      <c r="V530" s="385"/>
      <c r="W530" s="385"/>
      <c r="X530" s="385"/>
      <c r="Y530" s="385"/>
      <c r="Z530" s="385"/>
      <c r="AA530" s="385"/>
      <c r="AB530" s="385"/>
      <c r="AC530" s="385"/>
      <c r="AD530" s="385"/>
      <c r="AE530" s="385"/>
      <c r="AF530" s="385"/>
      <c r="AG530" s="385"/>
      <c r="AH530" s="385"/>
      <c r="AI530" s="385"/>
      <c r="AJ530" s="385"/>
      <c r="AK530" s="385"/>
      <c r="AL530" s="385"/>
      <c r="AM530" s="385"/>
      <c r="AN530" s="385"/>
      <c r="AO530" s="385"/>
      <c r="AP530" s="385"/>
      <c r="AQ530" s="385"/>
      <c r="AR530" s="385"/>
      <c r="AS530" s="385"/>
      <c r="AT530" s="385"/>
      <c r="AU530" s="385"/>
      <c r="AV530" s="385"/>
      <c r="AW530" s="385"/>
      <c r="AX530" s="385"/>
    </row>
    <row r="531" spans="1:50" ht="10.8" hidden="1" thickTop="1" x14ac:dyDescent="0.2">
      <c r="A531" s="385"/>
      <c r="B531" s="385"/>
      <c r="C531" s="385"/>
      <c r="D531" s="385"/>
      <c r="E531" s="385"/>
      <c r="F531" s="385"/>
      <c r="G531" s="385"/>
      <c r="H531" s="385"/>
      <c r="I531" s="442"/>
      <c r="J531" s="442"/>
      <c r="K531" s="442"/>
      <c r="L531" s="442"/>
      <c r="M531" s="442"/>
      <c r="N531" s="442"/>
      <c r="O531" s="443"/>
      <c r="P531" s="385"/>
      <c r="Q531" s="385"/>
      <c r="R531" s="385"/>
      <c r="S531" s="385"/>
      <c r="T531" s="385"/>
      <c r="U531" s="385"/>
      <c r="V531" s="385"/>
      <c r="W531" s="385"/>
      <c r="X531" s="385"/>
      <c r="Y531" s="385"/>
      <c r="Z531" s="385"/>
      <c r="AA531" s="385"/>
      <c r="AB531" s="385"/>
      <c r="AC531" s="385"/>
      <c r="AD531" s="385"/>
      <c r="AE531" s="385"/>
      <c r="AF531" s="385"/>
      <c r="AG531" s="385"/>
      <c r="AH531" s="385"/>
      <c r="AI531" s="385"/>
      <c r="AJ531" s="385"/>
      <c r="AK531" s="385"/>
      <c r="AL531" s="385"/>
      <c r="AM531" s="385"/>
      <c r="AN531" s="385"/>
      <c r="AO531" s="385"/>
      <c r="AP531" s="385"/>
      <c r="AQ531" s="385"/>
      <c r="AR531" s="385"/>
      <c r="AS531" s="385"/>
      <c r="AT531" s="385"/>
      <c r="AU531" s="385"/>
      <c r="AV531" s="385"/>
      <c r="AW531" s="385"/>
      <c r="AX531" s="385"/>
    </row>
    <row r="532" spans="1:50" ht="10.8" hidden="1" thickTop="1" x14ac:dyDescent="0.2">
      <c r="A532" s="385"/>
      <c r="B532" s="385"/>
      <c r="C532" s="385"/>
      <c r="D532" s="385"/>
      <c r="E532" s="385"/>
      <c r="F532" s="385"/>
      <c r="G532" s="385"/>
      <c r="H532" s="385"/>
      <c r="I532" s="442"/>
      <c r="J532" s="442"/>
      <c r="K532" s="442"/>
      <c r="L532" s="442"/>
      <c r="M532" s="442"/>
      <c r="N532" s="442"/>
      <c r="O532" s="443"/>
      <c r="P532" s="385"/>
      <c r="Q532" s="385"/>
      <c r="R532" s="385"/>
      <c r="S532" s="385"/>
      <c r="T532" s="385"/>
      <c r="U532" s="385"/>
      <c r="V532" s="385"/>
      <c r="W532" s="385"/>
      <c r="X532" s="385"/>
      <c r="Y532" s="385"/>
      <c r="Z532" s="385"/>
      <c r="AA532" s="385"/>
      <c r="AB532" s="385"/>
      <c r="AC532" s="385"/>
      <c r="AD532" s="385"/>
      <c r="AE532" s="385"/>
      <c r="AF532" s="385"/>
      <c r="AG532" s="385"/>
      <c r="AH532" s="385"/>
      <c r="AI532" s="385"/>
      <c r="AJ532" s="385"/>
      <c r="AK532" s="385"/>
      <c r="AL532" s="385"/>
      <c r="AM532" s="385"/>
      <c r="AN532" s="385"/>
      <c r="AO532" s="385"/>
      <c r="AP532" s="385"/>
      <c r="AQ532" s="385"/>
      <c r="AR532" s="385"/>
      <c r="AS532" s="385"/>
      <c r="AT532" s="385"/>
      <c r="AU532" s="385"/>
      <c r="AV532" s="385"/>
      <c r="AW532" s="385"/>
      <c r="AX532" s="385"/>
    </row>
    <row r="533" spans="1:50" ht="10.8" hidden="1" thickTop="1" x14ac:dyDescent="0.2">
      <c r="A533" s="385"/>
      <c r="B533" s="385"/>
      <c r="C533" s="385"/>
      <c r="D533" s="385"/>
      <c r="E533" s="385"/>
      <c r="F533" s="385"/>
      <c r="G533" s="385"/>
      <c r="H533" s="385"/>
      <c r="I533" s="442"/>
      <c r="J533" s="442"/>
      <c r="K533" s="442"/>
      <c r="L533" s="442"/>
      <c r="M533" s="442"/>
      <c r="N533" s="442"/>
      <c r="O533" s="443"/>
      <c r="P533" s="385"/>
      <c r="Q533" s="385"/>
      <c r="R533" s="385"/>
      <c r="S533" s="385"/>
      <c r="T533" s="385"/>
      <c r="U533" s="385"/>
      <c r="V533" s="385"/>
      <c r="W533" s="385"/>
      <c r="X533" s="385"/>
      <c r="Y533" s="385"/>
      <c r="Z533" s="385"/>
      <c r="AA533" s="385"/>
      <c r="AB533" s="385"/>
      <c r="AC533" s="385"/>
      <c r="AD533" s="385"/>
      <c r="AE533" s="385"/>
      <c r="AF533" s="385"/>
      <c r="AG533" s="385"/>
      <c r="AH533" s="385"/>
      <c r="AI533" s="385"/>
      <c r="AJ533" s="385"/>
      <c r="AK533" s="385"/>
      <c r="AL533" s="385"/>
      <c r="AM533" s="385"/>
      <c r="AN533" s="385"/>
      <c r="AO533" s="385"/>
      <c r="AP533" s="385"/>
      <c r="AQ533" s="385"/>
      <c r="AR533" s="385"/>
      <c r="AS533" s="385"/>
      <c r="AT533" s="385"/>
      <c r="AU533" s="385"/>
      <c r="AV533" s="385"/>
      <c r="AW533" s="385"/>
      <c r="AX533" s="385"/>
    </row>
    <row r="534" spans="1:50" ht="10.8" hidden="1" thickTop="1" x14ac:dyDescent="0.2">
      <c r="A534" s="385"/>
      <c r="B534" s="385"/>
      <c r="C534" s="385"/>
      <c r="D534" s="385"/>
      <c r="E534" s="385"/>
      <c r="F534" s="385"/>
      <c r="G534" s="385"/>
      <c r="H534" s="385"/>
      <c r="I534" s="442"/>
      <c r="J534" s="442"/>
      <c r="K534" s="442"/>
      <c r="L534" s="442"/>
      <c r="M534" s="442"/>
      <c r="N534" s="442"/>
      <c r="O534" s="443"/>
      <c r="P534" s="385"/>
      <c r="Q534" s="385"/>
      <c r="R534" s="385"/>
      <c r="S534" s="385"/>
      <c r="T534" s="385"/>
      <c r="U534" s="385"/>
      <c r="V534" s="385"/>
      <c r="W534" s="385"/>
      <c r="X534" s="385"/>
      <c r="Y534" s="385"/>
      <c r="Z534" s="385"/>
      <c r="AA534" s="385"/>
      <c r="AB534" s="385"/>
      <c r="AC534" s="385"/>
      <c r="AD534" s="385"/>
      <c r="AE534" s="385"/>
      <c r="AF534" s="385"/>
      <c r="AG534" s="385"/>
      <c r="AH534" s="385"/>
      <c r="AI534" s="385"/>
      <c r="AJ534" s="385"/>
      <c r="AK534" s="385"/>
      <c r="AL534" s="385"/>
      <c r="AM534" s="385"/>
      <c r="AN534" s="385"/>
      <c r="AO534" s="385"/>
      <c r="AP534" s="385"/>
      <c r="AQ534" s="385"/>
      <c r="AR534" s="385"/>
      <c r="AS534" s="385"/>
      <c r="AT534" s="385"/>
      <c r="AU534" s="385"/>
      <c r="AV534" s="385"/>
      <c r="AW534" s="385"/>
      <c r="AX534" s="385"/>
    </row>
    <row r="535" spans="1:50" ht="10.8" hidden="1" thickTop="1" x14ac:dyDescent="0.2">
      <c r="A535" s="385"/>
      <c r="B535" s="445"/>
      <c r="C535" s="385"/>
      <c r="D535" s="385"/>
      <c r="E535" s="385"/>
      <c r="F535" s="385"/>
      <c r="G535" s="385"/>
      <c r="H535" s="385"/>
      <c r="I535" s="442"/>
      <c r="J535" s="442"/>
      <c r="K535" s="442"/>
      <c r="L535" s="442"/>
      <c r="M535" s="442"/>
      <c r="N535" s="442"/>
      <c r="O535" s="443"/>
      <c r="P535" s="385"/>
      <c r="Q535" s="385"/>
      <c r="R535" s="385"/>
      <c r="S535" s="385"/>
      <c r="T535" s="385"/>
      <c r="U535" s="385"/>
      <c r="V535" s="385"/>
      <c r="W535" s="385"/>
      <c r="X535" s="385"/>
      <c r="Y535" s="385"/>
      <c r="Z535" s="385"/>
      <c r="AA535" s="385"/>
      <c r="AB535" s="385"/>
      <c r="AC535" s="385"/>
      <c r="AD535" s="385"/>
      <c r="AE535" s="385"/>
      <c r="AF535" s="385"/>
      <c r="AG535" s="385"/>
      <c r="AH535" s="385"/>
      <c r="AI535" s="385"/>
      <c r="AJ535" s="385"/>
      <c r="AK535" s="385"/>
      <c r="AL535" s="385"/>
      <c r="AM535" s="385"/>
      <c r="AN535" s="385"/>
      <c r="AO535" s="385"/>
      <c r="AP535" s="385"/>
      <c r="AQ535" s="385"/>
      <c r="AR535" s="385"/>
      <c r="AS535" s="385"/>
      <c r="AT535" s="385"/>
      <c r="AU535" s="385"/>
      <c r="AV535" s="385"/>
      <c r="AW535" s="385"/>
      <c r="AX535" s="385"/>
    </row>
    <row r="536" spans="1:50" ht="10.8" hidden="1" thickTop="1" x14ac:dyDescent="0.2">
      <c r="A536" s="385"/>
      <c r="B536" s="385"/>
      <c r="C536" s="385"/>
      <c r="D536" s="385"/>
      <c r="E536" s="385"/>
      <c r="F536" s="385"/>
      <c r="G536" s="385"/>
      <c r="H536" s="385"/>
      <c r="I536" s="442"/>
      <c r="J536" s="442"/>
      <c r="K536" s="442"/>
      <c r="L536" s="442"/>
      <c r="M536" s="442"/>
      <c r="N536" s="442"/>
      <c r="O536" s="443"/>
      <c r="P536" s="385"/>
      <c r="Q536" s="385"/>
      <c r="R536" s="385"/>
      <c r="S536" s="385"/>
      <c r="T536" s="385"/>
      <c r="U536" s="385"/>
      <c r="V536" s="385"/>
      <c r="W536" s="385"/>
      <c r="X536" s="385"/>
      <c r="Y536" s="385"/>
      <c r="Z536" s="385"/>
      <c r="AA536" s="385"/>
      <c r="AB536" s="385"/>
      <c r="AC536" s="385"/>
      <c r="AD536" s="385"/>
      <c r="AE536" s="385"/>
      <c r="AF536" s="385"/>
      <c r="AG536" s="385"/>
      <c r="AH536" s="385"/>
      <c r="AI536" s="385"/>
      <c r="AJ536" s="385"/>
      <c r="AK536" s="385"/>
      <c r="AL536" s="385"/>
      <c r="AM536" s="385"/>
      <c r="AN536" s="385"/>
      <c r="AO536" s="385"/>
      <c r="AP536" s="385"/>
      <c r="AQ536" s="385"/>
      <c r="AR536" s="385"/>
      <c r="AS536" s="385"/>
      <c r="AT536" s="385"/>
      <c r="AU536" s="385"/>
      <c r="AV536" s="385"/>
      <c r="AW536" s="385"/>
      <c r="AX536" s="385"/>
    </row>
    <row r="537" spans="1:50" ht="10.8" hidden="1" thickTop="1" x14ac:dyDescent="0.2">
      <c r="A537" s="385"/>
      <c r="B537" s="385"/>
      <c r="C537" s="385"/>
      <c r="D537" s="385"/>
      <c r="E537" s="385"/>
      <c r="F537" s="385"/>
      <c r="G537" s="385"/>
      <c r="H537" s="385"/>
      <c r="I537" s="442"/>
      <c r="J537" s="442"/>
      <c r="K537" s="442"/>
      <c r="L537" s="442"/>
      <c r="M537" s="442"/>
      <c r="N537" s="442"/>
      <c r="O537" s="443"/>
      <c r="P537" s="385"/>
      <c r="Q537" s="385"/>
      <c r="R537" s="385"/>
      <c r="S537" s="385"/>
      <c r="T537" s="385"/>
      <c r="U537" s="385"/>
      <c r="V537" s="385"/>
      <c r="W537" s="385"/>
      <c r="X537" s="385"/>
      <c r="Y537" s="385"/>
      <c r="Z537" s="385"/>
      <c r="AA537" s="385"/>
      <c r="AB537" s="385"/>
      <c r="AC537" s="385"/>
      <c r="AD537" s="385"/>
      <c r="AE537" s="385"/>
      <c r="AF537" s="385"/>
      <c r="AG537" s="385"/>
      <c r="AH537" s="385"/>
      <c r="AI537" s="385"/>
      <c r="AJ537" s="385"/>
      <c r="AK537" s="385"/>
      <c r="AL537" s="385"/>
      <c r="AM537" s="385"/>
      <c r="AN537" s="385"/>
      <c r="AO537" s="385"/>
      <c r="AP537" s="385"/>
      <c r="AQ537" s="385"/>
      <c r="AR537" s="385"/>
      <c r="AS537" s="385"/>
      <c r="AT537" s="385"/>
      <c r="AU537" s="385"/>
      <c r="AV537" s="385"/>
      <c r="AW537" s="385"/>
      <c r="AX537" s="385"/>
    </row>
    <row r="538" spans="1:50" ht="10.8" hidden="1" thickTop="1" x14ac:dyDescent="0.2">
      <c r="A538" s="385"/>
      <c r="B538" s="385"/>
      <c r="C538" s="385"/>
      <c r="D538" s="385"/>
      <c r="E538" s="385"/>
      <c r="F538" s="385"/>
      <c r="G538" s="385"/>
      <c r="H538" s="385"/>
      <c r="I538" s="442"/>
      <c r="J538" s="442"/>
      <c r="K538" s="442"/>
      <c r="L538" s="442"/>
      <c r="M538" s="442"/>
      <c r="N538" s="442"/>
      <c r="O538" s="443"/>
      <c r="P538" s="385"/>
      <c r="Q538" s="385"/>
      <c r="R538" s="385"/>
      <c r="S538" s="385"/>
      <c r="T538" s="385"/>
      <c r="U538" s="385"/>
      <c r="V538" s="385"/>
      <c r="W538" s="385"/>
      <c r="X538" s="385"/>
      <c r="Y538" s="385"/>
      <c r="Z538" s="385"/>
      <c r="AA538" s="385"/>
      <c r="AB538" s="385"/>
      <c r="AC538" s="385"/>
      <c r="AD538" s="385"/>
      <c r="AE538" s="385"/>
      <c r="AF538" s="385"/>
      <c r="AG538" s="385"/>
      <c r="AH538" s="385"/>
      <c r="AI538" s="385"/>
      <c r="AJ538" s="385"/>
      <c r="AK538" s="385"/>
      <c r="AL538" s="385"/>
      <c r="AM538" s="385"/>
      <c r="AN538" s="385"/>
      <c r="AO538" s="385"/>
      <c r="AP538" s="385"/>
      <c r="AQ538" s="385"/>
      <c r="AR538" s="385"/>
      <c r="AS538" s="385"/>
      <c r="AT538" s="385"/>
      <c r="AU538" s="385"/>
      <c r="AV538" s="385"/>
      <c r="AW538" s="385"/>
      <c r="AX538" s="385"/>
    </row>
    <row r="539" spans="1:50" ht="10.8" hidden="1" thickTop="1" x14ac:dyDescent="0.2">
      <c r="A539" s="385"/>
      <c r="B539" s="385"/>
      <c r="C539" s="385"/>
      <c r="D539" s="385"/>
      <c r="E539" s="385"/>
      <c r="F539" s="385"/>
      <c r="G539" s="385"/>
      <c r="H539" s="385"/>
      <c r="I539" s="442"/>
      <c r="J539" s="442"/>
      <c r="K539" s="442"/>
      <c r="L539" s="442"/>
      <c r="M539" s="442"/>
      <c r="N539" s="442"/>
      <c r="O539" s="443"/>
      <c r="P539" s="385"/>
      <c r="Q539" s="385"/>
      <c r="R539" s="385"/>
      <c r="S539" s="385"/>
      <c r="T539" s="385"/>
      <c r="U539" s="385"/>
      <c r="V539" s="385"/>
      <c r="W539" s="385"/>
      <c r="X539" s="385"/>
      <c r="Y539" s="385"/>
      <c r="Z539" s="385"/>
      <c r="AA539" s="385"/>
      <c r="AB539" s="385"/>
      <c r="AC539" s="385"/>
      <c r="AD539" s="385"/>
      <c r="AE539" s="385"/>
      <c r="AF539" s="385"/>
      <c r="AG539" s="385"/>
      <c r="AH539" s="385"/>
      <c r="AI539" s="385"/>
      <c r="AJ539" s="385"/>
      <c r="AK539" s="385"/>
      <c r="AL539" s="385"/>
      <c r="AM539" s="385"/>
      <c r="AN539" s="385"/>
      <c r="AO539" s="385"/>
      <c r="AP539" s="385"/>
      <c r="AQ539" s="385"/>
      <c r="AR539" s="385"/>
      <c r="AS539" s="385"/>
      <c r="AT539" s="385"/>
      <c r="AU539" s="385"/>
      <c r="AV539" s="385"/>
      <c r="AW539" s="385"/>
      <c r="AX539" s="385"/>
    </row>
    <row r="540" spans="1:50" ht="10.8" hidden="1" thickTop="1" x14ac:dyDescent="0.2">
      <c r="A540" s="385"/>
      <c r="B540" s="385"/>
      <c r="C540" s="385"/>
      <c r="D540" s="385"/>
      <c r="E540" s="385"/>
      <c r="F540" s="385"/>
      <c r="G540" s="385"/>
      <c r="H540" s="385"/>
      <c r="I540" s="442"/>
      <c r="J540" s="442"/>
      <c r="K540" s="442"/>
      <c r="L540" s="442"/>
      <c r="M540" s="442"/>
      <c r="N540" s="442"/>
      <c r="O540" s="443"/>
      <c r="P540" s="385"/>
      <c r="Q540" s="385"/>
      <c r="R540" s="385"/>
      <c r="S540" s="385"/>
      <c r="T540" s="385"/>
      <c r="U540" s="385"/>
      <c r="V540" s="385"/>
      <c r="W540" s="385"/>
      <c r="X540" s="385"/>
      <c r="Y540" s="385"/>
      <c r="Z540" s="385"/>
      <c r="AA540" s="385"/>
      <c r="AB540" s="385"/>
      <c r="AC540" s="385"/>
      <c r="AD540" s="385"/>
      <c r="AE540" s="385"/>
      <c r="AF540" s="385"/>
      <c r="AG540" s="385"/>
      <c r="AH540" s="385"/>
      <c r="AI540" s="385"/>
      <c r="AJ540" s="385"/>
      <c r="AK540" s="385"/>
      <c r="AL540" s="385"/>
      <c r="AM540" s="385"/>
      <c r="AN540" s="385"/>
      <c r="AO540" s="385"/>
      <c r="AP540" s="385"/>
      <c r="AQ540" s="385"/>
      <c r="AR540" s="385"/>
      <c r="AS540" s="385"/>
      <c r="AT540" s="385"/>
      <c r="AU540" s="385"/>
      <c r="AV540" s="385"/>
      <c r="AW540" s="385"/>
      <c r="AX540" s="385"/>
    </row>
    <row r="541" spans="1:50" ht="10.8" hidden="1" thickTop="1" x14ac:dyDescent="0.2">
      <c r="A541" s="385"/>
      <c r="B541" s="385"/>
      <c r="C541" s="385"/>
      <c r="D541" s="385"/>
      <c r="E541" s="385"/>
      <c r="F541" s="385"/>
      <c r="G541" s="385"/>
      <c r="H541" s="385"/>
      <c r="I541" s="442"/>
      <c r="J541" s="442"/>
      <c r="K541" s="442"/>
      <c r="L541" s="442"/>
      <c r="M541" s="442"/>
      <c r="N541" s="442"/>
      <c r="O541" s="443"/>
      <c r="P541" s="385"/>
      <c r="Q541" s="385"/>
      <c r="R541" s="385"/>
      <c r="S541" s="385"/>
      <c r="T541" s="385"/>
      <c r="U541" s="385"/>
      <c r="V541" s="385"/>
      <c r="W541" s="385"/>
      <c r="X541" s="385"/>
      <c r="Y541" s="385"/>
      <c r="Z541" s="385"/>
      <c r="AA541" s="385"/>
      <c r="AB541" s="385"/>
      <c r="AC541" s="385"/>
      <c r="AD541" s="385"/>
      <c r="AE541" s="385"/>
      <c r="AF541" s="385"/>
      <c r="AG541" s="385"/>
      <c r="AH541" s="385"/>
      <c r="AI541" s="385"/>
      <c r="AJ541" s="385"/>
      <c r="AK541" s="385"/>
      <c r="AL541" s="385"/>
      <c r="AM541" s="385"/>
      <c r="AN541" s="385"/>
      <c r="AO541" s="385"/>
      <c r="AP541" s="385"/>
      <c r="AQ541" s="385"/>
      <c r="AR541" s="385"/>
      <c r="AS541" s="385"/>
      <c r="AT541" s="385"/>
      <c r="AU541" s="385"/>
      <c r="AV541" s="385"/>
      <c r="AW541" s="385"/>
      <c r="AX541" s="385"/>
    </row>
    <row r="542" spans="1:50" ht="10.8" hidden="1" thickTop="1" x14ac:dyDescent="0.2">
      <c r="A542" s="385"/>
      <c r="B542" s="385"/>
      <c r="C542" s="385"/>
      <c r="D542" s="385"/>
      <c r="E542" s="385"/>
      <c r="F542" s="385"/>
      <c r="G542" s="385"/>
      <c r="H542" s="385"/>
      <c r="I542" s="442"/>
      <c r="J542" s="442"/>
      <c r="K542" s="442"/>
      <c r="L542" s="442"/>
      <c r="M542" s="442"/>
      <c r="N542" s="442"/>
      <c r="O542" s="443"/>
      <c r="P542" s="385"/>
      <c r="Q542" s="385"/>
      <c r="R542" s="385"/>
      <c r="S542" s="385"/>
      <c r="T542" s="385"/>
      <c r="U542" s="385"/>
      <c r="V542" s="385"/>
      <c r="W542" s="385"/>
      <c r="X542" s="385"/>
      <c r="Y542" s="385"/>
      <c r="Z542" s="385"/>
      <c r="AA542" s="385"/>
      <c r="AB542" s="385"/>
      <c r="AC542" s="385"/>
      <c r="AD542" s="385"/>
      <c r="AE542" s="385"/>
      <c r="AF542" s="385"/>
      <c r="AG542" s="385"/>
      <c r="AH542" s="385"/>
      <c r="AI542" s="385"/>
      <c r="AJ542" s="385"/>
      <c r="AK542" s="385"/>
      <c r="AL542" s="385"/>
      <c r="AM542" s="385"/>
      <c r="AN542" s="385"/>
      <c r="AO542" s="385"/>
      <c r="AP542" s="385"/>
      <c r="AQ542" s="385"/>
      <c r="AR542" s="385"/>
      <c r="AS542" s="385"/>
      <c r="AT542" s="385"/>
      <c r="AU542" s="385"/>
      <c r="AV542" s="385"/>
      <c r="AW542" s="385"/>
      <c r="AX542" s="385"/>
    </row>
    <row r="543" spans="1:50" ht="10.8" hidden="1" thickTop="1" x14ac:dyDescent="0.2">
      <c r="A543" s="385"/>
      <c r="B543" s="385"/>
      <c r="C543" s="385"/>
      <c r="D543" s="385"/>
      <c r="E543" s="385"/>
      <c r="F543" s="385"/>
      <c r="G543" s="385"/>
      <c r="H543" s="385"/>
      <c r="I543" s="442"/>
      <c r="J543" s="442"/>
      <c r="K543" s="442"/>
      <c r="L543" s="442"/>
      <c r="M543" s="442"/>
      <c r="N543" s="442"/>
      <c r="O543" s="443"/>
      <c r="P543" s="385"/>
      <c r="Q543" s="385"/>
      <c r="R543" s="385"/>
      <c r="S543" s="385"/>
      <c r="T543" s="385"/>
      <c r="U543" s="385"/>
      <c r="V543" s="385"/>
      <c r="W543" s="385"/>
      <c r="X543" s="385"/>
      <c r="Y543" s="385"/>
      <c r="Z543" s="385"/>
      <c r="AA543" s="385"/>
      <c r="AB543" s="385"/>
      <c r="AC543" s="385"/>
      <c r="AD543" s="385"/>
      <c r="AE543" s="385"/>
      <c r="AF543" s="385"/>
      <c r="AG543" s="385"/>
      <c r="AH543" s="385"/>
      <c r="AI543" s="385"/>
      <c r="AJ543" s="385"/>
      <c r="AK543" s="385"/>
      <c r="AL543" s="385"/>
      <c r="AM543" s="385"/>
      <c r="AN543" s="385"/>
      <c r="AO543" s="385"/>
      <c r="AP543" s="385"/>
      <c r="AQ543" s="385"/>
      <c r="AR543" s="385"/>
      <c r="AS543" s="385"/>
      <c r="AT543" s="385"/>
      <c r="AU543" s="385"/>
      <c r="AV543" s="385"/>
      <c r="AW543" s="385"/>
      <c r="AX543" s="385"/>
    </row>
    <row r="544" spans="1:50" ht="10.8" hidden="1" thickTop="1" x14ac:dyDescent="0.2">
      <c r="A544" s="385"/>
      <c r="B544" s="385"/>
      <c r="C544" s="385"/>
      <c r="D544" s="385"/>
      <c r="E544" s="385"/>
      <c r="F544" s="385"/>
      <c r="G544" s="385"/>
      <c r="H544" s="385"/>
      <c r="I544" s="442"/>
      <c r="J544" s="442"/>
      <c r="K544" s="442"/>
      <c r="L544" s="442"/>
      <c r="M544" s="442"/>
      <c r="N544" s="442"/>
      <c r="O544" s="443"/>
      <c r="P544" s="385"/>
      <c r="Q544" s="385"/>
      <c r="R544" s="385"/>
      <c r="S544" s="385"/>
      <c r="T544" s="385"/>
      <c r="U544" s="385"/>
      <c r="V544" s="385"/>
      <c r="W544" s="385"/>
      <c r="X544" s="385"/>
      <c r="Y544" s="385"/>
      <c r="Z544" s="385"/>
      <c r="AA544" s="385"/>
      <c r="AB544" s="385"/>
      <c r="AC544" s="385"/>
      <c r="AD544" s="385"/>
      <c r="AE544" s="385"/>
      <c r="AF544" s="385"/>
      <c r="AG544" s="385"/>
      <c r="AH544" s="385"/>
      <c r="AI544" s="385"/>
      <c r="AJ544" s="385"/>
      <c r="AK544" s="385"/>
      <c r="AL544" s="385"/>
      <c r="AM544" s="385"/>
      <c r="AN544" s="385"/>
      <c r="AO544" s="385"/>
      <c r="AP544" s="385"/>
      <c r="AQ544" s="385"/>
      <c r="AR544" s="385"/>
      <c r="AS544" s="385"/>
      <c r="AT544" s="385"/>
      <c r="AU544" s="385"/>
      <c r="AV544" s="385"/>
      <c r="AW544" s="385"/>
      <c r="AX544" s="385"/>
    </row>
    <row r="545" spans="1:50" ht="10.8" hidden="1" thickTop="1" x14ac:dyDescent="0.2">
      <c r="A545" s="385"/>
      <c r="B545" s="385"/>
      <c r="C545" s="385"/>
      <c r="D545" s="385"/>
      <c r="E545" s="385"/>
      <c r="F545" s="385"/>
      <c r="G545" s="385"/>
      <c r="H545" s="385"/>
      <c r="I545" s="442"/>
      <c r="J545" s="442"/>
      <c r="K545" s="442"/>
      <c r="L545" s="442"/>
      <c r="M545" s="442"/>
      <c r="N545" s="442"/>
      <c r="O545" s="443"/>
      <c r="P545" s="385"/>
      <c r="Q545" s="385"/>
      <c r="R545" s="385"/>
      <c r="S545" s="385"/>
      <c r="T545" s="385"/>
      <c r="U545" s="385"/>
      <c r="V545" s="385"/>
      <c r="W545" s="385"/>
      <c r="X545" s="385"/>
      <c r="Y545" s="385"/>
      <c r="Z545" s="385"/>
      <c r="AA545" s="385"/>
      <c r="AB545" s="385"/>
      <c r="AC545" s="385"/>
      <c r="AD545" s="385"/>
      <c r="AE545" s="385"/>
      <c r="AF545" s="385"/>
      <c r="AG545" s="385"/>
      <c r="AH545" s="385"/>
      <c r="AI545" s="385"/>
      <c r="AJ545" s="385"/>
      <c r="AK545" s="385"/>
      <c r="AL545" s="385"/>
      <c r="AM545" s="385"/>
      <c r="AN545" s="385"/>
      <c r="AO545" s="385"/>
      <c r="AP545" s="385"/>
      <c r="AQ545" s="385"/>
      <c r="AR545" s="385"/>
      <c r="AS545" s="385"/>
      <c r="AT545" s="385"/>
      <c r="AU545" s="385"/>
      <c r="AV545" s="385"/>
      <c r="AW545" s="385"/>
      <c r="AX545" s="385"/>
    </row>
    <row r="546" spans="1:50" ht="10.8" hidden="1" thickTop="1" x14ac:dyDescent="0.2">
      <c r="A546" s="385"/>
      <c r="B546" s="385"/>
      <c r="C546" s="385"/>
      <c r="D546" s="385"/>
      <c r="E546" s="385"/>
      <c r="F546" s="385"/>
      <c r="G546" s="385"/>
      <c r="H546" s="385"/>
      <c r="I546" s="442"/>
      <c r="J546" s="442"/>
      <c r="K546" s="442"/>
      <c r="L546" s="442"/>
      <c r="M546" s="442"/>
      <c r="N546" s="442"/>
      <c r="O546" s="443"/>
      <c r="P546" s="385"/>
      <c r="Q546" s="385"/>
      <c r="R546" s="385"/>
      <c r="S546" s="385"/>
      <c r="T546" s="385"/>
      <c r="U546" s="385"/>
      <c r="V546" s="385"/>
      <c r="W546" s="385"/>
      <c r="X546" s="385"/>
      <c r="Y546" s="385"/>
      <c r="Z546" s="385"/>
      <c r="AA546" s="385"/>
      <c r="AB546" s="385"/>
      <c r="AC546" s="385"/>
      <c r="AD546" s="385"/>
      <c r="AE546" s="385"/>
      <c r="AF546" s="385"/>
      <c r="AG546" s="385"/>
      <c r="AH546" s="385"/>
      <c r="AI546" s="385"/>
      <c r="AJ546" s="385"/>
      <c r="AK546" s="385"/>
      <c r="AL546" s="385"/>
      <c r="AM546" s="385"/>
      <c r="AN546" s="385"/>
      <c r="AO546" s="385"/>
      <c r="AP546" s="385"/>
      <c r="AQ546" s="385"/>
      <c r="AR546" s="385"/>
      <c r="AS546" s="385"/>
      <c r="AT546" s="385"/>
      <c r="AU546" s="385"/>
      <c r="AV546" s="385"/>
      <c r="AW546" s="385"/>
      <c r="AX546" s="385"/>
    </row>
    <row r="547" spans="1:50" ht="10.8" hidden="1" thickTop="1" x14ac:dyDescent="0.2">
      <c r="A547" s="385"/>
      <c r="B547" s="385"/>
      <c r="C547" s="385"/>
      <c r="D547" s="385"/>
      <c r="E547" s="385"/>
      <c r="F547" s="385"/>
      <c r="G547" s="385"/>
      <c r="H547" s="385"/>
      <c r="I547" s="442"/>
      <c r="J547" s="442"/>
      <c r="K547" s="442"/>
      <c r="L547" s="442"/>
      <c r="M547" s="442"/>
      <c r="N547" s="442"/>
      <c r="O547" s="443"/>
      <c r="P547" s="385"/>
      <c r="Q547" s="385"/>
      <c r="R547" s="385"/>
      <c r="S547" s="385"/>
      <c r="T547" s="385"/>
      <c r="U547" s="385"/>
      <c r="V547" s="385"/>
      <c r="W547" s="385"/>
      <c r="X547" s="385"/>
      <c r="Y547" s="385"/>
      <c r="Z547" s="385"/>
      <c r="AA547" s="385"/>
      <c r="AB547" s="385"/>
      <c r="AC547" s="385"/>
      <c r="AD547" s="385"/>
      <c r="AE547" s="385"/>
      <c r="AF547" s="385"/>
      <c r="AG547" s="385"/>
      <c r="AH547" s="385"/>
      <c r="AI547" s="385"/>
      <c r="AJ547" s="385"/>
      <c r="AK547" s="385"/>
      <c r="AL547" s="385"/>
      <c r="AM547" s="385"/>
      <c r="AN547" s="385"/>
      <c r="AO547" s="385"/>
      <c r="AP547" s="385"/>
      <c r="AQ547" s="385"/>
      <c r="AR547" s="385"/>
      <c r="AS547" s="385"/>
      <c r="AT547" s="385"/>
      <c r="AU547" s="385"/>
      <c r="AV547" s="385"/>
      <c r="AW547" s="385"/>
      <c r="AX547" s="385"/>
    </row>
    <row r="548" spans="1:50" ht="10.8" hidden="1" thickTop="1" x14ac:dyDescent="0.2">
      <c r="A548" s="385"/>
      <c r="B548" s="385"/>
      <c r="C548" s="385"/>
      <c r="D548" s="385"/>
      <c r="E548" s="385"/>
      <c r="F548" s="385"/>
      <c r="G548" s="385"/>
      <c r="H548" s="385"/>
      <c r="I548" s="442"/>
      <c r="J548" s="442"/>
      <c r="K548" s="442"/>
      <c r="L548" s="442"/>
      <c r="M548" s="442"/>
      <c r="N548" s="442"/>
      <c r="O548" s="443"/>
      <c r="P548" s="385"/>
      <c r="Q548" s="385"/>
      <c r="R548" s="385"/>
      <c r="S548" s="385"/>
      <c r="T548" s="385"/>
      <c r="U548" s="385"/>
      <c r="V548" s="385"/>
      <c r="W548" s="385"/>
      <c r="X548" s="385"/>
      <c r="Y548" s="385"/>
      <c r="Z548" s="385"/>
      <c r="AA548" s="385"/>
      <c r="AB548" s="385"/>
      <c r="AC548" s="385"/>
      <c r="AD548" s="385"/>
      <c r="AE548" s="385"/>
      <c r="AF548" s="385"/>
      <c r="AG548" s="385"/>
      <c r="AH548" s="385"/>
      <c r="AI548" s="385"/>
      <c r="AJ548" s="385"/>
      <c r="AK548" s="385"/>
      <c r="AL548" s="385"/>
      <c r="AM548" s="385"/>
      <c r="AN548" s="385"/>
      <c r="AO548" s="385"/>
      <c r="AP548" s="385"/>
      <c r="AQ548" s="385"/>
      <c r="AR548" s="385"/>
      <c r="AS548" s="385"/>
      <c r="AT548" s="385"/>
      <c r="AU548" s="385"/>
      <c r="AV548" s="385"/>
      <c r="AW548" s="385"/>
      <c r="AX548" s="385"/>
    </row>
    <row r="549" spans="1:50" ht="10.8" hidden="1" thickTop="1" x14ac:dyDescent="0.2">
      <c r="A549" s="385"/>
      <c r="B549" s="385"/>
      <c r="C549" s="385"/>
      <c r="D549" s="385"/>
      <c r="E549" s="385"/>
      <c r="F549" s="385"/>
      <c r="G549" s="385"/>
      <c r="H549" s="385"/>
      <c r="I549" s="442"/>
      <c r="J549" s="442"/>
      <c r="K549" s="442"/>
      <c r="L549" s="442"/>
      <c r="M549" s="442"/>
      <c r="N549" s="442"/>
      <c r="O549" s="443"/>
      <c r="P549" s="385"/>
      <c r="Q549" s="385"/>
      <c r="R549" s="385"/>
      <c r="S549" s="385"/>
      <c r="T549" s="385"/>
      <c r="U549" s="385"/>
      <c r="V549" s="385"/>
      <c r="W549" s="385"/>
      <c r="X549" s="385"/>
      <c r="Y549" s="385"/>
      <c r="Z549" s="385"/>
      <c r="AA549" s="385"/>
      <c r="AB549" s="385"/>
      <c r="AC549" s="385"/>
      <c r="AD549" s="385"/>
      <c r="AE549" s="385"/>
      <c r="AF549" s="385"/>
      <c r="AG549" s="385"/>
      <c r="AH549" s="385"/>
      <c r="AI549" s="385"/>
      <c r="AJ549" s="385"/>
      <c r="AK549" s="385"/>
      <c r="AL549" s="385"/>
      <c r="AM549" s="385"/>
      <c r="AN549" s="385"/>
      <c r="AO549" s="385"/>
      <c r="AP549" s="385"/>
      <c r="AQ549" s="385"/>
      <c r="AR549" s="385"/>
      <c r="AS549" s="385"/>
      <c r="AT549" s="385"/>
      <c r="AU549" s="385"/>
      <c r="AV549" s="385"/>
      <c r="AW549" s="385"/>
      <c r="AX549" s="385"/>
    </row>
    <row r="550" spans="1:50" ht="10.8" hidden="1" thickTop="1" x14ac:dyDescent="0.2">
      <c r="A550" s="385"/>
      <c r="B550" s="385"/>
      <c r="C550" s="385"/>
      <c r="D550" s="385"/>
      <c r="E550" s="385"/>
      <c r="F550" s="385"/>
      <c r="G550" s="385"/>
      <c r="H550" s="385"/>
      <c r="I550" s="442"/>
      <c r="J550" s="442"/>
      <c r="K550" s="442"/>
      <c r="L550" s="442"/>
      <c r="M550" s="442"/>
      <c r="N550" s="442"/>
      <c r="O550" s="443"/>
      <c r="P550" s="385"/>
      <c r="Q550" s="385"/>
      <c r="R550" s="385"/>
      <c r="S550" s="385"/>
      <c r="T550" s="385"/>
      <c r="U550" s="385"/>
      <c r="V550" s="385"/>
      <c r="W550" s="385"/>
      <c r="X550" s="385"/>
      <c r="Y550" s="385"/>
      <c r="Z550" s="385"/>
      <c r="AA550" s="385"/>
      <c r="AB550" s="385"/>
      <c r="AC550" s="385"/>
      <c r="AD550" s="385"/>
      <c r="AE550" s="385"/>
      <c r="AF550" s="385"/>
      <c r="AG550" s="385"/>
      <c r="AH550" s="385"/>
      <c r="AI550" s="385"/>
      <c r="AJ550" s="385"/>
      <c r="AK550" s="385"/>
      <c r="AL550" s="385"/>
      <c r="AM550" s="385"/>
      <c r="AN550" s="385"/>
      <c r="AO550" s="385"/>
      <c r="AP550" s="385"/>
      <c r="AQ550" s="385"/>
      <c r="AR550" s="385"/>
      <c r="AS550" s="385"/>
      <c r="AT550" s="385"/>
      <c r="AU550" s="385"/>
      <c r="AV550" s="385"/>
      <c r="AW550" s="385"/>
      <c r="AX550" s="385"/>
    </row>
    <row r="551" spans="1:50" ht="10.8" hidden="1" thickTop="1" x14ac:dyDescent="0.2">
      <c r="A551" s="385"/>
      <c r="B551" s="385"/>
      <c r="C551" s="385"/>
      <c r="D551" s="385"/>
      <c r="E551" s="385"/>
      <c r="F551" s="385"/>
      <c r="G551" s="385"/>
      <c r="H551" s="385"/>
      <c r="I551" s="442"/>
      <c r="J551" s="442"/>
      <c r="K551" s="442"/>
      <c r="L551" s="442"/>
      <c r="M551" s="442"/>
      <c r="N551" s="442"/>
      <c r="O551" s="443"/>
      <c r="P551" s="385"/>
      <c r="Q551" s="385"/>
      <c r="R551" s="385"/>
      <c r="S551" s="385"/>
      <c r="T551" s="385"/>
      <c r="U551" s="385"/>
      <c r="V551" s="385"/>
      <c r="W551" s="385"/>
      <c r="X551" s="385"/>
      <c r="Y551" s="385"/>
      <c r="Z551" s="385"/>
      <c r="AA551" s="385"/>
      <c r="AB551" s="385"/>
      <c r="AC551" s="385"/>
      <c r="AD551" s="385"/>
      <c r="AE551" s="385"/>
      <c r="AF551" s="385"/>
      <c r="AG551" s="385"/>
      <c r="AH551" s="385"/>
      <c r="AI551" s="385"/>
      <c r="AJ551" s="385"/>
      <c r="AK551" s="385"/>
      <c r="AL551" s="385"/>
      <c r="AM551" s="385"/>
      <c r="AN551" s="385"/>
      <c r="AO551" s="385"/>
      <c r="AP551" s="385"/>
      <c r="AQ551" s="385"/>
      <c r="AR551" s="385"/>
      <c r="AS551" s="385"/>
      <c r="AT551" s="385"/>
      <c r="AU551" s="385"/>
      <c r="AV551" s="385"/>
      <c r="AW551" s="385"/>
      <c r="AX551" s="385"/>
    </row>
    <row r="552" spans="1:50" ht="10.8" hidden="1" thickTop="1" x14ac:dyDescent="0.2">
      <c r="A552" s="385"/>
      <c r="B552" s="385"/>
      <c r="C552" s="385"/>
      <c r="D552" s="385"/>
      <c r="E552" s="385"/>
      <c r="F552" s="385"/>
      <c r="G552" s="385"/>
      <c r="H552" s="385"/>
      <c r="I552" s="442"/>
      <c r="J552" s="442"/>
      <c r="K552" s="442"/>
      <c r="L552" s="442"/>
      <c r="M552" s="442"/>
      <c r="N552" s="442"/>
      <c r="O552" s="443"/>
      <c r="P552" s="385"/>
      <c r="Q552" s="385"/>
      <c r="R552" s="385"/>
      <c r="S552" s="385"/>
      <c r="T552" s="385"/>
      <c r="U552" s="385"/>
      <c r="V552" s="385"/>
      <c r="W552" s="385"/>
      <c r="X552" s="385"/>
      <c r="Y552" s="385"/>
      <c r="Z552" s="385"/>
      <c r="AA552" s="385"/>
      <c r="AB552" s="385"/>
      <c r="AC552" s="385"/>
      <c r="AD552" s="385"/>
      <c r="AE552" s="385"/>
      <c r="AF552" s="385"/>
      <c r="AG552" s="385"/>
      <c r="AH552" s="385"/>
      <c r="AI552" s="385"/>
      <c r="AJ552" s="385"/>
      <c r="AK552" s="385"/>
      <c r="AL552" s="385"/>
      <c r="AM552" s="385"/>
      <c r="AN552" s="385"/>
      <c r="AO552" s="385"/>
      <c r="AP552" s="385"/>
      <c r="AQ552" s="385"/>
      <c r="AR552" s="385"/>
      <c r="AS552" s="385"/>
      <c r="AT552" s="385"/>
      <c r="AU552" s="385"/>
      <c r="AV552" s="385"/>
      <c r="AW552" s="385"/>
      <c r="AX552" s="385"/>
    </row>
    <row r="553" spans="1:50" ht="10.8" hidden="1" thickTop="1" x14ac:dyDescent="0.2">
      <c r="A553" s="385"/>
      <c r="B553" s="385"/>
      <c r="C553" s="385"/>
      <c r="D553" s="385"/>
      <c r="E553" s="385"/>
      <c r="F553" s="385"/>
      <c r="G553" s="385"/>
      <c r="H553" s="385"/>
      <c r="I553" s="442"/>
      <c r="J553" s="442"/>
      <c r="K553" s="442"/>
      <c r="L553" s="442"/>
      <c r="M553" s="442"/>
      <c r="N553" s="442"/>
      <c r="O553" s="443"/>
      <c r="P553" s="385"/>
      <c r="Q553" s="385"/>
      <c r="R553" s="385"/>
      <c r="S553" s="385"/>
      <c r="T553" s="385"/>
      <c r="U553" s="385"/>
      <c r="V553" s="385"/>
      <c r="W553" s="385"/>
      <c r="X553" s="385"/>
      <c r="Y553" s="385"/>
      <c r="Z553" s="385"/>
      <c r="AA553" s="385"/>
      <c r="AB553" s="385"/>
      <c r="AC553" s="385"/>
      <c r="AD553" s="385"/>
      <c r="AE553" s="385"/>
      <c r="AF553" s="385"/>
      <c r="AG553" s="385"/>
      <c r="AH553" s="385"/>
      <c r="AI553" s="385"/>
      <c r="AJ553" s="385"/>
      <c r="AK553" s="385"/>
      <c r="AL553" s="385"/>
      <c r="AM553" s="385"/>
      <c r="AN553" s="385"/>
      <c r="AO553" s="385"/>
      <c r="AP553" s="385"/>
      <c r="AQ553" s="385"/>
      <c r="AR553" s="385"/>
      <c r="AS553" s="385"/>
      <c r="AT553" s="385"/>
      <c r="AU553" s="385"/>
      <c r="AV553" s="385"/>
      <c r="AW553" s="385"/>
      <c r="AX553" s="385"/>
    </row>
    <row r="554" spans="1:50" ht="10.8" hidden="1" thickTop="1" x14ac:dyDescent="0.2">
      <c r="A554" s="385"/>
      <c r="B554" s="385"/>
      <c r="C554" s="385"/>
      <c r="D554" s="385"/>
      <c r="E554" s="385"/>
      <c r="F554" s="385"/>
      <c r="G554" s="385"/>
      <c r="H554" s="385"/>
      <c r="I554" s="442"/>
      <c r="J554" s="442"/>
      <c r="K554" s="442"/>
      <c r="L554" s="442"/>
      <c r="M554" s="442"/>
      <c r="N554" s="442"/>
      <c r="O554" s="443"/>
      <c r="P554" s="385"/>
      <c r="Q554" s="385"/>
      <c r="R554" s="385"/>
      <c r="S554" s="385"/>
      <c r="T554" s="385"/>
      <c r="U554" s="385"/>
      <c r="V554" s="385"/>
      <c r="W554" s="385"/>
      <c r="X554" s="385"/>
      <c r="Y554" s="385"/>
      <c r="Z554" s="385"/>
      <c r="AA554" s="385"/>
      <c r="AB554" s="385"/>
      <c r="AC554" s="385"/>
      <c r="AD554" s="385"/>
      <c r="AE554" s="385"/>
      <c r="AF554" s="385"/>
      <c r="AG554" s="385"/>
      <c r="AH554" s="385"/>
      <c r="AI554" s="385"/>
      <c r="AJ554" s="385"/>
      <c r="AK554" s="385"/>
      <c r="AL554" s="385"/>
      <c r="AM554" s="385"/>
      <c r="AN554" s="385"/>
      <c r="AO554" s="385"/>
      <c r="AP554" s="385"/>
      <c r="AQ554" s="385"/>
      <c r="AR554" s="385"/>
      <c r="AS554" s="385"/>
      <c r="AT554" s="385"/>
      <c r="AU554" s="385"/>
      <c r="AV554" s="385"/>
      <c r="AW554" s="385"/>
      <c r="AX554" s="385"/>
    </row>
    <row r="555" spans="1:50" ht="10.8" hidden="1" thickTop="1" x14ac:dyDescent="0.2">
      <c r="A555" s="385"/>
      <c r="B555" s="385"/>
      <c r="C555" s="385"/>
      <c r="D555" s="385"/>
      <c r="E555" s="385"/>
      <c r="F555" s="385"/>
      <c r="G555" s="385"/>
      <c r="H555" s="385"/>
      <c r="I555" s="442"/>
      <c r="J555" s="442"/>
      <c r="K555" s="442"/>
      <c r="L555" s="442"/>
      <c r="M555" s="442"/>
      <c r="N555" s="442"/>
      <c r="O555" s="443"/>
      <c r="P555" s="385"/>
      <c r="Q555" s="385"/>
      <c r="R555" s="385"/>
      <c r="S555" s="385"/>
      <c r="T555" s="385"/>
      <c r="U555" s="385"/>
      <c r="V555" s="385"/>
      <c r="W555" s="385"/>
      <c r="X555" s="385"/>
      <c r="Y555" s="385"/>
      <c r="Z555" s="385"/>
      <c r="AA555" s="385"/>
      <c r="AB555" s="385"/>
      <c r="AC555" s="385"/>
      <c r="AD555" s="385"/>
      <c r="AE555" s="385"/>
      <c r="AF555" s="385"/>
      <c r="AG555" s="385"/>
      <c r="AH555" s="385"/>
      <c r="AI555" s="385"/>
      <c r="AJ555" s="385"/>
      <c r="AK555" s="385"/>
      <c r="AL555" s="385"/>
      <c r="AM555" s="385"/>
      <c r="AN555" s="385"/>
      <c r="AO555" s="385"/>
      <c r="AP555" s="385"/>
      <c r="AQ555" s="385"/>
      <c r="AR555" s="385"/>
      <c r="AS555" s="385"/>
      <c r="AT555" s="385"/>
      <c r="AU555" s="385"/>
      <c r="AV555" s="385"/>
      <c r="AW555" s="385"/>
      <c r="AX555" s="385"/>
    </row>
    <row r="556" spans="1:50" ht="10.8" hidden="1" thickTop="1" x14ac:dyDescent="0.2">
      <c r="A556" s="385"/>
      <c r="B556" s="385"/>
      <c r="C556" s="385"/>
      <c r="D556" s="385"/>
      <c r="E556" s="385"/>
      <c r="F556" s="385"/>
      <c r="G556" s="385"/>
      <c r="H556" s="385"/>
      <c r="I556" s="442"/>
      <c r="J556" s="442"/>
      <c r="K556" s="442"/>
      <c r="L556" s="442"/>
      <c r="M556" s="442"/>
      <c r="N556" s="442"/>
      <c r="O556" s="443"/>
      <c r="P556" s="385"/>
      <c r="Q556" s="385"/>
      <c r="R556" s="385"/>
      <c r="S556" s="385"/>
      <c r="T556" s="385"/>
      <c r="U556" s="385"/>
      <c r="V556" s="385"/>
      <c r="W556" s="385"/>
      <c r="X556" s="385"/>
      <c r="Y556" s="385"/>
      <c r="Z556" s="385"/>
      <c r="AA556" s="385"/>
      <c r="AB556" s="385"/>
      <c r="AC556" s="385"/>
      <c r="AD556" s="385"/>
      <c r="AE556" s="385"/>
      <c r="AF556" s="385"/>
      <c r="AG556" s="385"/>
      <c r="AH556" s="385"/>
      <c r="AI556" s="385"/>
      <c r="AJ556" s="385"/>
      <c r="AK556" s="385"/>
      <c r="AL556" s="385"/>
      <c r="AM556" s="385"/>
      <c r="AN556" s="385"/>
      <c r="AO556" s="385"/>
      <c r="AP556" s="385"/>
      <c r="AQ556" s="385"/>
      <c r="AR556" s="385"/>
      <c r="AS556" s="385"/>
      <c r="AT556" s="385"/>
      <c r="AU556" s="385"/>
      <c r="AV556" s="385"/>
      <c r="AW556" s="385"/>
      <c r="AX556" s="385"/>
    </row>
    <row r="557" spans="1:50" ht="10.8" hidden="1" thickTop="1" x14ac:dyDescent="0.2">
      <c r="A557" s="385"/>
      <c r="B557" s="385"/>
      <c r="C557" s="385"/>
      <c r="D557" s="385"/>
      <c r="E557" s="385"/>
      <c r="F557" s="385"/>
      <c r="G557" s="385"/>
      <c r="H557" s="385"/>
      <c r="I557" s="442"/>
      <c r="J557" s="442"/>
      <c r="K557" s="442"/>
      <c r="L557" s="442"/>
      <c r="M557" s="442"/>
      <c r="N557" s="442"/>
      <c r="O557" s="443"/>
      <c r="P557" s="385"/>
      <c r="Q557" s="385"/>
      <c r="R557" s="385"/>
      <c r="S557" s="385"/>
      <c r="T557" s="385"/>
      <c r="U557" s="385"/>
      <c r="V557" s="385"/>
      <c r="W557" s="385"/>
      <c r="X557" s="385"/>
      <c r="Y557" s="385"/>
      <c r="Z557" s="385"/>
      <c r="AA557" s="385"/>
      <c r="AB557" s="385"/>
      <c r="AC557" s="385"/>
      <c r="AD557" s="385"/>
      <c r="AE557" s="385"/>
      <c r="AF557" s="385"/>
      <c r="AG557" s="385"/>
      <c r="AH557" s="385"/>
      <c r="AI557" s="385"/>
      <c r="AJ557" s="385"/>
      <c r="AK557" s="385"/>
      <c r="AL557" s="385"/>
      <c r="AM557" s="385"/>
      <c r="AN557" s="385"/>
      <c r="AO557" s="385"/>
      <c r="AP557" s="385"/>
      <c r="AQ557" s="385"/>
      <c r="AR557" s="385"/>
      <c r="AS557" s="385"/>
      <c r="AT557" s="385"/>
      <c r="AU557" s="385"/>
      <c r="AV557" s="385"/>
      <c r="AW557" s="385"/>
      <c r="AX557" s="385"/>
    </row>
    <row r="558" spans="1:50" ht="10.8" hidden="1" thickTop="1" x14ac:dyDescent="0.2">
      <c r="A558" s="385"/>
      <c r="B558" s="385"/>
      <c r="C558" s="385"/>
      <c r="D558" s="385"/>
      <c r="E558" s="385"/>
      <c r="F558" s="385"/>
      <c r="G558" s="385"/>
      <c r="H558" s="385"/>
      <c r="I558" s="442"/>
      <c r="J558" s="442"/>
      <c r="K558" s="442"/>
      <c r="L558" s="442"/>
      <c r="M558" s="442"/>
      <c r="N558" s="442"/>
      <c r="O558" s="443"/>
      <c r="P558" s="385"/>
      <c r="Q558" s="385"/>
      <c r="R558" s="385"/>
      <c r="S558" s="385"/>
      <c r="T558" s="385"/>
      <c r="U558" s="385"/>
      <c r="V558" s="385"/>
      <c r="W558" s="385"/>
      <c r="X558" s="385"/>
      <c r="Y558" s="385"/>
      <c r="Z558" s="385"/>
      <c r="AA558" s="385"/>
      <c r="AB558" s="385"/>
      <c r="AC558" s="385"/>
      <c r="AD558" s="385"/>
      <c r="AE558" s="385"/>
      <c r="AF558" s="385"/>
      <c r="AG558" s="385"/>
      <c r="AH558" s="385"/>
      <c r="AI558" s="385"/>
      <c r="AJ558" s="385"/>
      <c r="AK558" s="385"/>
      <c r="AL558" s="385"/>
      <c r="AM558" s="385"/>
      <c r="AN558" s="385"/>
      <c r="AO558" s="385"/>
      <c r="AP558" s="385"/>
      <c r="AQ558" s="385"/>
      <c r="AR558" s="385"/>
      <c r="AS558" s="385"/>
      <c r="AT558" s="385"/>
      <c r="AU558" s="385"/>
      <c r="AV558" s="385"/>
      <c r="AW558" s="385"/>
      <c r="AX558" s="385"/>
    </row>
    <row r="559" spans="1:50" ht="10.8" hidden="1" thickTop="1" x14ac:dyDescent="0.2">
      <c r="A559" s="385"/>
      <c r="B559" s="385"/>
      <c r="C559" s="385"/>
      <c r="D559" s="385"/>
      <c r="E559" s="385"/>
      <c r="F559" s="385"/>
      <c r="G559" s="385"/>
      <c r="H559" s="385"/>
      <c r="I559" s="442"/>
      <c r="J559" s="442"/>
      <c r="K559" s="442"/>
      <c r="L559" s="442"/>
      <c r="M559" s="442"/>
      <c r="N559" s="442"/>
      <c r="O559" s="443"/>
      <c r="P559" s="385"/>
      <c r="Q559" s="385"/>
      <c r="R559" s="385"/>
      <c r="S559" s="385"/>
      <c r="T559" s="385"/>
      <c r="U559" s="385"/>
      <c r="V559" s="385"/>
      <c r="W559" s="385"/>
      <c r="X559" s="385"/>
      <c r="Y559" s="385"/>
      <c r="Z559" s="385"/>
      <c r="AA559" s="385"/>
      <c r="AB559" s="385"/>
      <c r="AC559" s="385"/>
      <c r="AD559" s="385"/>
      <c r="AE559" s="385"/>
      <c r="AF559" s="385"/>
      <c r="AG559" s="385"/>
      <c r="AH559" s="385"/>
      <c r="AI559" s="385"/>
      <c r="AJ559" s="385"/>
      <c r="AK559" s="385"/>
      <c r="AL559" s="385"/>
      <c r="AM559" s="385"/>
      <c r="AN559" s="385"/>
      <c r="AO559" s="385"/>
      <c r="AP559" s="385"/>
      <c r="AQ559" s="385"/>
      <c r="AR559" s="385"/>
      <c r="AS559" s="385"/>
      <c r="AT559" s="385"/>
      <c r="AU559" s="385"/>
      <c r="AV559" s="385"/>
      <c r="AW559" s="385"/>
      <c r="AX559" s="385"/>
    </row>
    <row r="560" spans="1:50" ht="10.8" hidden="1" thickTop="1" x14ac:dyDescent="0.2">
      <c r="A560" s="385"/>
      <c r="B560" s="385"/>
      <c r="C560" s="385"/>
      <c r="D560" s="385"/>
      <c r="E560" s="385"/>
      <c r="F560" s="385"/>
      <c r="G560" s="385"/>
      <c r="H560" s="385"/>
      <c r="I560" s="442"/>
      <c r="J560" s="442"/>
      <c r="K560" s="442"/>
      <c r="L560" s="442"/>
      <c r="M560" s="442"/>
      <c r="N560" s="442"/>
      <c r="O560" s="443"/>
      <c r="P560" s="385"/>
      <c r="Q560" s="385"/>
      <c r="R560" s="385"/>
      <c r="S560" s="385"/>
      <c r="T560" s="385"/>
      <c r="U560" s="385"/>
      <c r="V560" s="385"/>
      <c r="W560" s="385"/>
      <c r="X560" s="385"/>
      <c r="Y560" s="385"/>
      <c r="Z560" s="385"/>
      <c r="AA560" s="385"/>
      <c r="AB560" s="385"/>
      <c r="AC560" s="385"/>
      <c r="AD560" s="385"/>
      <c r="AE560" s="385"/>
      <c r="AF560" s="385"/>
      <c r="AG560" s="385"/>
      <c r="AH560" s="385"/>
      <c r="AI560" s="385"/>
      <c r="AJ560" s="385"/>
      <c r="AK560" s="385"/>
      <c r="AL560" s="385"/>
      <c r="AM560" s="385"/>
      <c r="AN560" s="385"/>
      <c r="AO560" s="385"/>
      <c r="AP560" s="385"/>
      <c r="AQ560" s="385"/>
      <c r="AR560" s="385"/>
      <c r="AS560" s="385"/>
      <c r="AT560" s="385"/>
      <c r="AU560" s="385"/>
      <c r="AV560" s="385"/>
      <c r="AW560" s="385"/>
      <c r="AX560" s="385"/>
    </row>
    <row r="561" spans="1:50" ht="10.8" hidden="1" thickTop="1" x14ac:dyDescent="0.2">
      <c r="A561" s="385"/>
      <c r="B561" s="385"/>
      <c r="C561" s="385"/>
      <c r="D561" s="385"/>
      <c r="E561" s="385"/>
      <c r="F561" s="385"/>
      <c r="G561" s="385"/>
      <c r="H561" s="385"/>
      <c r="I561" s="442"/>
      <c r="J561" s="442"/>
      <c r="K561" s="442"/>
      <c r="L561" s="442"/>
      <c r="M561" s="442"/>
      <c r="N561" s="442"/>
      <c r="O561" s="443"/>
      <c r="P561" s="385"/>
      <c r="Q561" s="385"/>
      <c r="R561" s="385"/>
      <c r="S561" s="385"/>
      <c r="T561" s="385"/>
      <c r="U561" s="385"/>
      <c r="V561" s="385"/>
      <c r="W561" s="385"/>
      <c r="X561" s="385"/>
      <c r="Y561" s="385"/>
      <c r="Z561" s="385"/>
      <c r="AA561" s="385"/>
      <c r="AB561" s="385"/>
      <c r="AC561" s="385"/>
      <c r="AD561" s="385"/>
      <c r="AE561" s="385"/>
      <c r="AF561" s="385"/>
      <c r="AG561" s="385"/>
      <c r="AH561" s="385"/>
      <c r="AI561" s="385"/>
      <c r="AJ561" s="385"/>
      <c r="AK561" s="385"/>
      <c r="AL561" s="385"/>
      <c r="AM561" s="385"/>
      <c r="AN561" s="385"/>
      <c r="AO561" s="385"/>
      <c r="AP561" s="385"/>
      <c r="AQ561" s="385"/>
      <c r="AR561" s="385"/>
      <c r="AS561" s="385"/>
      <c r="AT561" s="385"/>
      <c r="AU561" s="385"/>
      <c r="AV561" s="385"/>
      <c r="AW561" s="385"/>
      <c r="AX561" s="385"/>
    </row>
    <row r="562" spans="1:50" ht="10.8" hidden="1" thickTop="1" x14ac:dyDescent="0.2">
      <c r="A562" s="385"/>
      <c r="B562" s="385"/>
      <c r="C562" s="385"/>
      <c r="D562" s="385"/>
      <c r="E562" s="385"/>
      <c r="F562" s="385"/>
      <c r="G562" s="385"/>
      <c r="H562" s="385"/>
      <c r="I562" s="442"/>
      <c r="J562" s="442"/>
      <c r="K562" s="442"/>
      <c r="L562" s="442"/>
      <c r="M562" s="442"/>
      <c r="N562" s="442"/>
      <c r="O562" s="443"/>
      <c r="P562" s="385"/>
      <c r="Q562" s="385"/>
      <c r="R562" s="385"/>
      <c r="S562" s="385"/>
      <c r="T562" s="385"/>
      <c r="U562" s="385"/>
      <c r="V562" s="385"/>
      <c r="W562" s="385"/>
      <c r="X562" s="385"/>
      <c r="Y562" s="385"/>
      <c r="Z562" s="385"/>
      <c r="AA562" s="385"/>
      <c r="AB562" s="385"/>
      <c r="AC562" s="385"/>
      <c r="AD562" s="385"/>
      <c r="AE562" s="385"/>
      <c r="AF562" s="385"/>
      <c r="AG562" s="385"/>
      <c r="AH562" s="385"/>
      <c r="AI562" s="385"/>
      <c r="AJ562" s="385"/>
      <c r="AK562" s="385"/>
      <c r="AL562" s="385"/>
      <c r="AM562" s="385"/>
      <c r="AN562" s="385"/>
      <c r="AO562" s="385"/>
      <c r="AP562" s="385"/>
      <c r="AQ562" s="385"/>
      <c r="AR562" s="385"/>
      <c r="AS562" s="385"/>
      <c r="AT562" s="385"/>
      <c r="AU562" s="385"/>
      <c r="AV562" s="385"/>
      <c r="AW562" s="385"/>
      <c r="AX562" s="385"/>
    </row>
    <row r="563" spans="1:50" ht="10.8" hidden="1" thickTop="1" x14ac:dyDescent="0.2">
      <c r="A563" s="385"/>
      <c r="B563" s="385"/>
      <c r="C563" s="385"/>
      <c r="D563" s="385"/>
      <c r="E563" s="385"/>
      <c r="F563" s="385"/>
      <c r="G563" s="385"/>
      <c r="H563" s="385"/>
      <c r="I563" s="442"/>
      <c r="J563" s="442"/>
      <c r="K563" s="442"/>
      <c r="L563" s="442"/>
      <c r="M563" s="442"/>
      <c r="N563" s="442"/>
      <c r="O563" s="443"/>
      <c r="P563" s="385"/>
      <c r="Q563" s="385"/>
      <c r="R563" s="385"/>
      <c r="S563" s="385"/>
      <c r="T563" s="385"/>
      <c r="U563" s="385"/>
      <c r="V563" s="385"/>
      <c r="W563" s="385"/>
      <c r="X563" s="385"/>
      <c r="Y563" s="385"/>
      <c r="Z563" s="385"/>
      <c r="AA563" s="385"/>
      <c r="AB563" s="385"/>
      <c r="AC563" s="385"/>
      <c r="AD563" s="385"/>
      <c r="AE563" s="385"/>
      <c r="AF563" s="385"/>
      <c r="AG563" s="385"/>
      <c r="AH563" s="385"/>
      <c r="AI563" s="385"/>
      <c r="AJ563" s="385"/>
      <c r="AK563" s="385"/>
      <c r="AL563" s="385"/>
      <c r="AM563" s="385"/>
      <c r="AN563" s="385"/>
      <c r="AO563" s="385"/>
      <c r="AP563" s="385"/>
      <c r="AQ563" s="385"/>
      <c r="AR563" s="385"/>
      <c r="AS563" s="385"/>
      <c r="AT563" s="385"/>
      <c r="AU563" s="385"/>
      <c r="AV563" s="385"/>
      <c r="AW563" s="385"/>
      <c r="AX563" s="385"/>
    </row>
    <row r="564" spans="1:50" ht="10.8" hidden="1" thickTop="1" x14ac:dyDescent="0.2">
      <c r="A564" s="385"/>
      <c r="B564" s="385"/>
      <c r="C564" s="385"/>
      <c r="D564" s="385"/>
      <c r="E564" s="385"/>
      <c r="F564" s="385"/>
      <c r="G564" s="385"/>
      <c r="H564" s="385"/>
      <c r="I564" s="442"/>
      <c r="J564" s="442"/>
      <c r="K564" s="442"/>
      <c r="L564" s="442"/>
      <c r="M564" s="442"/>
      <c r="N564" s="442"/>
      <c r="O564" s="443"/>
      <c r="P564" s="385"/>
      <c r="Q564" s="385"/>
      <c r="R564" s="385"/>
      <c r="S564" s="385"/>
      <c r="T564" s="385"/>
      <c r="U564" s="385"/>
      <c r="V564" s="385"/>
      <c r="W564" s="385"/>
      <c r="X564" s="385"/>
      <c r="Y564" s="385"/>
      <c r="Z564" s="385"/>
      <c r="AA564" s="385"/>
      <c r="AB564" s="385"/>
      <c r="AC564" s="385"/>
      <c r="AD564" s="385"/>
      <c r="AE564" s="385"/>
      <c r="AF564" s="385"/>
      <c r="AG564" s="385"/>
      <c r="AH564" s="385"/>
      <c r="AI564" s="385"/>
      <c r="AJ564" s="385"/>
      <c r="AK564" s="385"/>
      <c r="AL564" s="385"/>
      <c r="AM564" s="385"/>
      <c r="AN564" s="385"/>
      <c r="AO564" s="385"/>
      <c r="AP564" s="385"/>
      <c r="AQ564" s="385"/>
      <c r="AR564" s="385"/>
      <c r="AS564" s="385"/>
      <c r="AT564" s="385"/>
      <c r="AU564" s="385"/>
      <c r="AV564" s="385"/>
      <c r="AW564" s="385"/>
      <c r="AX564" s="385"/>
    </row>
    <row r="565" spans="1:50" ht="10.8" hidden="1" thickTop="1" x14ac:dyDescent="0.2">
      <c r="A565" s="385"/>
      <c r="B565" s="385"/>
      <c r="C565" s="385"/>
      <c r="D565" s="385"/>
      <c r="E565" s="385"/>
      <c r="F565" s="385"/>
      <c r="G565" s="385"/>
      <c r="H565" s="385"/>
      <c r="I565" s="442"/>
      <c r="J565" s="442"/>
      <c r="K565" s="442"/>
      <c r="L565" s="442"/>
      <c r="M565" s="442"/>
      <c r="N565" s="442"/>
      <c r="O565" s="443"/>
      <c r="P565" s="385"/>
      <c r="Q565" s="385"/>
      <c r="R565" s="385"/>
      <c r="S565" s="385"/>
      <c r="T565" s="385"/>
      <c r="U565" s="385"/>
      <c r="V565" s="385"/>
      <c r="W565" s="385"/>
      <c r="X565" s="385"/>
      <c r="Y565" s="385"/>
      <c r="Z565" s="385"/>
      <c r="AA565" s="385"/>
      <c r="AB565" s="385"/>
      <c r="AC565" s="385"/>
      <c r="AD565" s="385"/>
      <c r="AE565" s="385"/>
      <c r="AF565" s="385"/>
      <c r="AG565" s="385"/>
      <c r="AH565" s="385"/>
      <c r="AI565" s="385"/>
      <c r="AJ565" s="385"/>
      <c r="AK565" s="385"/>
      <c r="AL565" s="385"/>
      <c r="AM565" s="385"/>
      <c r="AN565" s="385"/>
      <c r="AO565" s="385"/>
      <c r="AP565" s="385"/>
      <c r="AQ565" s="385"/>
      <c r="AR565" s="385"/>
      <c r="AS565" s="385"/>
      <c r="AT565" s="385"/>
      <c r="AU565" s="385"/>
      <c r="AV565" s="385"/>
      <c r="AW565" s="385"/>
      <c r="AX565" s="385"/>
    </row>
    <row r="566" spans="1:50" ht="10.8" hidden="1" thickTop="1" x14ac:dyDescent="0.2">
      <c r="A566" s="385"/>
      <c r="B566" s="385"/>
      <c r="C566" s="385"/>
      <c r="D566" s="385"/>
      <c r="E566" s="385"/>
      <c r="F566" s="385"/>
      <c r="G566" s="385"/>
      <c r="H566" s="385"/>
      <c r="I566" s="442"/>
      <c r="J566" s="442"/>
      <c r="K566" s="442"/>
      <c r="L566" s="442"/>
      <c r="M566" s="442"/>
      <c r="N566" s="442"/>
      <c r="O566" s="443"/>
      <c r="P566" s="385"/>
      <c r="Q566" s="385"/>
      <c r="R566" s="385"/>
      <c r="S566" s="385"/>
      <c r="T566" s="385"/>
      <c r="U566" s="385"/>
      <c r="V566" s="385"/>
      <c r="W566" s="385"/>
      <c r="X566" s="385"/>
      <c r="Y566" s="385"/>
      <c r="Z566" s="385"/>
      <c r="AA566" s="385"/>
      <c r="AB566" s="385"/>
      <c r="AC566" s="385"/>
      <c r="AD566" s="385"/>
      <c r="AE566" s="385"/>
      <c r="AF566" s="385"/>
      <c r="AG566" s="385"/>
      <c r="AH566" s="385"/>
      <c r="AI566" s="385"/>
      <c r="AJ566" s="385"/>
      <c r="AK566" s="385"/>
      <c r="AL566" s="385"/>
      <c r="AM566" s="385"/>
      <c r="AN566" s="385"/>
      <c r="AO566" s="385"/>
      <c r="AP566" s="385"/>
      <c r="AQ566" s="385"/>
      <c r="AR566" s="385"/>
      <c r="AS566" s="385"/>
      <c r="AT566" s="385"/>
      <c r="AU566" s="385"/>
      <c r="AV566" s="385"/>
      <c r="AW566" s="385"/>
      <c r="AX566" s="385"/>
    </row>
    <row r="567" spans="1:50" ht="10.8" hidden="1" thickTop="1" x14ac:dyDescent="0.2">
      <c r="A567" s="385"/>
      <c r="B567" s="385"/>
      <c r="C567" s="385"/>
      <c r="D567" s="385"/>
      <c r="E567" s="385"/>
      <c r="F567" s="385"/>
      <c r="G567" s="385"/>
      <c r="H567" s="385"/>
      <c r="I567" s="442"/>
      <c r="J567" s="442"/>
      <c r="K567" s="442"/>
      <c r="L567" s="442"/>
      <c r="M567" s="442"/>
      <c r="N567" s="442"/>
      <c r="O567" s="443"/>
      <c r="P567" s="385"/>
      <c r="Q567" s="385"/>
      <c r="R567" s="385"/>
      <c r="S567" s="385"/>
      <c r="T567" s="385"/>
      <c r="U567" s="385"/>
      <c r="V567" s="385"/>
      <c r="W567" s="385"/>
      <c r="X567" s="385"/>
      <c r="Y567" s="385"/>
      <c r="Z567" s="385"/>
      <c r="AA567" s="385"/>
      <c r="AB567" s="385"/>
      <c r="AC567" s="385"/>
      <c r="AD567" s="385"/>
      <c r="AE567" s="385"/>
      <c r="AF567" s="385"/>
      <c r="AG567" s="385"/>
      <c r="AH567" s="385"/>
      <c r="AI567" s="385"/>
      <c r="AJ567" s="385"/>
      <c r="AK567" s="385"/>
      <c r="AL567" s="385"/>
      <c r="AM567" s="385"/>
      <c r="AN567" s="385"/>
      <c r="AO567" s="385"/>
      <c r="AP567" s="385"/>
      <c r="AQ567" s="385"/>
      <c r="AR567" s="385"/>
      <c r="AS567" s="385"/>
      <c r="AT567" s="385"/>
      <c r="AU567" s="385"/>
      <c r="AV567" s="385"/>
      <c r="AW567" s="385"/>
      <c r="AX567" s="385"/>
    </row>
    <row r="568" spans="1:50" ht="10.8" hidden="1" thickTop="1" x14ac:dyDescent="0.2">
      <c r="A568" s="385"/>
      <c r="B568" s="385"/>
      <c r="C568" s="385"/>
      <c r="D568" s="385"/>
      <c r="E568" s="385"/>
      <c r="F568" s="385"/>
      <c r="G568" s="385"/>
      <c r="H568" s="385"/>
      <c r="I568" s="442"/>
      <c r="J568" s="442"/>
      <c r="K568" s="442"/>
      <c r="L568" s="442"/>
      <c r="M568" s="442"/>
      <c r="N568" s="442"/>
      <c r="O568" s="443"/>
      <c r="P568" s="385"/>
      <c r="Q568" s="385"/>
      <c r="R568" s="385"/>
      <c r="S568" s="385"/>
      <c r="T568" s="385"/>
      <c r="U568" s="385"/>
      <c r="V568" s="385"/>
      <c r="W568" s="385"/>
      <c r="X568" s="385"/>
      <c r="Y568" s="385"/>
      <c r="Z568" s="385"/>
      <c r="AA568" s="385"/>
      <c r="AB568" s="385"/>
      <c r="AC568" s="385"/>
      <c r="AD568" s="385"/>
      <c r="AE568" s="385"/>
      <c r="AF568" s="385"/>
      <c r="AG568" s="385"/>
      <c r="AH568" s="385"/>
      <c r="AI568" s="385"/>
      <c r="AJ568" s="385"/>
      <c r="AK568" s="385"/>
      <c r="AL568" s="385"/>
      <c r="AM568" s="385"/>
      <c r="AN568" s="385"/>
      <c r="AO568" s="385"/>
      <c r="AP568" s="385"/>
      <c r="AQ568" s="385"/>
      <c r="AR568" s="385"/>
      <c r="AS568" s="385"/>
      <c r="AT568" s="385"/>
      <c r="AU568" s="385"/>
      <c r="AV568" s="385"/>
      <c r="AW568" s="385"/>
      <c r="AX568" s="385"/>
    </row>
    <row r="569" spans="1:50" ht="10.8" hidden="1" thickTop="1" x14ac:dyDescent="0.2">
      <c r="A569" s="385"/>
      <c r="B569" s="385"/>
      <c r="C569" s="385"/>
      <c r="D569" s="385"/>
      <c r="E569" s="385"/>
      <c r="F569" s="385"/>
      <c r="G569" s="385"/>
      <c r="H569" s="385"/>
      <c r="I569" s="442"/>
      <c r="J569" s="442"/>
      <c r="K569" s="442"/>
      <c r="L569" s="442"/>
      <c r="M569" s="442"/>
      <c r="N569" s="442"/>
      <c r="O569" s="443"/>
      <c r="P569" s="385"/>
      <c r="Q569" s="385"/>
      <c r="R569" s="385"/>
      <c r="S569" s="385"/>
      <c r="T569" s="385"/>
      <c r="U569" s="385"/>
      <c r="V569" s="385"/>
      <c r="W569" s="385"/>
      <c r="X569" s="385"/>
      <c r="Y569" s="385"/>
      <c r="Z569" s="385"/>
      <c r="AA569" s="385"/>
      <c r="AB569" s="385"/>
      <c r="AC569" s="385"/>
      <c r="AD569" s="385"/>
      <c r="AE569" s="385"/>
      <c r="AF569" s="385"/>
      <c r="AG569" s="385"/>
      <c r="AH569" s="385"/>
      <c r="AI569" s="385"/>
      <c r="AJ569" s="385"/>
      <c r="AK569" s="385"/>
      <c r="AL569" s="385"/>
      <c r="AM569" s="385"/>
      <c r="AN569" s="385"/>
      <c r="AO569" s="385"/>
      <c r="AP569" s="385"/>
      <c r="AQ569" s="385"/>
      <c r="AR569" s="385"/>
      <c r="AS569" s="385"/>
      <c r="AT569" s="385"/>
      <c r="AU569" s="385"/>
      <c r="AV569" s="385"/>
      <c r="AW569" s="385"/>
      <c r="AX569" s="385"/>
    </row>
    <row r="570" spans="1:50" ht="10.8" hidden="1" thickTop="1" x14ac:dyDescent="0.2">
      <c r="A570" s="385"/>
      <c r="B570" s="385"/>
      <c r="C570" s="385"/>
      <c r="D570" s="385"/>
      <c r="E570" s="385"/>
      <c r="F570" s="385"/>
      <c r="G570" s="385"/>
      <c r="H570" s="385"/>
      <c r="I570" s="442"/>
      <c r="J570" s="442"/>
      <c r="K570" s="442"/>
      <c r="L570" s="442"/>
      <c r="M570" s="442"/>
      <c r="N570" s="442"/>
      <c r="O570" s="443"/>
      <c r="P570" s="385"/>
      <c r="Q570" s="385"/>
      <c r="R570" s="385"/>
      <c r="S570" s="385"/>
      <c r="T570" s="385"/>
      <c r="U570" s="385"/>
      <c r="V570" s="385"/>
      <c r="W570" s="385"/>
      <c r="X570" s="385"/>
      <c r="Y570" s="385"/>
      <c r="Z570" s="385"/>
      <c r="AA570" s="385"/>
      <c r="AB570" s="385"/>
      <c r="AC570" s="385"/>
      <c r="AD570" s="385"/>
      <c r="AE570" s="385"/>
      <c r="AF570" s="385"/>
      <c r="AG570" s="385"/>
      <c r="AH570" s="385"/>
      <c r="AI570" s="385"/>
      <c r="AJ570" s="385"/>
      <c r="AK570" s="385"/>
      <c r="AL570" s="385"/>
      <c r="AM570" s="385"/>
      <c r="AN570" s="385"/>
      <c r="AO570" s="385"/>
      <c r="AP570" s="385"/>
      <c r="AQ570" s="385"/>
      <c r="AR570" s="385"/>
      <c r="AS570" s="385"/>
      <c r="AT570" s="385"/>
      <c r="AU570" s="385"/>
      <c r="AV570" s="385"/>
      <c r="AW570" s="385"/>
      <c r="AX570" s="385"/>
    </row>
    <row r="571" spans="1:50" ht="10.8" hidden="1" thickTop="1" x14ac:dyDescent="0.2">
      <c r="A571" s="385"/>
      <c r="B571" s="385"/>
      <c r="C571" s="385"/>
      <c r="D571" s="385"/>
      <c r="E571" s="385"/>
      <c r="F571" s="385"/>
      <c r="G571" s="385"/>
      <c r="H571" s="385"/>
      <c r="I571" s="442"/>
      <c r="J571" s="442"/>
      <c r="K571" s="442"/>
      <c r="L571" s="442"/>
      <c r="M571" s="442"/>
      <c r="N571" s="442"/>
      <c r="O571" s="443"/>
      <c r="P571" s="385"/>
      <c r="Q571" s="385"/>
      <c r="R571" s="385"/>
      <c r="S571" s="385"/>
      <c r="T571" s="385"/>
      <c r="U571" s="385"/>
      <c r="V571" s="385"/>
      <c r="W571" s="385"/>
      <c r="X571" s="385"/>
      <c r="Y571" s="385"/>
      <c r="Z571" s="385"/>
      <c r="AA571" s="385"/>
      <c r="AB571" s="385"/>
      <c r="AC571" s="385"/>
      <c r="AD571" s="385"/>
      <c r="AE571" s="385"/>
      <c r="AF571" s="385"/>
      <c r="AG571" s="385"/>
      <c r="AH571" s="385"/>
      <c r="AI571" s="385"/>
      <c r="AJ571" s="385"/>
      <c r="AK571" s="385"/>
      <c r="AL571" s="385"/>
      <c r="AM571" s="385"/>
      <c r="AN571" s="385"/>
      <c r="AO571" s="385"/>
      <c r="AP571" s="385"/>
      <c r="AQ571" s="385"/>
      <c r="AR571" s="385"/>
      <c r="AS571" s="385"/>
      <c r="AT571" s="385"/>
      <c r="AU571" s="385"/>
      <c r="AV571" s="385"/>
      <c r="AW571" s="385"/>
      <c r="AX571" s="385"/>
    </row>
    <row r="572" spans="1:50" ht="10.8" hidden="1" thickTop="1" x14ac:dyDescent="0.2">
      <c r="A572" s="385"/>
      <c r="B572" s="385"/>
      <c r="C572" s="385"/>
      <c r="D572" s="385"/>
      <c r="E572" s="385"/>
      <c r="F572" s="385"/>
      <c r="G572" s="385"/>
      <c r="H572" s="385"/>
      <c r="I572" s="442"/>
      <c r="J572" s="442"/>
      <c r="K572" s="442"/>
      <c r="L572" s="442"/>
      <c r="M572" s="442"/>
      <c r="N572" s="442"/>
      <c r="O572" s="443"/>
      <c r="P572" s="385"/>
      <c r="Q572" s="385"/>
      <c r="R572" s="385"/>
      <c r="S572" s="385"/>
      <c r="T572" s="385"/>
      <c r="U572" s="385"/>
      <c r="V572" s="385"/>
      <c r="W572" s="385"/>
      <c r="X572" s="385"/>
      <c r="Y572" s="385"/>
      <c r="Z572" s="385"/>
      <c r="AA572" s="385"/>
      <c r="AB572" s="385"/>
      <c r="AC572" s="385"/>
      <c r="AD572" s="385"/>
      <c r="AE572" s="385"/>
      <c r="AF572" s="385"/>
      <c r="AG572" s="385"/>
      <c r="AH572" s="385"/>
      <c r="AI572" s="385"/>
      <c r="AJ572" s="385"/>
      <c r="AK572" s="385"/>
      <c r="AL572" s="385"/>
      <c r="AM572" s="385"/>
      <c r="AN572" s="385"/>
      <c r="AO572" s="385"/>
      <c r="AP572" s="385"/>
      <c r="AQ572" s="385"/>
      <c r="AR572" s="385"/>
      <c r="AS572" s="385"/>
      <c r="AT572" s="385"/>
      <c r="AU572" s="385"/>
      <c r="AV572" s="385"/>
      <c r="AW572" s="385"/>
      <c r="AX572" s="385"/>
    </row>
    <row r="573" spans="1:50" ht="10.8" hidden="1" thickTop="1" x14ac:dyDescent="0.2">
      <c r="A573" s="385"/>
      <c r="B573" s="385"/>
      <c r="C573" s="385"/>
      <c r="D573" s="385"/>
      <c r="E573" s="385"/>
      <c r="F573" s="385"/>
      <c r="G573" s="385"/>
      <c r="H573" s="385"/>
      <c r="I573" s="442"/>
      <c r="J573" s="442"/>
      <c r="K573" s="442"/>
      <c r="L573" s="442"/>
      <c r="M573" s="442"/>
      <c r="N573" s="442"/>
      <c r="O573" s="443"/>
      <c r="P573" s="385"/>
      <c r="Q573" s="385"/>
      <c r="R573" s="385"/>
      <c r="S573" s="385"/>
      <c r="T573" s="385"/>
      <c r="U573" s="385"/>
      <c r="V573" s="385"/>
      <c r="W573" s="385"/>
      <c r="X573" s="385"/>
      <c r="Y573" s="385"/>
      <c r="Z573" s="385"/>
      <c r="AA573" s="385"/>
      <c r="AB573" s="385"/>
      <c r="AC573" s="385"/>
      <c r="AD573" s="385"/>
      <c r="AE573" s="385"/>
      <c r="AF573" s="385"/>
      <c r="AG573" s="385"/>
      <c r="AH573" s="385"/>
      <c r="AI573" s="385"/>
      <c r="AJ573" s="385"/>
      <c r="AK573" s="385"/>
      <c r="AL573" s="385"/>
      <c r="AM573" s="385"/>
      <c r="AN573" s="385"/>
      <c r="AO573" s="385"/>
      <c r="AP573" s="385"/>
      <c r="AQ573" s="385"/>
      <c r="AR573" s="385"/>
      <c r="AS573" s="385"/>
      <c r="AT573" s="385"/>
      <c r="AU573" s="385"/>
      <c r="AV573" s="385"/>
      <c r="AW573" s="385"/>
      <c r="AX573" s="385"/>
    </row>
    <row r="574" spans="1:50" ht="10.8" hidden="1" thickTop="1" x14ac:dyDescent="0.2">
      <c r="A574" s="385"/>
      <c r="B574" s="385"/>
      <c r="C574" s="385"/>
      <c r="D574" s="385"/>
      <c r="E574" s="385"/>
      <c r="F574" s="385"/>
      <c r="G574" s="385"/>
      <c r="H574" s="385"/>
      <c r="I574" s="442"/>
      <c r="J574" s="442"/>
      <c r="K574" s="442"/>
      <c r="L574" s="442"/>
      <c r="M574" s="442"/>
      <c r="N574" s="442"/>
      <c r="O574" s="443"/>
      <c r="P574" s="385"/>
      <c r="Q574" s="385"/>
      <c r="R574" s="385"/>
      <c r="S574" s="385"/>
      <c r="T574" s="385"/>
      <c r="U574" s="385"/>
      <c r="V574" s="385"/>
      <c r="W574" s="385"/>
      <c r="X574" s="385"/>
      <c r="Y574" s="385"/>
      <c r="Z574" s="385"/>
      <c r="AA574" s="385"/>
      <c r="AB574" s="385"/>
      <c r="AC574" s="385"/>
      <c r="AD574" s="385"/>
      <c r="AE574" s="385"/>
      <c r="AF574" s="385"/>
      <c r="AG574" s="385"/>
      <c r="AH574" s="385"/>
      <c r="AI574" s="385"/>
      <c r="AJ574" s="385"/>
      <c r="AK574" s="385"/>
      <c r="AL574" s="385"/>
      <c r="AM574" s="385"/>
      <c r="AN574" s="385"/>
      <c r="AO574" s="385"/>
      <c r="AP574" s="385"/>
      <c r="AQ574" s="385"/>
      <c r="AR574" s="385"/>
      <c r="AS574" s="385"/>
      <c r="AT574" s="385"/>
      <c r="AU574" s="385"/>
      <c r="AV574" s="385"/>
      <c r="AW574" s="385"/>
      <c r="AX574" s="385"/>
    </row>
    <row r="575" spans="1:50" ht="10.8" hidden="1" thickTop="1" x14ac:dyDescent="0.2">
      <c r="A575" s="385"/>
      <c r="B575" s="385"/>
      <c r="C575" s="385"/>
      <c r="D575" s="385"/>
      <c r="E575" s="385"/>
      <c r="F575" s="385"/>
      <c r="G575" s="385"/>
      <c r="H575" s="385"/>
      <c r="I575" s="442"/>
      <c r="J575" s="442"/>
      <c r="K575" s="442"/>
      <c r="L575" s="442"/>
      <c r="M575" s="442"/>
      <c r="N575" s="442"/>
      <c r="O575" s="443"/>
      <c r="P575" s="385"/>
      <c r="Q575" s="385"/>
      <c r="R575" s="385"/>
      <c r="S575" s="385"/>
      <c r="T575" s="385"/>
      <c r="U575" s="385"/>
      <c r="V575" s="385"/>
      <c r="W575" s="385"/>
      <c r="X575" s="385"/>
      <c r="Y575" s="385"/>
      <c r="Z575" s="385"/>
      <c r="AA575" s="385"/>
      <c r="AB575" s="385"/>
      <c r="AC575" s="385"/>
      <c r="AD575" s="385"/>
      <c r="AE575" s="385"/>
      <c r="AF575" s="385"/>
      <c r="AG575" s="385"/>
      <c r="AH575" s="385"/>
      <c r="AI575" s="385"/>
      <c r="AJ575" s="385"/>
      <c r="AK575" s="385"/>
      <c r="AL575" s="385"/>
      <c r="AM575" s="385"/>
      <c r="AN575" s="385"/>
      <c r="AO575" s="385"/>
      <c r="AP575" s="385"/>
      <c r="AQ575" s="385"/>
      <c r="AR575" s="385"/>
      <c r="AS575" s="385"/>
      <c r="AT575" s="385"/>
      <c r="AU575" s="385"/>
      <c r="AV575" s="385"/>
      <c r="AW575" s="385"/>
      <c r="AX575" s="385"/>
    </row>
    <row r="576" spans="1:50" ht="10.8" hidden="1" thickTop="1" x14ac:dyDescent="0.2">
      <c r="A576" s="385"/>
      <c r="B576" s="385"/>
      <c r="C576" s="385"/>
      <c r="D576" s="385"/>
      <c r="E576" s="385"/>
      <c r="F576" s="385"/>
      <c r="G576" s="385"/>
      <c r="H576" s="385"/>
      <c r="I576" s="442"/>
      <c r="J576" s="442"/>
      <c r="K576" s="442"/>
      <c r="L576" s="442"/>
      <c r="M576" s="442"/>
      <c r="N576" s="442"/>
      <c r="O576" s="443"/>
      <c r="P576" s="385"/>
      <c r="Q576" s="385"/>
      <c r="R576" s="385"/>
      <c r="S576" s="385"/>
      <c r="T576" s="385"/>
      <c r="U576" s="385"/>
      <c r="V576" s="385"/>
      <c r="W576" s="385"/>
      <c r="X576" s="385"/>
      <c r="Y576" s="385"/>
      <c r="Z576" s="385"/>
      <c r="AA576" s="385"/>
      <c r="AB576" s="385"/>
      <c r="AC576" s="385"/>
      <c r="AD576" s="385"/>
      <c r="AE576" s="385"/>
      <c r="AF576" s="385"/>
      <c r="AG576" s="385"/>
      <c r="AH576" s="385"/>
      <c r="AI576" s="385"/>
      <c r="AJ576" s="385"/>
      <c r="AK576" s="385"/>
      <c r="AL576" s="385"/>
      <c r="AM576" s="385"/>
      <c r="AN576" s="385"/>
      <c r="AO576" s="385"/>
      <c r="AP576" s="385"/>
      <c r="AQ576" s="385"/>
      <c r="AR576" s="385"/>
      <c r="AS576" s="385"/>
      <c r="AT576" s="385"/>
      <c r="AU576" s="385"/>
      <c r="AV576" s="385"/>
      <c r="AW576" s="385"/>
      <c r="AX576" s="385"/>
    </row>
    <row r="577" spans="1:50" ht="10.8" hidden="1" thickTop="1" x14ac:dyDescent="0.2">
      <c r="A577" s="385"/>
      <c r="B577" s="385"/>
      <c r="C577" s="385"/>
      <c r="D577" s="385"/>
      <c r="E577" s="385"/>
      <c r="F577" s="385"/>
      <c r="G577" s="385"/>
      <c r="H577" s="385"/>
      <c r="I577" s="442"/>
      <c r="J577" s="442"/>
      <c r="K577" s="442"/>
      <c r="L577" s="442"/>
      <c r="M577" s="442"/>
      <c r="N577" s="442"/>
      <c r="O577" s="443"/>
      <c r="P577" s="385"/>
      <c r="Q577" s="385"/>
      <c r="R577" s="385"/>
      <c r="S577" s="385"/>
      <c r="T577" s="385"/>
      <c r="U577" s="385"/>
      <c r="V577" s="385"/>
      <c r="W577" s="385"/>
      <c r="X577" s="385"/>
      <c r="Y577" s="385"/>
      <c r="Z577" s="385"/>
      <c r="AA577" s="385"/>
      <c r="AB577" s="385"/>
      <c r="AC577" s="385"/>
      <c r="AD577" s="385"/>
      <c r="AE577" s="385"/>
      <c r="AF577" s="385"/>
      <c r="AG577" s="385"/>
      <c r="AH577" s="385"/>
      <c r="AI577" s="385"/>
      <c r="AJ577" s="385"/>
      <c r="AK577" s="385"/>
      <c r="AL577" s="385"/>
      <c r="AM577" s="385"/>
      <c r="AN577" s="385"/>
      <c r="AO577" s="385"/>
      <c r="AP577" s="385"/>
      <c r="AQ577" s="385"/>
      <c r="AR577" s="385"/>
      <c r="AS577" s="385"/>
      <c r="AT577" s="385"/>
      <c r="AU577" s="385"/>
      <c r="AV577" s="385"/>
      <c r="AW577" s="385"/>
      <c r="AX577" s="385"/>
    </row>
    <row r="578" spans="1:50" ht="10.8" hidden="1" thickTop="1" x14ac:dyDescent="0.2">
      <c r="A578" s="385"/>
      <c r="B578" s="385"/>
      <c r="C578" s="385"/>
      <c r="D578" s="385"/>
      <c r="E578" s="385"/>
      <c r="F578" s="385"/>
      <c r="G578" s="385"/>
      <c r="H578" s="385"/>
      <c r="I578" s="442"/>
      <c r="J578" s="442"/>
      <c r="K578" s="442"/>
      <c r="L578" s="442"/>
      <c r="M578" s="442"/>
      <c r="N578" s="442"/>
      <c r="O578" s="443"/>
      <c r="P578" s="385"/>
      <c r="Q578" s="385"/>
      <c r="R578" s="385"/>
      <c r="S578" s="385"/>
      <c r="T578" s="385"/>
      <c r="U578" s="385"/>
      <c r="V578" s="385"/>
      <c r="W578" s="385"/>
      <c r="X578" s="385"/>
      <c r="Y578" s="385"/>
      <c r="Z578" s="385"/>
      <c r="AA578" s="385"/>
      <c r="AB578" s="385"/>
      <c r="AC578" s="385"/>
      <c r="AD578" s="385"/>
      <c r="AE578" s="385"/>
      <c r="AF578" s="385"/>
      <c r="AG578" s="385"/>
      <c r="AH578" s="385"/>
      <c r="AI578" s="385"/>
      <c r="AJ578" s="385"/>
      <c r="AK578" s="385"/>
      <c r="AL578" s="385"/>
      <c r="AM578" s="385"/>
      <c r="AN578" s="385"/>
      <c r="AO578" s="385"/>
      <c r="AP578" s="385"/>
      <c r="AQ578" s="385"/>
      <c r="AR578" s="385"/>
      <c r="AS578" s="385"/>
      <c r="AT578" s="385"/>
      <c r="AU578" s="385"/>
      <c r="AV578" s="385"/>
      <c r="AW578" s="385"/>
      <c r="AX578" s="385"/>
    </row>
    <row r="579" spans="1:50" ht="10.8" hidden="1" thickTop="1" x14ac:dyDescent="0.2">
      <c r="A579" s="385"/>
      <c r="B579" s="385"/>
      <c r="C579" s="385"/>
      <c r="D579" s="385"/>
      <c r="E579" s="385"/>
      <c r="F579" s="385"/>
      <c r="G579" s="385"/>
      <c r="H579" s="385"/>
      <c r="I579" s="442"/>
      <c r="J579" s="442"/>
      <c r="K579" s="442"/>
      <c r="L579" s="442"/>
      <c r="M579" s="442"/>
      <c r="N579" s="442"/>
      <c r="O579" s="443"/>
      <c r="P579" s="385"/>
      <c r="Q579" s="385"/>
      <c r="R579" s="385"/>
      <c r="S579" s="385"/>
      <c r="T579" s="385"/>
      <c r="U579" s="385"/>
      <c r="V579" s="385"/>
      <c r="W579" s="385"/>
      <c r="X579" s="385"/>
      <c r="Y579" s="385"/>
      <c r="Z579" s="385"/>
      <c r="AA579" s="385"/>
      <c r="AB579" s="385"/>
      <c r="AC579" s="385"/>
      <c r="AD579" s="385"/>
      <c r="AE579" s="385"/>
      <c r="AF579" s="385"/>
      <c r="AG579" s="385"/>
      <c r="AH579" s="385"/>
      <c r="AI579" s="385"/>
      <c r="AJ579" s="385"/>
      <c r="AK579" s="385"/>
      <c r="AL579" s="385"/>
      <c r="AM579" s="385"/>
      <c r="AN579" s="385"/>
      <c r="AO579" s="385"/>
      <c r="AP579" s="385"/>
      <c r="AQ579" s="385"/>
      <c r="AR579" s="385"/>
      <c r="AS579" s="385"/>
      <c r="AT579" s="385"/>
      <c r="AU579" s="385"/>
      <c r="AV579" s="385"/>
      <c r="AW579" s="385"/>
      <c r="AX579" s="385"/>
    </row>
    <row r="580" spans="1:50" ht="10.8" hidden="1" thickTop="1" x14ac:dyDescent="0.2">
      <c r="A580" s="385"/>
      <c r="B580" s="385"/>
      <c r="C580" s="385"/>
      <c r="D580" s="385"/>
      <c r="E580" s="385"/>
      <c r="F580" s="385"/>
      <c r="G580" s="385"/>
      <c r="H580" s="385"/>
      <c r="I580" s="442"/>
      <c r="J580" s="442"/>
      <c r="K580" s="442"/>
      <c r="L580" s="442"/>
      <c r="M580" s="442"/>
      <c r="N580" s="442"/>
      <c r="O580" s="443"/>
      <c r="P580" s="385"/>
      <c r="Q580" s="385"/>
      <c r="R580" s="385"/>
      <c r="S580" s="385"/>
      <c r="T580" s="385"/>
      <c r="U580" s="385"/>
      <c r="V580" s="385"/>
      <c r="W580" s="385"/>
      <c r="X580" s="385"/>
      <c r="Y580" s="385"/>
      <c r="Z580" s="385"/>
      <c r="AA580" s="385"/>
      <c r="AB580" s="385"/>
      <c r="AC580" s="385"/>
      <c r="AD580" s="385"/>
      <c r="AE580" s="385"/>
      <c r="AF580" s="385"/>
      <c r="AG580" s="385"/>
      <c r="AH580" s="385"/>
      <c r="AI580" s="385"/>
      <c r="AJ580" s="385"/>
      <c r="AK580" s="385"/>
      <c r="AL580" s="385"/>
      <c r="AM580" s="385"/>
      <c r="AN580" s="385"/>
      <c r="AO580" s="385"/>
      <c r="AP580" s="385"/>
      <c r="AQ580" s="385"/>
      <c r="AR580" s="385"/>
      <c r="AS580" s="385"/>
      <c r="AT580" s="385"/>
      <c r="AU580" s="385"/>
      <c r="AV580" s="385"/>
      <c r="AW580" s="385"/>
      <c r="AX580" s="385"/>
    </row>
    <row r="581" spans="1:50" ht="10.8" hidden="1" thickTop="1" x14ac:dyDescent="0.2">
      <c r="A581" s="385"/>
      <c r="B581" s="385"/>
      <c r="C581" s="385"/>
      <c r="D581" s="385"/>
      <c r="E581" s="385"/>
      <c r="F581" s="385"/>
      <c r="G581" s="385"/>
      <c r="H581" s="385"/>
      <c r="I581" s="442"/>
      <c r="J581" s="442"/>
      <c r="K581" s="442"/>
      <c r="L581" s="442"/>
      <c r="M581" s="442"/>
      <c r="N581" s="442"/>
      <c r="O581" s="443"/>
      <c r="P581" s="385"/>
      <c r="Q581" s="385"/>
      <c r="R581" s="385"/>
      <c r="S581" s="385"/>
      <c r="T581" s="385"/>
      <c r="U581" s="385"/>
      <c r="V581" s="385"/>
      <c r="W581" s="385"/>
      <c r="X581" s="385"/>
      <c r="Y581" s="385"/>
      <c r="Z581" s="385"/>
      <c r="AA581" s="385"/>
      <c r="AB581" s="385"/>
      <c r="AC581" s="385"/>
      <c r="AD581" s="385"/>
      <c r="AE581" s="385"/>
      <c r="AF581" s="385"/>
      <c r="AG581" s="385"/>
      <c r="AH581" s="385"/>
      <c r="AI581" s="385"/>
      <c r="AJ581" s="385"/>
      <c r="AK581" s="385"/>
      <c r="AL581" s="385"/>
      <c r="AM581" s="385"/>
      <c r="AN581" s="385"/>
      <c r="AO581" s="385"/>
      <c r="AP581" s="385"/>
      <c r="AQ581" s="385"/>
      <c r="AR581" s="385"/>
      <c r="AS581" s="385"/>
      <c r="AT581" s="385"/>
      <c r="AU581" s="385"/>
      <c r="AV581" s="385"/>
      <c r="AW581" s="385"/>
      <c r="AX581" s="385"/>
    </row>
    <row r="582" spans="1:50" ht="10.8" hidden="1" thickTop="1" x14ac:dyDescent="0.2">
      <c r="A582" s="385"/>
      <c r="B582" s="385"/>
      <c r="C582" s="385"/>
      <c r="D582" s="385"/>
      <c r="E582" s="385"/>
      <c r="F582" s="385"/>
      <c r="G582" s="385"/>
      <c r="H582" s="385"/>
      <c r="I582" s="442"/>
      <c r="J582" s="442"/>
      <c r="K582" s="442"/>
      <c r="L582" s="442"/>
      <c r="M582" s="442"/>
      <c r="N582" s="442"/>
      <c r="O582" s="443"/>
      <c r="P582" s="385"/>
      <c r="Q582" s="385"/>
      <c r="R582" s="385"/>
      <c r="S582" s="385"/>
      <c r="T582" s="385"/>
      <c r="U582" s="385"/>
      <c r="V582" s="385"/>
      <c r="W582" s="385"/>
      <c r="X582" s="385"/>
      <c r="Y582" s="385"/>
      <c r="Z582" s="385"/>
      <c r="AA582" s="385"/>
      <c r="AB582" s="385"/>
      <c r="AC582" s="385"/>
      <c r="AD582" s="385"/>
      <c r="AE582" s="385"/>
      <c r="AF582" s="385"/>
      <c r="AG582" s="385"/>
      <c r="AH582" s="385"/>
      <c r="AI582" s="385"/>
      <c r="AJ582" s="385"/>
      <c r="AK582" s="385"/>
      <c r="AL582" s="385"/>
      <c r="AM582" s="385"/>
      <c r="AN582" s="385"/>
      <c r="AO582" s="385"/>
      <c r="AP582" s="385"/>
      <c r="AQ582" s="385"/>
      <c r="AR582" s="385"/>
      <c r="AS582" s="385"/>
      <c r="AT582" s="385"/>
      <c r="AU582" s="385"/>
      <c r="AV582" s="385"/>
      <c r="AW582" s="385"/>
      <c r="AX582" s="385"/>
    </row>
    <row r="583" spans="1:50" ht="10.8" hidden="1" thickTop="1" x14ac:dyDescent="0.2">
      <c r="A583" s="385"/>
      <c r="B583" s="385"/>
      <c r="C583" s="385"/>
      <c r="D583" s="385"/>
      <c r="E583" s="385"/>
      <c r="F583" s="385"/>
      <c r="G583" s="385"/>
      <c r="H583" s="385"/>
      <c r="I583" s="442"/>
      <c r="J583" s="442"/>
      <c r="K583" s="442"/>
      <c r="L583" s="442"/>
      <c r="M583" s="442"/>
      <c r="N583" s="442"/>
      <c r="O583" s="443"/>
      <c r="P583" s="385"/>
      <c r="Q583" s="385"/>
      <c r="R583" s="385"/>
      <c r="S583" s="385"/>
      <c r="T583" s="385"/>
      <c r="U583" s="385"/>
      <c r="V583" s="385"/>
      <c r="W583" s="385"/>
      <c r="X583" s="385"/>
      <c r="Y583" s="385"/>
      <c r="Z583" s="385"/>
      <c r="AA583" s="385"/>
      <c r="AB583" s="385"/>
      <c r="AC583" s="385"/>
      <c r="AD583" s="385"/>
      <c r="AE583" s="385"/>
      <c r="AF583" s="385"/>
      <c r="AG583" s="385"/>
      <c r="AH583" s="385"/>
      <c r="AI583" s="385"/>
      <c r="AJ583" s="385"/>
      <c r="AK583" s="385"/>
      <c r="AL583" s="385"/>
      <c r="AM583" s="385"/>
      <c r="AN583" s="385"/>
      <c r="AO583" s="385"/>
      <c r="AP583" s="385"/>
      <c r="AQ583" s="385"/>
      <c r="AR583" s="385"/>
      <c r="AS583" s="385"/>
      <c r="AT583" s="385"/>
      <c r="AU583" s="385"/>
      <c r="AV583" s="385"/>
      <c r="AW583" s="385"/>
      <c r="AX583" s="385"/>
    </row>
    <row r="584" spans="1:50" ht="10.8" hidden="1" thickTop="1" x14ac:dyDescent="0.2">
      <c r="A584" s="385"/>
      <c r="B584" s="385"/>
      <c r="C584" s="385"/>
      <c r="D584" s="385"/>
      <c r="E584" s="385"/>
      <c r="F584" s="385"/>
      <c r="G584" s="385"/>
      <c r="H584" s="385"/>
      <c r="I584" s="442"/>
      <c r="J584" s="442"/>
      <c r="K584" s="442"/>
      <c r="L584" s="442"/>
      <c r="M584" s="442"/>
      <c r="N584" s="442"/>
      <c r="O584" s="443"/>
      <c r="P584" s="385"/>
      <c r="Q584" s="385"/>
      <c r="R584" s="385"/>
      <c r="S584" s="385"/>
      <c r="T584" s="385"/>
      <c r="U584" s="385"/>
      <c r="V584" s="385"/>
      <c r="W584" s="385"/>
      <c r="X584" s="385"/>
      <c r="Y584" s="385"/>
      <c r="Z584" s="385"/>
      <c r="AA584" s="385"/>
      <c r="AB584" s="385"/>
      <c r="AC584" s="385"/>
      <c r="AD584" s="385"/>
      <c r="AE584" s="385"/>
      <c r="AF584" s="385"/>
      <c r="AG584" s="385"/>
      <c r="AH584" s="385"/>
      <c r="AI584" s="385"/>
      <c r="AJ584" s="385"/>
      <c r="AK584" s="385"/>
      <c r="AL584" s="385"/>
      <c r="AM584" s="385"/>
      <c r="AN584" s="385"/>
      <c r="AO584" s="385"/>
      <c r="AP584" s="385"/>
      <c r="AQ584" s="385"/>
      <c r="AR584" s="385"/>
      <c r="AS584" s="385"/>
      <c r="AT584" s="385"/>
      <c r="AU584" s="385"/>
      <c r="AV584" s="385"/>
      <c r="AW584" s="385"/>
      <c r="AX584" s="385"/>
    </row>
    <row r="585" spans="1:50" ht="10.8" hidden="1" thickTop="1" x14ac:dyDescent="0.2">
      <c r="A585" s="385"/>
      <c r="B585" s="385"/>
      <c r="C585" s="385"/>
      <c r="D585" s="385"/>
      <c r="E585" s="385"/>
      <c r="F585" s="385"/>
      <c r="G585" s="385"/>
      <c r="H585" s="385"/>
      <c r="I585" s="442"/>
      <c r="J585" s="442"/>
      <c r="K585" s="442"/>
      <c r="L585" s="442"/>
      <c r="M585" s="442"/>
      <c r="N585" s="442"/>
      <c r="O585" s="443"/>
      <c r="P585" s="385"/>
      <c r="Q585" s="385"/>
      <c r="R585" s="385"/>
      <c r="S585" s="385"/>
      <c r="T585" s="385"/>
      <c r="U585" s="385"/>
      <c r="V585" s="385"/>
      <c r="W585" s="385"/>
      <c r="X585" s="385"/>
      <c r="Y585" s="385"/>
      <c r="Z585" s="385"/>
      <c r="AA585" s="385"/>
      <c r="AB585" s="385"/>
      <c r="AC585" s="385"/>
      <c r="AD585" s="385"/>
      <c r="AE585" s="385"/>
      <c r="AF585" s="385"/>
      <c r="AG585" s="385"/>
      <c r="AH585" s="385"/>
      <c r="AI585" s="385"/>
      <c r="AJ585" s="385"/>
      <c r="AK585" s="385"/>
      <c r="AL585" s="385"/>
      <c r="AM585" s="385"/>
      <c r="AN585" s="385"/>
      <c r="AO585" s="385"/>
      <c r="AP585" s="385"/>
      <c r="AQ585" s="385"/>
      <c r="AR585" s="385"/>
      <c r="AS585" s="385"/>
      <c r="AT585" s="385"/>
      <c r="AU585" s="385"/>
      <c r="AV585" s="385"/>
      <c r="AW585" s="385"/>
      <c r="AX585" s="385"/>
    </row>
    <row r="586" spans="1:50" ht="10.8" hidden="1" thickTop="1" x14ac:dyDescent="0.2">
      <c r="A586" s="385"/>
      <c r="B586" s="385"/>
      <c r="C586" s="385"/>
      <c r="D586" s="385"/>
      <c r="E586" s="385"/>
      <c r="F586" s="385"/>
      <c r="G586" s="385"/>
      <c r="H586" s="385"/>
      <c r="I586" s="442"/>
      <c r="J586" s="442"/>
      <c r="K586" s="442"/>
      <c r="L586" s="442"/>
      <c r="M586" s="442"/>
      <c r="N586" s="442"/>
      <c r="O586" s="443"/>
      <c r="P586" s="385"/>
      <c r="Q586" s="385"/>
      <c r="R586" s="385"/>
      <c r="S586" s="385"/>
      <c r="T586" s="385"/>
      <c r="U586" s="385"/>
      <c r="V586" s="385"/>
      <c r="W586" s="385"/>
      <c r="X586" s="385"/>
      <c r="Y586" s="385"/>
      <c r="Z586" s="385"/>
      <c r="AA586" s="385"/>
      <c r="AB586" s="385"/>
      <c r="AC586" s="385"/>
      <c r="AD586" s="385"/>
      <c r="AE586" s="385"/>
      <c r="AF586" s="385"/>
      <c r="AG586" s="385"/>
      <c r="AH586" s="385"/>
      <c r="AI586" s="385"/>
      <c r="AJ586" s="385"/>
      <c r="AK586" s="385"/>
      <c r="AL586" s="385"/>
      <c r="AM586" s="385"/>
      <c r="AN586" s="385"/>
      <c r="AO586" s="385"/>
      <c r="AP586" s="385"/>
      <c r="AQ586" s="385"/>
      <c r="AR586" s="385"/>
      <c r="AS586" s="385"/>
      <c r="AT586" s="385"/>
      <c r="AU586" s="385"/>
      <c r="AV586" s="385"/>
      <c r="AW586" s="385"/>
      <c r="AX586" s="385"/>
    </row>
    <row r="587" spans="1:50" ht="10.8" hidden="1" thickTop="1" x14ac:dyDescent="0.2">
      <c r="A587" s="385"/>
      <c r="B587" s="385"/>
      <c r="C587" s="385"/>
      <c r="D587" s="385"/>
      <c r="E587" s="385"/>
      <c r="F587" s="385"/>
      <c r="G587" s="385"/>
      <c r="H587" s="385"/>
      <c r="I587" s="442"/>
      <c r="J587" s="442"/>
      <c r="K587" s="442"/>
      <c r="L587" s="442"/>
      <c r="M587" s="442"/>
      <c r="N587" s="442"/>
      <c r="O587" s="443"/>
      <c r="P587" s="385"/>
      <c r="Q587" s="385"/>
      <c r="R587" s="385"/>
      <c r="S587" s="385"/>
      <c r="T587" s="385"/>
      <c r="U587" s="385"/>
      <c r="V587" s="385"/>
      <c r="W587" s="385"/>
      <c r="X587" s="385"/>
      <c r="Y587" s="385"/>
      <c r="Z587" s="385"/>
      <c r="AA587" s="385"/>
      <c r="AB587" s="385"/>
      <c r="AC587" s="385"/>
      <c r="AD587" s="385"/>
      <c r="AE587" s="385"/>
      <c r="AF587" s="385"/>
      <c r="AG587" s="385"/>
      <c r="AH587" s="385"/>
      <c r="AI587" s="385"/>
      <c r="AJ587" s="385"/>
      <c r="AK587" s="385"/>
      <c r="AL587" s="385"/>
      <c r="AM587" s="385"/>
      <c r="AN587" s="385"/>
      <c r="AO587" s="385"/>
      <c r="AP587" s="385"/>
      <c r="AQ587" s="385"/>
      <c r="AR587" s="385"/>
      <c r="AS587" s="385"/>
      <c r="AT587" s="385"/>
      <c r="AU587" s="385"/>
      <c r="AV587" s="385"/>
      <c r="AW587" s="385"/>
      <c r="AX587" s="385"/>
    </row>
    <row r="588" spans="1:50" ht="10.8" hidden="1" thickTop="1" x14ac:dyDescent="0.2">
      <c r="A588" s="385"/>
      <c r="B588" s="385"/>
      <c r="C588" s="385"/>
      <c r="D588" s="385"/>
      <c r="E588" s="385"/>
      <c r="F588" s="385"/>
      <c r="G588" s="385"/>
      <c r="H588" s="385"/>
      <c r="I588" s="442"/>
      <c r="J588" s="442"/>
      <c r="K588" s="442"/>
      <c r="L588" s="442"/>
      <c r="M588" s="442"/>
      <c r="N588" s="442"/>
      <c r="O588" s="443"/>
      <c r="P588" s="385"/>
      <c r="Q588" s="385"/>
      <c r="R588" s="385"/>
      <c r="S588" s="385"/>
      <c r="T588" s="385"/>
      <c r="U588" s="385"/>
      <c r="V588" s="385"/>
      <c r="W588" s="385"/>
      <c r="X588" s="385"/>
      <c r="Y588" s="385"/>
      <c r="Z588" s="385"/>
      <c r="AA588" s="385"/>
      <c r="AB588" s="385"/>
      <c r="AC588" s="385"/>
      <c r="AD588" s="385"/>
      <c r="AE588" s="385"/>
      <c r="AF588" s="385"/>
      <c r="AG588" s="385"/>
      <c r="AH588" s="385"/>
      <c r="AI588" s="385"/>
      <c r="AJ588" s="385"/>
      <c r="AK588" s="385"/>
      <c r="AL588" s="385"/>
      <c r="AM588" s="385"/>
      <c r="AN588" s="385"/>
      <c r="AO588" s="385"/>
      <c r="AP588" s="385"/>
      <c r="AQ588" s="385"/>
      <c r="AR588" s="385"/>
      <c r="AS588" s="385"/>
      <c r="AT588" s="385"/>
      <c r="AU588" s="385"/>
      <c r="AV588" s="385"/>
      <c r="AW588" s="385"/>
      <c r="AX588" s="385"/>
    </row>
    <row r="589" spans="1:50" ht="10.8" hidden="1" thickTop="1" x14ac:dyDescent="0.2">
      <c r="A589" s="385"/>
      <c r="B589" s="385"/>
      <c r="C589" s="385"/>
      <c r="D589" s="385"/>
      <c r="E589" s="385"/>
      <c r="F589" s="385"/>
      <c r="G589" s="385"/>
      <c r="H589" s="385"/>
      <c r="I589" s="442"/>
      <c r="J589" s="442"/>
      <c r="K589" s="442"/>
      <c r="L589" s="442"/>
      <c r="M589" s="442"/>
      <c r="N589" s="442"/>
      <c r="O589" s="443"/>
      <c r="P589" s="385"/>
      <c r="Q589" s="385"/>
      <c r="R589" s="385"/>
      <c r="S589" s="385"/>
      <c r="T589" s="385"/>
      <c r="U589" s="385"/>
      <c r="V589" s="385"/>
      <c r="W589" s="385"/>
      <c r="X589" s="385"/>
      <c r="Y589" s="385"/>
      <c r="Z589" s="385"/>
      <c r="AA589" s="385"/>
      <c r="AB589" s="385"/>
      <c r="AC589" s="385"/>
      <c r="AD589" s="385"/>
      <c r="AE589" s="385"/>
      <c r="AF589" s="385"/>
      <c r="AG589" s="385"/>
      <c r="AH589" s="385"/>
      <c r="AI589" s="385"/>
      <c r="AJ589" s="385"/>
      <c r="AK589" s="385"/>
      <c r="AL589" s="385"/>
      <c r="AM589" s="385"/>
      <c r="AN589" s="385"/>
      <c r="AO589" s="385"/>
      <c r="AP589" s="385"/>
      <c r="AQ589" s="385"/>
      <c r="AR589" s="385"/>
      <c r="AS589" s="385"/>
      <c r="AT589" s="385"/>
      <c r="AU589" s="385"/>
      <c r="AV589" s="385"/>
      <c r="AW589" s="385"/>
      <c r="AX589" s="385"/>
    </row>
    <row r="590" spans="1:50" ht="10.8" hidden="1" thickTop="1" x14ac:dyDescent="0.2">
      <c r="A590" s="385"/>
      <c r="B590" s="385"/>
      <c r="C590" s="385"/>
      <c r="D590" s="385"/>
      <c r="E590" s="385"/>
      <c r="F590" s="385"/>
      <c r="G590" s="385"/>
      <c r="H590" s="385"/>
      <c r="I590" s="442"/>
      <c r="J590" s="442"/>
      <c r="K590" s="442"/>
      <c r="L590" s="442"/>
      <c r="M590" s="442"/>
      <c r="N590" s="442"/>
      <c r="O590" s="443"/>
      <c r="P590" s="385"/>
      <c r="Q590" s="385"/>
      <c r="R590" s="385"/>
      <c r="S590" s="385"/>
      <c r="T590" s="385"/>
      <c r="U590" s="385"/>
      <c r="V590" s="385"/>
      <c r="W590" s="385"/>
      <c r="X590" s="385"/>
      <c r="Y590" s="385"/>
      <c r="Z590" s="385"/>
      <c r="AA590" s="385"/>
      <c r="AB590" s="385"/>
      <c r="AC590" s="385"/>
      <c r="AD590" s="385"/>
      <c r="AE590" s="385"/>
      <c r="AF590" s="385"/>
      <c r="AG590" s="385"/>
      <c r="AH590" s="385"/>
      <c r="AI590" s="385"/>
      <c r="AJ590" s="385"/>
      <c r="AK590" s="385"/>
      <c r="AL590" s="385"/>
      <c r="AM590" s="385"/>
      <c r="AN590" s="385"/>
      <c r="AO590" s="385"/>
      <c r="AP590" s="385"/>
      <c r="AQ590" s="385"/>
      <c r="AR590" s="385"/>
      <c r="AS590" s="385"/>
      <c r="AT590" s="385"/>
      <c r="AU590" s="385"/>
      <c r="AV590" s="385"/>
      <c r="AW590" s="385"/>
      <c r="AX590" s="385"/>
    </row>
    <row r="591" spans="1:50" ht="10.8" hidden="1" thickTop="1" x14ac:dyDescent="0.2">
      <c r="A591" s="385"/>
      <c r="B591" s="385"/>
      <c r="C591" s="385"/>
      <c r="D591" s="385"/>
      <c r="E591" s="385"/>
      <c r="F591" s="385"/>
      <c r="G591" s="385"/>
      <c r="H591" s="385"/>
      <c r="I591" s="442"/>
      <c r="J591" s="442"/>
      <c r="K591" s="442"/>
      <c r="L591" s="442"/>
      <c r="M591" s="442"/>
      <c r="N591" s="442"/>
      <c r="O591" s="443"/>
      <c r="P591" s="385"/>
      <c r="Q591" s="385"/>
      <c r="R591" s="385"/>
      <c r="S591" s="385"/>
      <c r="T591" s="385"/>
      <c r="U591" s="385"/>
      <c r="V591" s="385"/>
      <c r="W591" s="385"/>
      <c r="X591" s="385"/>
      <c r="Y591" s="385"/>
      <c r="Z591" s="385"/>
      <c r="AA591" s="385"/>
      <c r="AB591" s="385"/>
      <c r="AC591" s="385"/>
      <c r="AD591" s="385"/>
      <c r="AE591" s="385"/>
      <c r="AF591" s="385"/>
      <c r="AG591" s="385"/>
      <c r="AH591" s="385"/>
      <c r="AI591" s="385"/>
      <c r="AJ591" s="385"/>
      <c r="AK591" s="385"/>
      <c r="AL591" s="385"/>
      <c r="AM591" s="385"/>
      <c r="AN591" s="385"/>
      <c r="AO591" s="385"/>
      <c r="AP591" s="385"/>
      <c r="AQ591" s="385"/>
      <c r="AR591" s="385"/>
      <c r="AS591" s="385"/>
      <c r="AT591" s="385"/>
      <c r="AU591" s="385"/>
      <c r="AV591" s="385"/>
      <c r="AW591" s="385"/>
      <c r="AX591" s="385"/>
    </row>
    <row r="592" spans="1:50" ht="10.8" hidden="1" thickTop="1" x14ac:dyDescent="0.2">
      <c r="A592" s="385"/>
      <c r="B592" s="385"/>
      <c r="C592" s="385"/>
      <c r="D592" s="385"/>
      <c r="E592" s="385"/>
      <c r="F592" s="385"/>
      <c r="G592" s="385"/>
      <c r="H592" s="385"/>
      <c r="I592" s="442"/>
      <c r="J592" s="442"/>
      <c r="K592" s="442"/>
      <c r="L592" s="442"/>
      <c r="M592" s="442"/>
      <c r="N592" s="442"/>
      <c r="O592" s="443"/>
      <c r="P592" s="385"/>
      <c r="Q592" s="385"/>
      <c r="R592" s="385"/>
      <c r="S592" s="385"/>
      <c r="T592" s="385"/>
      <c r="U592" s="385"/>
      <c r="V592" s="385"/>
      <c r="W592" s="385"/>
      <c r="X592" s="385"/>
      <c r="Y592" s="385"/>
      <c r="Z592" s="385"/>
      <c r="AA592" s="385"/>
      <c r="AB592" s="385"/>
      <c r="AC592" s="385"/>
      <c r="AD592" s="385"/>
      <c r="AE592" s="385"/>
      <c r="AF592" s="385"/>
      <c r="AG592" s="385"/>
      <c r="AH592" s="385"/>
      <c r="AI592" s="385"/>
      <c r="AJ592" s="385"/>
      <c r="AK592" s="385"/>
      <c r="AL592" s="385"/>
      <c r="AM592" s="385"/>
      <c r="AN592" s="385"/>
      <c r="AO592" s="385"/>
      <c r="AP592" s="385"/>
      <c r="AQ592" s="385"/>
      <c r="AR592" s="385"/>
      <c r="AS592" s="385"/>
      <c r="AT592" s="385"/>
      <c r="AU592" s="385"/>
      <c r="AV592" s="385"/>
      <c r="AW592" s="385"/>
      <c r="AX592" s="385"/>
    </row>
    <row r="593" spans="1:50" ht="10.8" hidden="1" thickTop="1" x14ac:dyDescent="0.2">
      <c r="A593" s="385"/>
      <c r="B593" s="385"/>
      <c r="C593" s="385"/>
      <c r="D593" s="385"/>
      <c r="E593" s="385"/>
      <c r="F593" s="385"/>
      <c r="G593" s="385"/>
      <c r="H593" s="385"/>
      <c r="I593" s="442"/>
      <c r="J593" s="442"/>
      <c r="K593" s="442"/>
      <c r="L593" s="442"/>
      <c r="M593" s="442"/>
      <c r="N593" s="442"/>
      <c r="O593" s="443"/>
      <c r="P593" s="385"/>
      <c r="Q593" s="385"/>
      <c r="R593" s="385"/>
      <c r="S593" s="385"/>
      <c r="T593" s="385"/>
      <c r="U593" s="385"/>
      <c r="V593" s="385"/>
      <c r="W593" s="385"/>
      <c r="X593" s="385"/>
      <c r="Y593" s="385"/>
      <c r="Z593" s="385"/>
      <c r="AA593" s="385"/>
      <c r="AB593" s="385"/>
      <c r="AC593" s="385"/>
      <c r="AD593" s="385"/>
      <c r="AE593" s="385"/>
      <c r="AF593" s="385"/>
      <c r="AG593" s="385"/>
      <c r="AH593" s="385"/>
      <c r="AI593" s="385"/>
      <c r="AJ593" s="385"/>
      <c r="AK593" s="385"/>
      <c r="AL593" s="385"/>
      <c r="AM593" s="385"/>
      <c r="AN593" s="385"/>
      <c r="AO593" s="385"/>
      <c r="AP593" s="385"/>
      <c r="AQ593" s="385"/>
      <c r="AR593" s="385"/>
      <c r="AS593" s="385"/>
      <c r="AT593" s="385"/>
      <c r="AU593" s="385"/>
      <c r="AV593" s="385"/>
      <c r="AW593" s="385"/>
      <c r="AX593" s="385"/>
    </row>
    <row r="594" spans="1:50" ht="10.8" hidden="1" thickTop="1" x14ac:dyDescent="0.2">
      <c r="A594" s="385"/>
      <c r="B594" s="385"/>
      <c r="C594" s="385"/>
      <c r="D594" s="385"/>
      <c r="E594" s="385"/>
      <c r="F594" s="385"/>
      <c r="G594" s="385"/>
      <c r="H594" s="385"/>
      <c r="I594" s="442"/>
      <c r="J594" s="442"/>
      <c r="K594" s="442"/>
      <c r="L594" s="442"/>
      <c r="M594" s="442"/>
      <c r="N594" s="442"/>
      <c r="O594" s="443"/>
      <c r="P594" s="385"/>
      <c r="Q594" s="385"/>
      <c r="R594" s="385"/>
      <c r="S594" s="385"/>
      <c r="T594" s="385"/>
      <c r="U594" s="385"/>
      <c r="V594" s="385"/>
      <c r="W594" s="385"/>
      <c r="X594" s="385"/>
      <c r="Y594" s="385"/>
      <c r="Z594" s="385"/>
      <c r="AA594" s="385"/>
      <c r="AB594" s="385"/>
      <c r="AC594" s="385"/>
      <c r="AD594" s="385"/>
      <c r="AE594" s="385"/>
      <c r="AF594" s="385"/>
      <c r="AG594" s="385"/>
      <c r="AH594" s="385"/>
      <c r="AI594" s="385"/>
      <c r="AJ594" s="385"/>
      <c r="AK594" s="385"/>
      <c r="AL594" s="385"/>
      <c r="AM594" s="385"/>
      <c r="AN594" s="385"/>
      <c r="AO594" s="385"/>
      <c r="AP594" s="385"/>
      <c r="AQ594" s="385"/>
      <c r="AR594" s="385"/>
      <c r="AS594" s="385"/>
      <c r="AT594" s="385"/>
      <c r="AU594" s="385"/>
      <c r="AV594" s="385"/>
      <c r="AW594" s="385"/>
      <c r="AX594" s="385"/>
    </row>
    <row r="595" spans="1:50" ht="10.8" hidden="1" thickTop="1" x14ac:dyDescent="0.2">
      <c r="A595" s="385"/>
      <c r="B595" s="385"/>
      <c r="C595" s="385"/>
      <c r="D595" s="385"/>
      <c r="E595" s="385"/>
      <c r="F595" s="385"/>
      <c r="G595" s="385"/>
      <c r="H595" s="385"/>
      <c r="I595" s="442"/>
      <c r="J595" s="442"/>
      <c r="K595" s="442"/>
      <c r="L595" s="442"/>
      <c r="M595" s="442"/>
      <c r="N595" s="442"/>
      <c r="O595" s="443"/>
      <c r="P595" s="385"/>
      <c r="Q595" s="385"/>
      <c r="R595" s="385"/>
      <c r="S595" s="385"/>
      <c r="T595" s="385"/>
      <c r="U595" s="385"/>
      <c r="V595" s="385"/>
      <c r="W595" s="385"/>
      <c r="X595" s="385"/>
      <c r="Y595" s="385"/>
      <c r="Z595" s="385"/>
      <c r="AA595" s="385"/>
      <c r="AB595" s="385"/>
      <c r="AC595" s="385"/>
      <c r="AD595" s="385"/>
      <c r="AE595" s="385"/>
      <c r="AF595" s="385"/>
      <c r="AG595" s="385"/>
      <c r="AH595" s="385"/>
      <c r="AI595" s="385"/>
      <c r="AJ595" s="385"/>
      <c r="AK595" s="385"/>
      <c r="AL595" s="385"/>
      <c r="AM595" s="385"/>
      <c r="AN595" s="385"/>
      <c r="AO595" s="385"/>
      <c r="AP595" s="385"/>
      <c r="AQ595" s="385"/>
      <c r="AR595" s="385"/>
      <c r="AS595" s="385"/>
      <c r="AT595" s="385"/>
      <c r="AU595" s="385"/>
      <c r="AV595" s="385"/>
      <c r="AW595" s="385"/>
      <c r="AX595" s="385"/>
    </row>
    <row r="596" spans="1:50" ht="10.8" hidden="1" thickTop="1" x14ac:dyDescent="0.2">
      <c r="A596" s="385"/>
      <c r="B596" s="385"/>
      <c r="C596" s="385"/>
      <c r="D596" s="385"/>
      <c r="E596" s="385"/>
      <c r="F596" s="385"/>
      <c r="G596" s="385"/>
      <c r="H596" s="385"/>
      <c r="I596" s="442"/>
      <c r="J596" s="442"/>
      <c r="K596" s="442"/>
      <c r="L596" s="442"/>
      <c r="M596" s="442"/>
      <c r="N596" s="442"/>
      <c r="O596" s="443"/>
      <c r="P596" s="385"/>
      <c r="Q596" s="385"/>
      <c r="R596" s="385"/>
      <c r="S596" s="385"/>
      <c r="T596" s="385"/>
      <c r="U596" s="385"/>
      <c r="V596" s="385"/>
      <c r="W596" s="385"/>
      <c r="X596" s="385"/>
      <c r="Y596" s="385"/>
      <c r="Z596" s="385"/>
      <c r="AA596" s="385"/>
      <c r="AB596" s="385"/>
      <c r="AC596" s="385"/>
      <c r="AD596" s="385"/>
      <c r="AE596" s="385"/>
      <c r="AF596" s="385"/>
      <c r="AG596" s="385"/>
      <c r="AH596" s="385"/>
      <c r="AI596" s="385"/>
      <c r="AJ596" s="385"/>
      <c r="AK596" s="385"/>
      <c r="AL596" s="385"/>
      <c r="AM596" s="385"/>
      <c r="AN596" s="385"/>
      <c r="AO596" s="385"/>
      <c r="AP596" s="385"/>
      <c r="AQ596" s="385"/>
      <c r="AR596" s="385"/>
      <c r="AS596" s="385"/>
      <c r="AT596" s="385"/>
      <c r="AU596" s="385"/>
      <c r="AV596" s="385"/>
      <c r="AW596" s="385"/>
      <c r="AX596" s="385"/>
    </row>
    <row r="597" spans="1:50" ht="10.8" hidden="1" thickTop="1" x14ac:dyDescent="0.2">
      <c r="A597" s="385"/>
      <c r="B597" s="385"/>
      <c r="C597" s="385"/>
      <c r="D597" s="385"/>
      <c r="E597" s="385"/>
      <c r="F597" s="385"/>
      <c r="G597" s="385"/>
      <c r="H597" s="385"/>
      <c r="I597" s="442"/>
      <c r="J597" s="442"/>
      <c r="K597" s="442"/>
      <c r="L597" s="442"/>
      <c r="M597" s="442"/>
      <c r="N597" s="442"/>
      <c r="O597" s="443"/>
      <c r="P597" s="385"/>
      <c r="Q597" s="385"/>
      <c r="R597" s="385"/>
      <c r="S597" s="385"/>
      <c r="T597" s="385"/>
      <c r="U597" s="385"/>
      <c r="V597" s="385"/>
      <c r="W597" s="385"/>
      <c r="X597" s="385"/>
      <c r="Y597" s="385"/>
      <c r="Z597" s="385"/>
      <c r="AA597" s="385"/>
      <c r="AB597" s="385"/>
      <c r="AC597" s="385"/>
      <c r="AD597" s="385"/>
      <c r="AE597" s="385"/>
      <c r="AF597" s="385"/>
      <c r="AG597" s="385"/>
      <c r="AH597" s="385"/>
      <c r="AI597" s="385"/>
      <c r="AJ597" s="385"/>
      <c r="AK597" s="385"/>
      <c r="AL597" s="385"/>
      <c r="AM597" s="385"/>
      <c r="AN597" s="385"/>
      <c r="AO597" s="385"/>
      <c r="AP597" s="385"/>
      <c r="AQ597" s="385"/>
      <c r="AR597" s="385"/>
      <c r="AS597" s="385"/>
      <c r="AT597" s="385"/>
      <c r="AU597" s="385"/>
      <c r="AV597" s="385"/>
      <c r="AW597" s="385"/>
      <c r="AX597" s="385"/>
    </row>
    <row r="598" spans="1:50" ht="10.8" hidden="1" thickTop="1" x14ac:dyDescent="0.2">
      <c r="A598" s="385"/>
      <c r="B598" s="385"/>
      <c r="C598" s="385"/>
      <c r="D598" s="385"/>
      <c r="E598" s="385"/>
      <c r="F598" s="385"/>
      <c r="G598" s="385"/>
      <c r="H598" s="385"/>
      <c r="I598" s="442"/>
      <c r="J598" s="442"/>
      <c r="K598" s="442"/>
      <c r="L598" s="442"/>
      <c r="M598" s="442"/>
      <c r="N598" s="442"/>
      <c r="O598" s="443"/>
      <c r="P598" s="385"/>
      <c r="Q598" s="385"/>
      <c r="R598" s="385"/>
      <c r="S598" s="385"/>
      <c r="T598" s="385"/>
      <c r="U598" s="385"/>
      <c r="V598" s="385"/>
      <c r="W598" s="385"/>
      <c r="X598" s="385"/>
      <c r="Y598" s="385"/>
      <c r="Z598" s="385"/>
      <c r="AA598" s="385"/>
      <c r="AB598" s="385"/>
      <c r="AC598" s="385"/>
      <c r="AD598" s="385"/>
      <c r="AE598" s="385"/>
      <c r="AF598" s="385"/>
      <c r="AG598" s="385"/>
      <c r="AH598" s="385"/>
      <c r="AI598" s="385"/>
      <c r="AJ598" s="385"/>
      <c r="AK598" s="385"/>
      <c r="AL598" s="385"/>
      <c r="AM598" s="385"/>
      <c r="AN598" s="385"/>
      <c r="AO598" s="385"/>
      <c r="AP598" s="385"/>
      <c r="AQ598" s="385"/>
      <c r="AR598" s="385"/>
      <c r="AS598" s="385"/>
      <c r="AT598" s="385"/>
      <c r="AU598" s="385"/>
      <c r="AV598" s="385"/>
      <c r="AW598" s="385"/>
      <c r="AX598" s="385"/>
    </row>
    <row r="599" spans="1:50" ht="10.8" hidden="1" thickTop="1" x14ac:dyDescent="0.2">
      <c r="A599" s="385"/>
      <c r="B599" s="385"/>
      <c r="C599" s="385"/>
      <c r="D599" s="385"/>
      <c r="E599" s="385"/>
      <c r="F599" s="385"/>
      <c r="G599" s="385"/>
      <c r="H599" s="385"/>
      <c r="I599" s="442"/>
      <c r="J599" s="442"/>
      <c r="K599" s="442"/>
      <c r="L599" s="442"/>
      <c r="M599" s="442"/>
      <c r="N599" s="442"/>
      <c r="O599" s="443"/>
      <c r="P599" s="385"/>
      <c r="Q599" s="385"/>
      <c r="R599" s="385"/>
      <c r="S599" s="385"/>
      <c r="T599" s="385"/>
      <c r="U599" s="385"/>
      <c r="V599" s="385"/>
      <c r="W599" s="385"/>
      <c r="X599" s="385"/>
      <c r="Y599" s="385"/>
      <c r="Z599" s="385"/>
      <c r="AA599" s="385"/>
      <c r="AB599" s="385"/>
      <c r="AC599" s="385"/>
      <c r="AD599" s="385"/>
      <c r="AE599" s="385"/>
      <c r="AF599" s="385"/>
      <c r="AG599" s="385"/>
      <c r="AH599" s="385"/>
      <c r="AI599" s="385"/>
      <c r="AJ599" s="385"/>
      <c r="AK599" s="385"/>
      <c r="AL599" s="385"/>
      <c r="AM599" s="385"/>
      <c r="AN599" s="385"/>
      <c r="AO599" s="385"/>
      <c r="AP599" s="385"/>
      <c r="AQ599" s="385"/>
      <c r="AR599" s="385"/>
      <c r="AS599" s="385"/>
      <c r="AT599" s="385"/>
      <c r="AU599" s="385"/>
      <c r="AV599" s="385"/>
      <c r="AW599" s="385"/>
      <c r="AX599" s="385"/>
    </row>
    <row r="600" spans="1:50" ht="10.8" hidden="1" thickTop="1" x14ac:dyDescent="0.2">
      <c r="A600" s="385"/>
      <c r="B600" s="385"/>
      <c r="C600" s="385"/>
      <c r="D600" s="385"/>
      <c r="E600" s="385"/>
      <c r="F600" s="385"/>
      <c r="G600" s="385"/>
      <c r="H600" s="385"/>
      <c r="I600" s="442"/>
      <c r="J600" s="442"/>
      <c r="K600" s="442"/>
      <c r="L600" s="442"/>
      <c r="M600" s="442"/>
      <c r="N600" s="442"/>
      <c r="O600" s="443"/>
      <c r="P600" s="385"/>
      <c r="Q600" s="385"/>
      <c r="R600" s="385"/>
      <c r="S600" s="385"/>
      <c r="T600" s="385"/>
      <c r="U600" s="385"/>
      <c r="V600" s="385"/>
      <c r="W600" s="385"/>
      <c r="X600" s="385"/>
      <c r="Y600" s="385"/>
      <c r="Z600" s="385"/>
      <c r="AA600" s="385"/>
      <c r="AB600" s="385"/>
      <c r="AC600" s="385"/>
      <c r="AD600" s="385"/>
      <c r="AE600" s="385"/>
      <c r="AF600" s="385"/>
      <c r="AG600" s="385"/>
      <c r="AH600" s="385"/>
      <c r="AI600" s="385"/>
      <c r="AJ600" s="385"/>
      <c r="AK600" s="385"/>
      <c r="AL600" s="385"/>
      <c r="AM600" s="385"/>
      <c r="AN600" s="385"/>
      <c r="AO600" s="385"/>
      <c r="AP600" s="385"/>
      <c r="AQ600" s="385"/>
      <c r="AR600" s="385"/>
      <c r="AS600" s="385"/>
      <c r="AT600" s="385"/>
      <c r="AU600" s="385"/>
      <c r="AV600" s="385"/>
      <c r="AW600" s="385"/>
      <c r="AX600" s="385"/>
    </row>
    <row r="601" spans="1:50" ht="10.8" hidden="1" thickTop="1" x14ac:dyDescent="0.2">
      <c r="A601" s="385"/>
      <c r="B601" s="385"/>
      <c r="C601" s="385"/>
      <c r="D601" s="385"/>
      <c r="E601" s="385"/>
      <c r="F601" s="385"/>
      <c r="G601" s="385"/>
      <c r="H601" s="385"/>
      <c r="I601" s="442"/>
      <c r="J601" s="442"/>
      <c r="K601" s="442"/>
      <c r="L601" s="442"/>
      <c r="M601" s="442"/>
      <c r="N601" s="442"/>
      <c r="O601" s="443"/>
      <c r="P601" s="385"/>
      <c r="Q601" s="385"/>
      <c r="R601" s="385"/>
      <c r="S601" s="385"/>
      <c r="T601" s="385"/>
      <c r="U601" s="385"/>
      <c r="V601" s="385"/>
      <c r="W601" s="385"/>
      <c r="X601" s="385"/>
      <c r="Y601" s="385"/>
      <c r="Z601" s="385"/>
      <c r="AA601" s="385"/>
      <c r="AB601" s="385"/>
      <c r="AC601" s="385"/>
      <c r="AD601" s="385"/>
      <c r="AE601" s="385"/>
      <c r="AF601" s="385"/>
      <c r="AG601" s="385"/>
      <c r="AH601" s="385"/>
      <c r="AI601" s="385"/>
      <c r="AJ601" s="385"/>
      <c r="AK601" s="385"/>
      <c r="AL601" s="385"/>
      <c r="AM601" s="385"/>
      <c r="AN601" s="385"/>
      <c r="AO601" s="385"/>
      <c r="AP601" s="385"/>
      <c r="AQ601" s="385"/>
      <c r="AR601" s="385"/>
      <c r="AS601" s="385"/>
      <c r="AT601" s="385"/>
      <c r="AU601" s="385"/>
      <c r="AV601" s="385"/>
      <c r="AW601" s="385"/>
      <c r="AX601" s="385"/>
    </row>
    <row r="602" spans="1:50" ht="10.8" hidden="1" thickTop="1" x14ac:dyDescent="0.2">
      <c r="A602" s="385"/>
      <c r="B602" s="385"/>
      <c r="C602" s="385"/>
      <c r="D602" s="385"/>
      <c r="E602" s="385"/>
      <c r="F602" s="385"/>
      <c r="G602" s="385"/>
      <c r="H602" s="385"/>
      <c r="I602" s="442"/>
      <c r="J602" s="442"/>
      <c r="K602" s="442"/>
      <c r="L602" s="442"/>
      <c r="M602" s="442"/>
      <c r="N602" s="442"/>
      <c r="O602" s="443"/>
      <c r="P602" s="385"/>
      <c r="Q602" s="385"/>
      <c r="R602" s="385"/>
      <c r="S602" s="385"/>
      <c r="T602" s="385"/>
      <c r="U602" s="385"/>
      <c r="V602" s="385"/>
      <c r="W602" s="385"/>
      <c r="X602" s="385"/>
      <c r="Y602" s="385"/>
      <c r="Z602" s="385"/>
      <c r="AA602" s="385"/>
      <c r="AB602" s="385"/>
      <c r="AC602" s="385"/>
      <c r="AD602" s="385"/>
      <c r="AE602" s="385"/>
      <c r="AF602" s="385"/>
      <c r="AG602" s="385"/>
      <c r="AH602" s="385"/>
      <c r="AI602" s="385"/>
      <c r="AJ602" s="385"/>
      <c r="AK602" s="385"/>
      <c r="AL602" s="385"/>
      <c r="AM602" s="385"/>
      <c r="AN602" s="385"/>
      <c r="AO602" s="385"/>
      <c r="AP602" s="385"/>
      <c r="AQ602" s="385"/>
      <c r="AR602" s="385"/>
      <c r="AS602" s="385"/>
      <c r="AT602" s="385"/>
      <c r="AU602" s="385"/>
      <c r="AV602" s="385"/>
      <c r="AW602" s="385"/>
      <c r="AX602" s="385"/>
    </row>
    <row r="603" spans="1:50" ht="10.8" hidden="1" thickTop="1" x14ac:dyDescent="0.2">
      <c r="A603" s="385"/>
      <c r="B603" s="385"/>
      <c r="C603" s="385"/>
      <c r="D603" s="385"/>
      <c r="E603" s="385"/>
      <c r="F603" s="385"/>
      <c r="G603" s="385"/>
      <c r="H603" s="385"/>
      <c r="I603" s="442"/>
      <c r="J603" s="442"/>
      <c r="K603" s="442"/>
      <c r="L603" s="442"/>
      <c r="M603" s="442"/>
      <c r="N603" s="442"/>
      <c r="O603" s="443"/>
      <c r="P603" s="385"/>
      <c r="Q603" s="385"/>
      <c r="R603" s="385"/>
      <c r="S603" s="385"/>
      <c r="T603" s="385"/>
      <c r="U603" s="385"/>
      <c r="V603" s="385"/>
      <c r="W603" s="385"/>
      <c r="X603" s="385"/>
      <c r="Y603" s="385"/>
      <c r="Z603" s="385"/>
      <c r="AA603" s="385"/>
      <c r="AB603" s="385"/>
      <c r="AC603" s="385"/>
      <c r="AD603" s="385"/>
      <c r="AE603" s="385"/>
      <c r="AF603" s="385"/>
      <c r="AG603" s="385"/>
      <c r="AH603" s="385"/>
      <c r="AI603" s="385"/>
      <c r="AJ603" s="385"/>
      <c r="AK603" s="385"/>
      <c r="AL603" s="385"/>
      <c r="AM603" s="385"/>
      <c r="AN603" s="385"/>
      <c r="AO603" s="385"/>
      <c r="AP603" s="385"/>
      <c r="AQ603" s="385"/>
      <c r="AR603" s="385"/>
      <c r="AS603" s="385"/>
      <c r="AT603" s="385"/>
      <c r="AU603" s="385"/>
      <c r="AV603" s="385"/>
      <c r="AW603" s="385"/>
      <c r="AX603" s="385"/>
    </row>
    <row r="604" spans="1:50" ht="10.8" hidden="1" thickTop="1" x14ac:dyDescent="0.2">
      <c r="A604" s="385"/>
      <c r="B604" s="385"/>
      <c r="C604" s="385"/>
      <c r="D604" s="385"/>
      <c r="E604" s="385"/>
      <c r="F604" s="385"/>
      <c r="G604" s="385"/>
      <c r="H604" s="385"/>
      <c r="I604" s="442"/>
      <c r="J604" s="442"/>
      <c r="K604" s="442"/>
      <c r="L604" s="442"/>
      <c r="M604" s="442"/>
      <c r="N604" s="442"/>
      <c r="O604" s="443"/>
      <c r="P604" s="385"/>
      <c r="Q604" s="385"/>
      <c r="R604" s="385"/>
      <c r="S604" s="385"/>
      <c r="T604" s="385"/>
      <c r="U604" s="385"/>
      <c r="V604" s="385"/>
      <c r="W604" s="385"/>
      <c r="X604" s="385"/>
      <c r="Y604" s="385"/>
      <c r="Z604" s="385"/>
      <c r="AA604" s="385"/>
      <c r="AB604" s="385"/>
      <c r="AC604" s="385"/>
      <c r="AD604" s="385"/>
      <c r="AE604" s="385"/>
      <c r="AF604" s="385"/>
      <c r="AG604" s="385"/>
      <c r="AH604" s="385"/>
      <c r="AI604" s="385"/>
      <c r="AJ604" s="385"/>
      <c r="AK604" s="385"/>
      <c r="AL604" s="385"/>
      <c r="AM604" s="385"/>
      <c r="AN604" s="385"/>
      <c r="AO604" s="385"/>
      <c r="AP604" s="385"/>
      <c r="AQ604" s="385"/>
      <c r="AR604" s="385"/>
      <c r="AS604" s="385"/>
      <c r="AT604" s="385"/>
      <c r="AU604" s="385"/>
      <c r="AV604" s="385"/>
      <c r="AW604" s="385"/>
      <c r="AX604" s="385"/>
    </row>
    <row r="605" spans="1:50" ht="10.8" hidden="1" thickTop="1" x14ac:dyDescent="0.2">
      <c r="A605" s="385"/>
      <c r="B605" s="385"/>
      <c r="C605" s="385"/>
      <c r="D605" s="385"/>
      <c r="E605" s="385"/>
      <c r="F605" s="385"/>
      <c r="G605" s="385"/>
      <c r="H605" s="385"/>
      <c r="I605" s="442"/>
      <c r="J605" s="442"/>
      <c r="K605" s="442"/>
      <c r="L605" s="442"/>
      <c r="M605" s="442"/>
      <c r="N605" s="442"/>
      <c r="O605" s="443"/>
      <c r="P605" s="385"/>
      <c r="Q605" s="385"/>
      <c r="R605" s="385"/>
      <c r="S605" s="385"/>
      <c r="T605" s="385"/>
      <c r="U605" s="385"/>
      <c r="V605" s="385"/>
      <c r="W605" s="385"/>
      <c r="X605" s="385"/>
      <c r="Y605" s="385"/>
      <c r="Z605" s="385"/>
      <c r="AA605" s="385"/>
      <c r="AB605" s="385"/>
      <c r="AC605" s="385"/>
      <c r="AD605" s="385"/>
      <c r="AE605" s="385"/>
      <c r="AF605" s="385"/>
      <c r="AG605" s="385"/>
      <c r="AH605" s="385"/>
      <c r="AI605" s="385"/>
      <c r="AJ605" s="385"/>
      <c r="AK605" s="385"/>
      <c r="AL605" s="385"/>
      <c r="AM605" s="385"/>
      <c r="AN605" s="385"/>
      <c r="AO605" s="385"/>
      <c r="AP605" s="385"/>
      <c r="AQ605" s="385"/>
      <c r="AR605" s="385"/>
      <c r="AS605" s="385"/>
      <c r="AT605" s="385"/>
      <c r="AU605" s="385"/>
      <c r="AV605" s="385"/>
      <c r="AW605" s="385"/>
      <c r="AX605" s="385"/>
    </row>
    <row r="606" spans="1:50" ht="10.8" hidden="1" thickTop="1" x14ac:dyDescent="0.2">
      <c r="A606" s="385"/>
      <c r="B606" s="385"/>
      <c r="C606" s="385"/>
      <c r="D606" s="385"/>
      <c r="E606" s="385"/>
      <c r="F606" s="385"/>
      <c r="G606" s="385"/>
      <c r="H606" s="385"/>
      <c r="I606" s="442"/>
      <c r="J606" s="442"/>
      <c r="K606" s="442"/>
      <c r="L606" s="442"/>
      <c r="M606" s="442"/>
      <c r="N606" s="442"/>
      <c r="O606" s="443"/>
      <c r="P606" s="385"/>
      <c r="Q606" s="385"/>
      <c r="R606" s="385"/>
      <c r="S606" s="385"/>
      <c r="T606" s="385"/>
      <c r="U606" s="385"/>
      <c r="V606" s="385"/>
      <c r="W606" s="385"/>
      <c r="X606" s="385"/>
      <c r="Y606" s="385"/>
      <c r="Z606" s="385"/>
      <c r="AA606" s="385"/>
      <c r="AB606" s="385"/>
      <c r="AC606" s="385"/>
      <c r="AD606" s="385"/>
      <c r="AE606" s="385"/>
      <c r="AF606" s="385"/>
      <c r="AG606" s="385"/>
      <c r="AH606" s="385"/>
      <c r="AI606" s="385"/>
      <c r="AJ606" s="385"/>
      <c r="AK606" s="385"/>
      <c r="AL606" s="385"/>
      <c r="AM606" s="385"/>
      <c r="AN606" s="385"/>
      <c r="AO606" s="385"/>
      <c r="AP606" s="385"/>
      <c r="AQ606" s="385"/>
      <c r="AR606" s="385"/>
      <c r="AS606" s="385"/>
      <c r="AT606" s="385"/>
      <c r="AU606" s="385"/>
      <c r="AV606" s="385"/>
      <c r="AW606" s="385"/>
      <c r="AX606" s="385"/>
    </row>
    <row r="607" spans="1:50" ht="10.8" hidden="1" thickTop="1" x14ac:dyDescent="0.2">
      <c r="A607" s="385"/>
      <c r="B607" s="385"/>
      <c r="C607" s="385"/>
      <c r="D607" s="385"/>
      <c r="E607" s="385"/>
      <c r="F607" s="385"/>
      <c r="G607" s="385"/>
      <c r="H607" s="385"/>
      <c r="I607" s="442"/>
      <c r="J607" s="442"/>
      <c r="K607" s="442"/>
      <c r="L607" s="442"/>
      <c r="M607" s="442"/>
      <c r="N607" s="442"/>
      <c r="O607" s="443"/>
      <c r="P607" s="385"/>
      <c r="Q607" s="385"/>
      <c r="R607" s="385"/>
      <c r="S607" s="385"/>
      <c r="T607" s="385"/>
      <c r="U607" s="385"/>
      <c r="V607" s="385"/>
      <c r="W607" s="385"/>
      <c r="X607" s="385"/>
      <c r="Y607" s="385"/>
      <c r="Z607" s="385"/>
      <c r="AA607" s="385"/>
      <c r="AB607" s="385"/>
      <c r="AC607" s="385"/>
      <c r="AD607" s="385"/>
      <c r="AE607" s="385"/>
      <c r="AF607" s="385"/>
      <c r="AG607" s="385"/>
      <c r="AH607" s="385"/>
      <c r="AI607" s="385"/>
      <c r="AJ607" s="385"/>
      <c r="AK607" s="385"/>
      <c r="AL607" s="385"/>
      <c r="AM607" s="385"/>
      <c r="AN607" s="385"/>
      <c r="AO607" s="385"/>
      <c r="AP607" s="385"/>
      <c r="AQ607" s="385"/>
      <c r="AR607" s="385"/>
      <c r="AS607" s="385"/>
      <c r="AT607" s="385"/>
      <c r="AU607" s="385"/>
      <c r="AV607" s="385"/>
      <c r="AW607" s="385"/>
      <c r="AX607" s="385"/>
    </row>
    <row r="608" spans="1:50" ht="10.8" hidden="1" thickTop="1" x14ac:dyDescent="0.2">
      <c r="A608" s="385"/>
      <c r="B608" s="385"/>
      <c r="C608" s="385"/>
      <c r="D608" s="385"/>
      <c r="E608" s="385"/>
      <c r="F608" s="385"/>
      <c r="G608" s="385"/>
      <c r="H608" s="385"/>
      <c r="I608" s="442"/>
      <c r="J608" s="442"/>
      <c r="K608" s="442"/>
      <c r="L608" s="442"/>
      <c r="M608" s="442"/>
      <c r="N608" s="442"/>
      <c r="O608" s="443"/>
      <c r="P608" s="385"/>
      <c r="Q608" s="385"/>
      <c r="R608" s="385"/>
      <c r="S608" s="385"/>
      <c r="T608" s="385"/>
      <c r="U608" s="385"/>
      <c r="V608" s="385"/>
      <c r="W608" s="385"/>
      <c r="X608" s="385"/>
      <c r="Y608" s="385"/>
      <c r="Z608" s="385"/>
      <c r="AA608" s="385"/>
      <c r="AB608" s="385"/>
      <c r="AC608" s="385"/>
      <c r="AD608" s="385"/>
      <c r="AE608" s="385"/>
      <c r="AF608" s="385"/>
      <c r="AG608" s="385"/>
      <c r="AH608" s="385"/>
      <c r="AI608" s="385"/>
      <c r="AJ608" s="385"/>
      <c r="AK608" s="385"/>
      <c r="AL608" s="385"/>
      <c r="AM608" s="385"/>
      <c r="AN608" s="385"/>
      <c r="AO608" s="385"/>
      <c r="AP608" s="385"/>
      <c r="AQ608" s="385"/>
      <c r="AR608" s="385"/>
      <c r="AS608" s="385"/>
      <c r="AT608" s="385"/>
      <c r="AU608" s="385"/>
      <c r="AV608" s="385"/>
      <c r="AW608" s="385"/>
      <c r="AX608" s="385"/>
    </row>
    <row r="609" spans="1:50" ht="10.8" hidden="1" thickTop="1" x14ac:dyDescent="0.2">
      <c r="A609" s="385"/>
      <c r="B609" s="385"/>
      <c r="C609" s="385"/>
      <c r="D609" s="385"/>
      <c r="E609" s="385"/>
      <c r="F609" s="385"/>
      <c r="G609" s="385"/>
      <c r="H609" s="385"/>
      <c r="I609" s="442"/>
      <c r="J609" s="442"/>
      <c r="K609" s="442"/>
      <c r="L609" s="442"/>
      <c r="M609" s="442"/>
      <c r="N609" s="442"/>
      <c r="O609" s="443"/>
      <c r="P609" s="385"/>
      <c r="Q609" s="385"/>
      <c r="R609" s="385"/>
      <c r="S609" s="385"/>
      <c r="T609" s="385"/>
      <c r="U609" s="385"/>
      <c r="V609" s="385"/>
      <c r="W609" s="385"/>
      <c r="X609" s="385"/>
      <c r="Y609" s="385"/>
      <c r="Z609" s="385"/>
      <c r="AA609" s="385"/>
      <c r="AB609" s="385"/>
      <c r="AC609" s="385"/>
      <c r="AD609" s="385"/>
      <c r="AE609" s="385"/>
      <c r="AF609" s="385"/>
      <c r="AG609" s="385"/>
      <c r="AH609" s="385"/>
      <c r="AI609" s="385"/>
      <c r="AJ609" s="385"/>
      <c r="AK609" s="385"/>
      <c r="AL609" s="385"/>
      <c r="AM609" s="385"/>
      <c r="AN609" s="385"/>
      <c r="AO609" s="385"/>
      <c r="AP609" s="385"/>
      <c r="AQ609" s="385"/>
      <c r="AR609" s="385"/>
      <c r="AS609" s="385"/>
      <c r="AT609" s="385"/>
      <c r="AU609" s="385"/>
      <c r="AV609" s="385"/>
      <c r="AW609" s="385"/>
      <c r="AX609" s="385"/>
    </row>
    <row r="610" spans="1:50" ht="10.8" hidden="1" thickTop="1" x14ac:dyDescent="0.2">
      <c r="A610" s="385"/>
      <c r="B610" s="385"/>
      <c r="C610" s="385"/>
      <c r="D610" s="385"/>
      <c r="E610" s="385"/>
      <c r="F610" s="385"/>
      <c r="G610" s="385"/>
      <c r="H610" s="385"/>
      <c r="I610" s="442"/>
      <c r="J610" s="442"/>
      <c r="K610" s="442"/>
      <c r="L610" s="442"/>
      <c r="M610" s="442"/>
      <c r="N610" s="442"/>
      <c r="O610" s="443"/>
      <c r="P610" s="385"/>
      <c r="Q610" s="385"/>
      <c r="R610" s="385"/>
      <c r="S610" s="385"/>
      <c r="T610" s="385"/>
      <c r="U610" s="385"/>
      <c r="V610" s="385"/>
      <c r="W610" s="385"/>
      <c r="X610" s="385"/>
      <c r="Y610" s="385"/>
      <c r="Z610" s="385"/>
      <c r="AA610" s="385"/>
      <c r="AB610" s="385"/>
      <c r="AC610" s="385"/>
      <c r="AD610" s="385"/>
      <c r="AE610" s="385"/>
      <c r="AF610" s="385"/>
      <c r="AG610" s="385"/>
      <c r="AH610" s="385"/>
      <c r="AI610" s="385"/>
      <c r="AJ610" s="385"/>
      <c r="AK610" s="385"/>
      <c r="AL610" s="385"/>
      <c r="AM610" s="385"/>
      <c r="AN610" s="385"/>
      <c r="AO610" s="385"/>
      <c r="AP610" s="385"/>
      <c r="AQ610" s="385"/>
      <c r="AR610" s="385"/>
      <c r="AS610" s="385"/>
      <c r="AT610" s="385"/>
      <c r="AU610" s="385"/>
      <c r="AV610" s="385"/>
      <c r="AW610" s="385"/>
      <c r="AX610" s="385"/>
    </row>
    <row r="611" spans="1:50" ht="10.8" hidden="1" thickTop="1" x14ac:dyDescent="0.2">
      <c r="A611" s="385"/>
      <c r="B611" s="385"/>
      <c r="C611" s="385"/>
      <c r="D611" s="385"/>
      <c r="E611" s="385"/>
      <c r="F611" s="385"/>
      <c r="G611" s="385"/>
      <c r="H611" s="385"/>
      <c r="I611" s="442"/>
      <c r="J611" s="442"/>
      <c r="K611" s="442"/>
      <c r="L611" s="442"/>
      <c r="M611" s="442"/>
      <c r="N611" s="442"/>
      <c r="O611" s="443"/>
      <c r="P611" s="385"/>
      <c r="Q611" s="385"/>
      <c r="R611" s="385"/>
      <c r="S611" s="385"/>
      <c r="T611" s="385"/>
      <c r="U611" s="385"/>
      <c r="V611" s="385"/>
      <c r="W611" s="385"/>
      <c r="X611" s="385"/>
      <c r="Y611" s="385"/>
      <c r="Z611" s="385"/>
      <c r="AA611" s="385"/>
      <c r="AB611" s="385"/>
      <c r="AC611" s="385"/>
      <c r="AD611" s="385"/>
      <c r="AE611" s="385"/>
      <c r="AF611" s="385"/>
      <c r="AG611" s="385"/>
      <c r="AH611" s="385"/>
      <c r="AI611" s="385"/>
      <c r="AJ611" s="385"/>
      <c r="AK611" s="385"/>
      <c r="AL611" s="385"/>
      <c r="AM611" s="385"/>
      <c r="AN611" s="385"/>
      <c r="AO611" s="385"/>
      <c r="AP611" s="385"/>
      <c r="AQ611" s="385"/>
      <c r="AR611" s="385"/>
      <c r="AS611" s="385"/>
      <c r="AT611" s="385"/>
      <c r="AU611" s="385"/>
      <c r="AV611" s="385"/>
      <c r="AW611" s="385"/>
      <c r="AX611" s="385"/>
    </row>
    <row r="612" spans="1:50" ht="10.8" hidden="1" thickTop="1" x14ac:dyDescent="0.2">
      <c r="A612" s="385"/>
      <c r="B612" s="385"/>
      <c r="C612" s="385"/>
      <c r="D612" s="385"/>
      <c r="E612" s="385"/>
      <c r="F612" s="385"/>
      <c r="G612" s="385"/>
      <c r="H612" s="385"/>
      <c r="I612" s="442"/>
      <c r="J612" s="442"/>
      <c r="K612" s="442"/>
      <c r="L612" s="442"/>
      <c r="M612" s="442"/>
      <c r="N612" s="442"/>
      <c r="O612" s="443"/>
      <c r="P612" s="385"/>
      <c r="Q612" s="385"/>
      <c r="R612" s="385"/>
      <c r="S612" s="385"/>
      <c r="T612" s="385"/>
      <c r="U612" s="385"/>
      <c r="V612" s="385"/>
      <c r="W612" s="385"/>
      <c r="X612" s="385"/>
      <c r="Y612" s="385"/>
      <c r="Z612" s="385"/>
      <c r="AA612" s="385"/>
      <c r="AB612" s="385"/>
      <c r="AC612" s="385"/>
      <c r="AD612" s="385"/>
      <c r="AE612" s="385"/>
      <c r="AF612" s="385"/>
      <c r="AG612" s="385"/>
      <c r="AH612" s="385"/>
      <c r="AI612" s="385"/>
      <c r="AJ612" s="385"/>
      <c r="AK612" s="385"/>
      <c r="AL612" s="385"/>
      <c r="AM612" s="385"/>
      <c r="AN612" s="385"/>
      <c r="AO612" s="385"/>
      <c r="AP612" s="385"/>
      <c r="AQ612" s="385"/>
      <c r="AR612" s="385"/>
      <c r="AS612" s="385"/>
      <c r="AT612" s="385"/>
      <c r="AU612" s="385"/>
      <c r="AV612" s="385"/>
      <c r="AW612" s="385"/>
      <c r="AX612" s="385"/>
    </row>
    <row r="613" spans="1:50" ht="10.8" hidden="1" thickTop="1" x14ac:dyDescent="0.2">
      <c r="A613" s="385"/>
      <c r="B613" s="385"/>
      <c r="C613" s="385"/>
      <c r="D613" s="385"/>
      <c r="E613" s="385"/>
      <c r="F613" s="385"/>
      <c r="G613" s="385"/>
      <c r="H613" s="385"/>
      <c r="I613" s="442"/>
      <c r="J613" s="442"/>
      <c r="K613" s="442"/>
      <c r="L613" s="442"/>
      <c r="M613" s="442"/>
      <c r="N613" s="442"/>
      <c r="O613" s="443"/>
      <c r="P613" s="385"/>
      <c r="Q613" s="385"/>
      <c r="R613" s="385"/>
      <c r="S613" s="385"/>
      <c r="T613" s="385"/>
      <c r="U613" s="385"/>
      <c r="V613" s="385"/>
      <c r="W613" s="385"/>
      <c r="X613" s="385"/>
      <c r="Y613" s="385"/>
      <c r="Z613" s="385"/>
      <c r="AA613" s="385"/>
      <c r="AB613" s="385"/>
      <c r="AC613" s="385"/>
      <c r="AD613" s="385"/>
      <c r="AE613" s="385"/>
      <c r="AF613" s="385"/>
      <c r="AG613" s="385"/>
      <c r="AH613" s="385"/>
      <c r="AI613" s="385"/>
      <c r="AJ613" s="385"/>
      <c r="AK613" s="385"/>
      <c r="AL613" s="385"/>
      <c r="AM613" s="385"/>
      <c r="AN613" s="385"/>
      <c r="AO613" s="385"/>
      <c r="AP613" s="385"/>
      <c r="AQ613" s="385"/>
      <c r="AR613" s="385"/>
      <c r="AS613" s="385"/>
      <c r="AT613" s="385"/>
      <c r="AU613" s="385"/>
      <c r="AV613" s="385"/>
      <c r="AW613" s="385"/>
      <c r="AX613" s="385"/>
    </row>
    <row r="614" spans="1:50" ht="10.8" hidden="1" thickTop="1" x14ac:dyDescent="0.2">
      <c r="A614" s="385"/>
      <c r="B614" s="385"/>
      <c r="C614" s="385"/>
      <c r="D614" s="385"/>
      <c r="E614" s="385"/>
      <c r="F614" s="385"/>
      <c r="G614" s="385"/>
      <c r="H614" s="385"/>
      <c r="I614" s="442"/>
      <c r="J614" s="442"/>
      <c r="K614" s="442"/>
      <c r="L614" s="442"/>
      <c r="M614" s="442"/>
      <c r="N614" s="442"/>
      <c r="O614" s="443"/>
      <c r="P614" s="385"/>
      <c r="Q614" s="385"/>
      <c r="R614" s="385"/>
      <c r="S614" s="385"/>
      <c r="T614" s="385"/>
      <c r="U614" s="385"/>
      <c r="V614" s="385"/>
      <c r="W614" s="385"/>
      <c r="X614" s="385"/>
      <c r="Y614" s="385"/>
      <c r="Z614" s="385"/>
      <c r="AA614" s="385"/>
      <c r="AB614" s="385"/>
      <c r="AC614" s="385"/>
      <c r="AD614" s="385"/>
      <c r="AE614" s="385"/>
      <c r="AF614" s="385"/>
      <c r="AG614" s="385"/>
      <c r="AH614" s="385"/>
      <c r="AI614" s="385"/>
      <c r="AJ614" s="385"/>
      <c r="AK614" s="385"/>
      <c r="AL614" s="385"/>
      <c r="AM614" s="385"/>
      <c r="AN614" s="385"/>
      <c r="AO614" s="385"/>
      <c r="AP614" s="385"/>
      <c r="AQ614" s="385"/>
      <c r="AR614" s="385"/>
      <c r="AS614" s="385"/>
      <c r="AT614" s="385"/>
      <c r="AU614" s="385"/>
      <c r="AV614" s="385"/>
      <c r="AW614" s="385"/>
      <c r="AX614" s="385"/>
    </row>
    <row r="615" spans="1:50" ht="10.8" hidden="1" thickTop="1" x14ac:dyDescent="0.2">
      <c r="A615" s="385"/>
      <c r="B615" s="385"/>
      <c r="C615" s="385"/>
      <c r="D615" s="385"/>
      <c r="E615" s="385"/>
      <c r="F615" s="385"/>
      <c r="G615" s="385"/>
      <c r="H615" s="385"/>
      <c r="I615" s="442"/>
      <c r="J615" s="442"/>
      <c r="K615" s="442"/>
      <c r="L615" s="442"/>
      <c r="M615" s="442"/>
      <c r="N615" s="442"/>
      <c r="O615" s="443"/>
      <c r="P615" s="385"/>
      <c r="Q615" s="385"/>
      <c r="R615" s="385"/>
      <c r="S615" s="385"/>
      <c r="T615" s="385"/>
      <c r="U615" s="385"/>
      <c r="V615" s="385"/>
      <c r="W615" s="385"/>
      <c r="X615" s="385"/>
      <c r="Y615" s="385"/>
      <c r="Z615" s="385"/>
      <c r="AA615" s="385"/>
      <c r="AB615" s="385"/>
      <c r="AC615" s="385"/>
      <c r="AD615" s="385"/>
      <c r="AE615" s="385"/>
      <c r="AF615" s="385"/>
      <c r="AG615" s="385"/>
      <c r="AH615" s="385"/>
      <c r="AI615" s="385"/>
      <c r="AJ615" s="385"/>
      <c r="AK615" s="385"/>
      <c r="AL615" s="385"/>
      <c r="AM615" s="385"/>
      <c r="AN615" s="385"/>
      <c r="AO615" s="385"/>
      <c r="AP615" s="385"/>
      <c r="AQ615" s="385"/>
      <c r="AR615" s="385"/>
      <c r="AS615" s="385"/>
      <c r="AT615" s="385"/>
      <c r="AU615" s="385"/>
      <c r="AV615" s="385"/>
      <c r="AW615" s="385"/>
      <c r="AX615" s="385"/>
    </row>
    <row r="616" spans="1:50" ht="10.8" hidden="1" thickTop="1" x14ac:dyDescent="0.2">
      <c r="A616" s="385"/>
      <c r="B616" s="385"/>
      <c r="C616" s="385"/>
      <c r="D616" s="385"/>
      <c r="E616" s="385"/>
      <c r="F616" s="385"/>
      <c r="G616" s="385"/>
      <c r="H616" s="385"/>
      <c r="I616" s="442"/>
      <c r="J616" s="442"/>
      <c r="K616" s="442"/>
      <c r="L616" s="442"/>
      <c r="M616" s="442"/>
      <c r="N616" s="442"/>
      <c r="O616" s="443"/>
      <c r="P616" s="385"/>
      <c r="Q616" s="385"/>
      <c r="R616" s="385"/>
      <c r="S616" s="385"/>
      <c r="T616" s="385"/>
      <c r="U616" s="385"/>
      <c r="V616" s="385"/>
      <c r="W616" s="385"/>
      <c r="X616" s="385"/>
      <c r="Y616" s="385"/>
      <c r="Z616" s="385"/>
      <c r="AA616" s="385"/>
      <c r="AB616" s="385"/>
      <c r="AC616" s="385"/>
      <c r="AD616" s="385"/>
      <c r="AE616" s="385"/>
      <c r="AF616" s="385"/>
      <c r="AG616" s="385"/>
      <c r="AH616" s="385"/>
      <c r="AI616" s="385"/>
      <c r="AJ616" s="385"/>
      <c r="AK616" s="385"/>
      <c r="AL616" s="385"/>
      <c r="AM616" s="385"/>
      <c r="AN616" s="385"/>
      <c r="AO616" s="385"/>
      <c r="AP616" s="385"/>
      <c r="AQ616" s="385"/>
      <c r="AR616" s="385"/>
      <c r="AS616" s="385"/>
      <c r="AT616" s="385"/>
      <c r="AU616" s="385"/>
      <c r="AV616" s="385"/>
      <c r="AW616" s="385"/>
      <c r="AX616" s="385"/>
    </row>
    <row r="617" spans="1:50" ht="10.8" hidden="1" thickTop="1" x14ac:dyDescent="0.2">
      <c r="A617" s="385"/>
      <c r="B617" s="385"/>
      <c r="C617" s="385"/>
      <c r="D617" s="385"/>
      <c r="E617" s="385"/>
      <c r="F617" s="385"/>
      <c r="G617" s="385"/>
      <c r="H617" s="385"/>
      <c r="I617" s="442"/>
      <c r="J617" s="442"/>
      <c r="K617" s="442"/>
      <c r="L617" s="442"/>
      <c r="M617" s="442"/>
      <c r="N617" s="442"/>
      <c r="O617" s="443"/>
      <c r="P617" s="385"/>
      <c r="Q617" s="385"/>
      <c r="R617" s="385"/>
      <c r="S617" s="385"/>
      <c r="T617" s="385"/>
      <c r="U617" s="385"/>
      <c r="V617" s="385"/>
      <c r="W617" s="385"/>
      <c r="X617" s="385"/>
      <c r="Y617" s="385"/>
      <c r="Z617" s="385"/>
      <c r="AA617" s="385"/>
      <c r="AB617" s="385"/>
      <c r="AC617" s="385"/>
      <c r="AD617" s="385"/>
      <c r="AE617" s="385"/>
      <c r="AF617" s="385"/>
      <c r="AG617" s="385"/>
      <c r="AH617" s="385"/>
      <c r="AI617" s="385"/>
      <c r="AJ617" s="385"/>
      <c r="AK617" s="385"/>
      <c r="AL617" s="385"/>
      <c r="AM617" s="385"/>
      <c r="AN617" s="385"/>
      <c r="AO617" s="385"/>
      <c r="AP617" s="385"/>
      <c r="AQ617" s="385"/>
      <c r="AR617" s="385"/>
      <c r="AS617" s="385"/>
      <c r="AT617" s="385"/>
      <c r="AU617" s="385"/>
      <c r="AV617" s="385"/>
      <c r="AW617" s="385"/>
      <c r="AX617" s="385"/>
    </row>
    <row r="618" spans="1:50" ht="10.8" hidden="1" thickTop="1" x14ac:dyDescent="0.2">
      <c r="A618" s="385"/>
      <c r="B618" s="385"/>
      <c r="C618" s="385"/>
      <c r="D618" s="385"/>
      <c r="E618" s="385"/>
      <c r="F618" s="385"/>
      <c r="G618" s="385"/>
      <c r="H618" s="385"/>
      <c r="I618" s="442"/>
      <c r="J618" s="442"/>
      <c r="K618" s="442"/>
      <c r="L618" s="442"/>
      <c r="M618" s="442"/>
      <c r="N618" s="442"/>
      <c r="O618" s="443"/>
      <c r="P618" s="385"/>
      <c r="Q618" s="385"/>
      <c r="R618" s="385"/>
      <c r="S618" s="385"/>
      <c r="T618" s="385"/>
      <c r="U618" s="385"/>
      <c r="V618" s="385"/>
      <c r="W618" s="385"/>
      <c r="X618" s="385"/>
      <c r="Y618" s="385"/>
      <c r="Z618" s="385"/>
      <c r="AA618" s="385"/>
      <c r="AB618" s="385"/>
      <c r="AC618" s="385"/>
      <c r="AD618" s="385"/>
      <c r="AE618" s="385"/>
      <c r="AF618" s="385"/>
      <c r="AG618" s="385"/>
      <c r="AH618" s="385"/>
      <c r="AI618" s="385"/>
      <c r="AJ618" s="385"/>
      <c r="AK618" s="385"/>
      <c r="AL618" s="385"/>
      <c r="AM618" s="385"/>
      <c r="AN618" s="385"/>
      <c r="AO618" s="385"/>
      <c r="AP618" s="385"/>
      <c r="AQ618" s="385"/>
      <c r="AR618" s="385"/>
      <c r="AS618" s="385"/>
      <c r="AT618" s="385"/>
      <c r="AU618" s="385"/>
      <c r="AV618" s="385"/>
      <c r="AW618" s="385"/>
      <c r="AX618" s="385"/>
    </row>
    <row r="619" spans="1:50" ht="10.8" hidden="1" thickTop="1" x14ac:dyDescent="0.2">
      <c r="A619" s="385"/>
      <c r="B619" s="385"/>
      <c r="C619" s="385"/>
      <c r="D619" s="385"/>
      <c r="E619" s="385"/>
      <c r="F619" s="385"/>
      <c r="G619" s="385"/>
      <c r="H619" s="385"/>
      <c r="I619" s="442"/>
      <c r="J619" s="442"/>
      <c r="K619" s="442"/>
      <c r="L619" s="442"/>
      <c r="M619" s="442"/>
      <c r="N619" s="442"/>
      <c r="O619" s="443"/>
      <c r="P619" s="385"/>
      <c r="Q619" s="385"/>
      <c r="R619" s="385"/>
      <c r="S619" s="385"/>
      <c r="T619" s="385"/>
      <c r="U619" s="385"/>
      <c r="V619" s="385"/>
      <c r="W619" s="385"/>
      <c r="X619" s="385"/>
      <c r="Y619" s="385"/>
      <c r="Z619" s="385"/>
      <c r="AA619" s="385"/>
      <c r="AB619" s="385"/>
      <c r="AC619" s="385"/>
      <c r="AD619" s="385"/>
      <c r="AE619" s="385"/>
      <c r="AF619" s="385"/>
      <c r="AG619" s="385"/>
      <c r="AH619" s="385"/>
      <c r="AI619" s="385"/>
      <c r="AJ619" s="385"/>
      <c r="AK619" s="385"/>
      <c r="AL619" s="385"/>
      <c r="AM619" s="385"/>
      <c r="AN619" s="385"/>
      <c r="AO619" s="385"/>
      <c r="AP619" s="385"/>
      <c r="AQ619" s="385"/>
      <c r="AR619" s="385"/>
      <c r="AS619" s="385"/>
      <c r="AT619" s="385"/>
      <c r="AU619" s="385"/>
      <c r="AV619" s="385"/>
      <c r="AW619" s="385"/>
      <c r="AX619" s="385"/>
    </row>
    <row r="620" spans="1:50" ht="10.8" hidden="1" thickTop="1" x14ac:dyDescent="0.2">
      <c r="A620" s="385"/>
      <c r="B620" s="385"/>
      <c r="C620" s="385"/>
      <c r="D620" s="385"/>
      <c r="E620" s="385"/>
      <c r="F620" s="385"/>
      <c r="G620" s="385"/>
      <c r="H620" s="385"/>
      <c r="I620" s="442"/>
      <c r="J620" s="442"/>
      <c r="K620" s="442"/>
      <c r="L620" s="442"/>
      <c r="M620" s="442"/>
      <c r="N620" s="442"/>
      <c r="O620" s="443"/>
      <c r="P620" s="385"/>
      <c r="Q620" s="385"/>
      <c r="R620" s="385"/>
      <c r="S620" s="385"/>
      <c r="T620" s="385"/>
      <c r="U620" s="385"/>
      <c r="V620" s="385"/>
      <c r="W620" s="385"/>
      <c r="X620" s="385"/>
      <c r="Y620" s="385"/>
      <c r="Z620" s="385"/>
      <c r="AA620" s="385"/>
      <c r="AB620" s="385"/>
      <c r="AC620" s="385"/>
      <c r="AD620" s="385"/>
      <c r="AE620" s="385"/>
      <c r="AF620" s="385"/>
      <c r="AG620" s="385"/>
      <c r="AH620" s="385"/>
      <c r="AI620" s="385"/>
      <c r="AJ620" s="385"/>
      <c r="AK620" s="385"/>
      <c r="AL620" s="385"/>
      <c r="AM620" s="385"/>
      <c r="AN620" s="385"/>
      <c r="AO620" s="385"/>
      <c r="AP620" s="385"/>
      <c r="AQ620" s="385"/>
      <c r="AR620" s="385"/>
      <c r="AS620" s="385"/>
      <c r="AT620" s="385"/>
      <c r="AU620" s="385"/>
      <c r="AV620" s="385"/>
      <c r="AW620" s="385"/>
      <c r="AX620" s="385"/>
    </row>
    <row r="621" spans="1:50" ht="10.8" hidden="1" thickTop="1" x14ac:dyDescent="0.2">
      <c r="A621" s="385"/>
      <c r="B621" s="385"/>
      <c r="C621" s="385"/>
      <c r="D621" s="385"/>
      <c r="E621" s="385"/>
      <c r="F621" s="385"/>
      <c r="G621" s="385"/>
      <c r="H621" s="385"/>
      <c r="I621" s="442"/>
      <c r="J621" s="442"/>
      <c r="K621" s="442"/>
      <c r="L621" s="442"/>
      <c r="M621" s="442"/>
      <c r="N621" s="442"/>
      <c r="O621" s="443"/>
      <c r="P621" s="385"/>
      <c r="Q621" s="385"/>
      <c r="R621" s="385"/>
      <c r="S621" s="385"/>
      <c r="T621" s="385"/>
      <c r="U621" s="385"/>
      <c r="V621" s="385"/>
      <c r="W621" s="385"/>
      <c r="X621" s="385"/>
      <c r="Y621" s="385"/>
      <c r="Z621" s="385"/>
      <c r="AA621" s="385"/>
      <c r="AB621" s="385"/>
      <c r="AC621" s="385"/>
      <c r="AD621" s="385"/>
      <c r="AE621" s="385"/>
      <c r="AF621" s="385"/>
      <c r="AG621" s="385"/>
      <c r="AH621" s="385"/>
      <c r="AI621" s="385"/>
      <c r="AJ621" s="385"/>
      <c r="AK621" s="385"/>
      <c r="AL621" s="385"/>
      <c r="AM621" s="385"/>
      <c r="AN621" s="385"/>
      <c r="AO621" s="385"/>
      <c r="AP621" s="385"/>
      <c r="AQ621" s="385"/>
      <c r="AR621" s="385"/>
      <c r="AS621" s="385"/>
      <c r="AT621" s="385"/>
      <c r="AU621" s="385"/>
      <c r="AV621" s="385"/>
      <c r="AW621" s="385"/>
      <c r="AX621" s="385"/>
    </row>
    <row r="622" spans="1:50" ht="10.8" hidden="1" thickTop="1" x14ac:dyDescent="0.2">
      <c r="A622" s="385"/>
      <c r="B622" s="385"/>
      <c r="C622" s="385"/>
      <c r="D622" s="385"/>
      <c r="E622" s="385"/>
      <c r="F622" s="385"/>
      <c r="G622" s="385"/>
      <c r="H622" s="385"/>
      <c r="I622" s="442"/>
      <c r="J622" s="442"/>
      <c r="K622" s="442"/>
      <c r="L622" s="442"/>
      <c r="M622" s="442"/>
      <c r="N622" s="442"/>
      <c r="O622" s="443"/>
      <c r="P622" s="385"/>
      <c r="Q622" s="385"/>
      <c r="R622" s="385"/>
      <c r="S622" s="385"/>
      <c r="T622" s="385"/>
      <c r="U622" s="385"/>
      <c r="V622" s="385"/>
      <c r="W622" s="385"/>
      <c r="X622" s="385"/>
      <c r="Y622" s="385"/>
      <c r="Z622" s="385"/>
      <c r="AA622" s="385"/>
      <c r="AB622" s="385"/>
      <c r="AC622" s="385"/>
      <c r="AD622" s="385"/>
      <c r="AE622" s="385"/>
      <c r="AF622" s="385"/>
      <c r="AG622" s="385"/>
      <c r="AH622" s="385"/>
      <c r="AI622" s="385"/>
      <c r="AJ622" s="385"/>
      <c r="AK622" s="385"/>
      <c r="AL622" s="385"/>
      <c r="AM622" s="385"/>
      <c r="AN622" s="385"/>
      <c r="AO622" s="385"/>
      <c r="AP622" s="385"/>
      <c r="AQ622" s="385"/>
      <c r="AR622" s="385"/>
      <c r="AS622" s="385"/>
      <c r="AT622" s="385"/>
      <c r="AU622" s="385"/>
      <c r="AV622" s="385"/>
      <c r="AW622" s="385"/>
      <c r="AX622" s="385"/>
    </row>
    <row r="623" spans="1:50" ht="10.8" hidden="1" thickTop="1" x14ac:dyDescent="0.2">
      <c r="A623" s="385"/>
      <c r="B623" s="385"/>
      <c r="C623" s="385"/>
      <c r="D623" s="385"/>
      <c r="E623" s="385"/>
      <c r="F623" s="385"/>
      <c r="G623" s="385"/>
      <c r="H623" s="385"/>
      <c r="I623" s="442"/>
      <c r="J623" s="442"/>
      <c r="K623" s="442"/>
      <c r="L623" s="442"/>
      <c r="M623" s="442"/>
      <c r="N623" s="442"/>
      <c r="O623" s="443"/>
      <c r="P623" s="385"/>
      <c r="Q623" s="385"/>
      <c r="R623" s="385"/>
      <c r="S623" s="385"/>
      <c r="T623" s="385"/>
      <c r="U623" s="385"/>
      <c r="V623" s="385"/>
      <c r="W623" s="385"/>
      <c r="X623" s="385"/>
      <c r="Y623" s="385"/>
      <c r="Z623" s="385"/>
      <c r="AA623" s="385"/>
      <c r="AB623" s="385"/>
      <c r="AC623" s="385"/>
      <c r="AD623" s="385"/>
      <c r="AE623" s="385"/>
      <c r="AF623" s="385"/>
      <c r="AG623" s="385"/>
      <c r="AH623" s="385"/>
      <c r="AI623" s="385"/>
      <c r="AJ623" s="385"/>
      <c r="AK623" s="385"/>
      <c r="AL623" s="385"/>
      <c r="AM623" s="385"/>
      <c r="AN623" s="385"/>
      <c r="AO623" s="385"/>
      <c r="AP623" s="385"/>
      <c r="AQ623" s="385"/>
      <c r="AR623" s="385"/>
      <c r="AS623" s="385"/>
      <c r="AT623" s="385"/>
      <c r="AU623" s="385"/>
      <c r="AV623" s="385"/>
      <c r="AW623" s="385"/>
      <c r="AX623" s="385"/>
    </row>
    <row r="624" spans="1:50" ht="10.8" hidden="1" thickTop="1" x14ac:dyDescent="0.2">
      <c r="A624" s="385"/>
      <c r="B624" s="385"/>
      <c r="C624" s="385"/>
      <c r="D624" s="385"/>
      <c r="E624" s="385"/>
      <c r="F624" s="385"/>
      <c r="G624" s="385"/>
      <c r="H624" s="385"/>
      <c r="I624" s="442"/>
      <c r="J624" s="442"/>
      <c r="K624" s="442"/>
      <c r="L624" s="442"/>
      <c r="M624" s="442"/>
      <c r="N624" s="442"/>
      <c r="O624" s="443"/>
      <c r="P624" s="385"/>
      <c r="Q624" s="385"/>
      <c r="R624" s="385"/>
      <c r="S624" s="385"/>
      <c r="T624" s="385"/>
      <c r="U624" s="385"/>
      <c r="V624" s="385"/>
      <c r="W624" s="385"/>
      <c r="X624" s="385"/>
      <c r="Y624" s="385"/>
      <c r="Z624" s="385"/>
      <c r="AA624" s="385"/>
      <c r="AB624" s="385"/>
      <c r="AC624" s="385"/>
      <c r="AD624" s="385"/>
      <c r="AE624" s="385"/>
      <c r="AF624" s="385"/>
      <c r="AG624" s="385"/>
      <c r="AH624" s="385"/>
      <c r="AI624" s="385"/>
      <c r="AJ624" s="385"/>
      <c r="AK624" s="385"/>
      <c r="AL624" s="385"/>
      <c r="AM624" s="385"/>
      <c r="AN624" s="385"/>
      <c r="AO624" s="385"/>
      <c r="AP624" s="385"/>
      <c r="AQ624" s="385"/>
      <c r="AR624" s="385"/>
      <c r="AS624" s="385"/>
      <c r="AT624" s="385"/>
      <c r="AU624" s="385"/>
      <c r="AV624" s="385"/>
      <c r="AW624" s="385"/>
      <c r="AX624" s="385"/>
    </row>
    <row r="625" spans="1:50" ht="10.8" hidden="1" thickTop="1" x14ac:dyDescent="0.2">
      <c r="A625" s="385"/>
      <c r="B625" s="385"/>
      <c r="C625" s="385"/>
      <c r="D625" s="385"/>
      <c r="E625" s="385"/>
      <c r="F625" s="385"/>
      <c r="G625" s="385"/>
      <c r="H625" s="385"/>
      <c r="I625" s="442"/>
      <c r="J625" s="442"/>
      <c r="K625" s="442"/>
      <c r="L625" s="442"/>
      <c r="M625" s="442"/>
      <c r="N625" s="442"/>
      <c r="O625" s="443"/>
      <c r="P625" s="385"/>
      <c r="Q625" s="385"/>
      <c r="R625" s="385"/>
      <c r="S625" s="385"/>
      <c r="T625" s="385"/>
      <c r="U625" s="385"/>
      <c r="V625" s="385"/>
      <c r="W625" s="385"/>
      <c r="X625" s="385"/>
      <c r="Y625" s="385"/>
      <c r="Z625" s="385"/>
      <c r="AA625" s="385"/>
      <c r="AB625" s="385"/>
      <c r="AC625" s="385"/>
      <c r="AD625" s="385"/>
      <c r="AE625" s="385"/>
      <c r="AF625" s="385"/>
      <c r="AG625" s="385"/>
      <c r="AH625" s="385"/>
      <c r="AI625" s="385"/>
      <c r="AJ625" s="385"/>
      <c r="AK625" s="385"/>
      <c r="AL625" s="385"/>
      <c r="AM625" s="385"/>
      <c r="AN625" s="385"/>
      <c r="AO625" s="385"/>
      <c r="AP625" s="385"/>
      <c r="AQ625" s="385"/>
      <c r="AR625" s="385"/>
      <c r="AS625" s="385"/>
      <c r="AT625" s="385"/>
      <c r="AU625" s="385"/>
      <c r="AV625" s="385"/>
      <c r="AW625" s="385"/>
      <c r="AX625" s="385"/>
    </row>
    <row r="626" spans="1:50" ht="10.8" hidden="1" thickTop="1" x14ac:dyDescent="0.2">
      <c r="A626" s="385"/>
      <c r="B626" s="385"/>
      <c r="C626" s="385"/>
      <c r="D626" s="385"/>
      <c r="E626" s="385"/>
      <c r="F626" s="385"/>
      <c r="G626" s="385"/>
      <c r="H626" s="385"/>
      <c r="I626" s="442"/>
      <c r="J626" s="442"/>
      <c r="K626" s="442"/>
      <c r="L626" s="442"/>
      <c r="M626" s="442"/>
      <c r="N626" s="442"/>
      <c r="O626" s="443"/>
      <c r="P626" s="385"/>
      <c r="Q626" s="385"/>
      <c r="R626" s="385"/>
      <c r="S626" s="385"/>
      <c r="T626" s="385"/>
      <c r="U626" s="385"/>
      <c r="V626" s="385"/>
      <c r="W626" s="385"/>
      <c r="X626" s="385"/>
      <c r="Y626" s="385"/>
      <c r="Z626" s="385"/>
      <c r="AA626" s="385"/>
      <c r="AB626" s="385"/>
      <c r="AC626" s="385"/>
      <c r="AD626" s="385"/>
      <c r="AE626" s="385"/>
      <c r="AF626" s="385"/>
      <c r="AG626" s="385"/>
      <c r="AH626" s="385"/>
      <c r="AI626" s="385"/>
      <c r="AJ626" s="385"/>
      <c r="AK626" s="385"/>
      <c r="AL626" s="385"/>
      <c r="AM626" s="385"/>
      <c r="AN626" s="385"/>
      <c r="AO626" s="385"/>
      <c r="AP626" s="385"/>
      <c r="AQ626" s="385"/>
      <c r="AR626" s="385"/>
      <c r="AS626" s="385"/>
      <c r="AT626" s="385"/>
      <c r="AU626" s="385"/>
      <c r="AV626" s="385"/>
      <c r="AW626" s="385"/>
      <c r="AX626" s="385"/>
    </row>
    <row r="627" spans="1:50" ht="10.8" hidden="1" thickTop="1" x14ac:dyDescent="0.2">
      <c r="A627" s="385"/>
      <c r="B627" s="385"/>
      <c r="C627" s="385"/>
      <c r="D627" s="385"/>
      <c r="E627" s="385"/>
      <c r="F627" s="385"/>
      <c r="G627" s="385"/>
      <c r="H627" s="385"/>
      <c r="I627" s="442"/>
      <c r="J627" s="442"/>
      <c r="K627" s="442"/>
      <c r="L627" s="442"/>
      <c r="M627" s="442"/>
      <c r="N627" s="442"/>
      <c r="O627" s="443"/>
      <c r="P627" s="385"/>
      <c r="Q627" s="385"/>
      <c r="R627" s="385"/>
      <c r="S627" s="385"/>
      <c r="T627" s="385"/>
      <c r="U627" s="385"/>
      <c r="V627" s="385"/>
      <c r="W627" s="385"/>
      <c r="X627" s="385"/>
      <c r="Y627" s="385"/>
      <c r="Z627" s="385"/>
      <c r="AA627" s="385"/>
      <c r="AB627" s="385"/>
      <c r="AC627" s="385"/>
      <c r="AD627" s="385"/>
      <c r="AE627" s="385"/>
      <c r="AF627" s="385"/>
      <c r="AG627" s="385"/>
      <c r="AH627" s="385"/>
      <c r="AI627" s="385"/>
      <c r="AJ627" s="385"/>
      <c r="AK627" s="385"/>
      <c r="AL627" s="385"/>
      <c r="AM627" s="385"/>
      <c r="AN627" s="385"/>
      <c r="AO627" s="385"/>
      <c r="AP627" s="385"/>
      <c r="AQ627" s="385"/>
      <c r="AR627" s="385"/>
      <c r="AS627" s="385"/>
      <c r="AT627" s="385"/>
      <c r="AU627" s="385"/>
      <c r="AV627" s="385"/>
      <c r="AW627" s="385"/>
      <c r="AX627" s="385"/>
    </row>
    <row r="628" spans="1:50" ht="10.8" hidden="1" thickTop="1" x14ac:dyDescent="0.2">
      <c r="A628" s="385"/>
      <c r="B628" s="385"/>
      <c r="C628" s="385"/>
      <c r="D628" s="385"/>
      <c r="E628" s="385"/>
      <c r="F628" s="385"/>
      <c r="G628" s="385"/>
      <c r="H628" s="385"/>
      <c r="I628" s="442"/>
      <c r="J628" s="442"/>
      <c r="K628" s="442"/>
      <c r="L628" s="442"/>
      <c r="M628" s="442"/>
      <c r="N628" s="442"/>
      <c r="O628" s="443"/>
      <c r="P628" s="385"/>
      <c r="Q628" s="385"/>
      <c r="R628" s="385"/>
      <c r="S628" s="385"/>
      <c r="T628" s="385"/>
      <c r="U628" s="385"/>
      <c r="V628" s="385"/>
      <c r="W628" s="385"/>
      <c r="X628" s="385"/>
      <c r="Y628" s="385"/>
      <c r="Z628" s="385"/>
      <c r="AA628" s="385"/>
      <c r="AB628" s="385"/>
      <c r="AC628" s="385"/>
      <c r="AD628" s="385"/>
      <c r="AE628" s="385"/>
      <c r="AF628" s="385"/>
      <c r="AG628" s="385"/>
      <c r="AH628" s="385"/>
      <c r="AI628" s="385"/>
      <c r="AJ628" s="385"/>
      <c r="AK628" s="385"/>
      <c r="AL628" s="385"/>
      <c r="AM628" s="385"/>
      <c r="AN628" s="385"/>
      <c r="AO628" s="385"/>
      <c r="AP628" s="385"/>
      <c r="AQ628" s="385"/>
      <c r="AR628" s="385"/>
      <c r="AS628" s="385"/>
      <c r="AT628" s="385"/>
      <c r="AU628" s="385"/>
      <c r="AV628" s="385"/>
      <c r="AW628" s="385"/>
      <c r="AX628" s="385"/>
    </row>
    <row r="629" spans="1:50" ht="10.8" hidden="1" thickTop="1" x14ac:dyDescent="0.2">
      <c r="A629" s="385"/>
      <c r="B629" s="385"/>
      <c r="C629" s="385"/>
      <c r="D629" s="385"/>
      <c r="E629" s="385"/>
      <c r="F629" s="385"/>
      <c r="G629" s="385"/>
      <c r="H629" s="385"/>
      <c r="I629" s="442"/>
      <c r="J629" s="442"/>
      <c r="K629" s="442"/>
      <c r="L629" s="442"/>
      <c r="M629" s="442"/>
      <c r="N629" s="442"/>
      <c r="O629" s="443"/>
      <c r="P629" s="385"/>
      <c r="Q629" s="385"/>
      <c r="R629" s="385"/>
      <c r="S629" s="385"/>
      <c r="T629" s="385"/>
      <c r="U629" s="385"/>
      <c r="V629" s="385"/>
      <c r="W629" s="385"/>
      <c r="X629" s="385"/>
      <c r="Y629" s="385"/>
      <c r="Z629" s="385"/>
      <c r="AA629" s="385"/>
      <c r="AB629" s="385"/>
      <c r="AC629" s="385"/>
      <c r="AD629" s="385"/>
      <c r="AE629" s="385"/>
      <c r="AF629" s="385"/>
      <c r="AG629" s="385"/>
      <c r="AH629" s="385"/>
      <c r="AI629" s="385"/>
      <c r="AJ629" s="385"/>
      <c r="AK629" s="385"/>
      <c r="AL629" s="385"/>
      <c r="AM629" s="385"/>
      <c r="AN629" s="385"/>
      <c r="AO629" s="385"/>
      <c r="AP629" s="385"/>
      <c r="AQ629" s="385"/>
      <c r="AR629" s="385"/>
      <c r="AS629" s="385"/>
      <c r="AT629" s="385"/>
      <c r="AU629" s="385"/>
      <c r="AV629" s="385"/>
      <c r="AW629" s="385"/>
      <c r="AX629" s="385"/>
    </row>
    <row r="630" spans="1:50" ht="10.8" hidden="1" thickTop="1" x14ac:dyDescent="0.2">
      <c r="A630" s="385"/>
      <c r="B630" s="385"/>
      <c r="C630" s="385"/>
      <c r="D630" s="385"/>
      <c r="E630" s="385"/>
      <c r="F630" s="385"/>
      <c r="G630" s="385"/>
      <c r="H630" s="385"/>
      <c r="I630" s="442"/>
      <c r="J630" s="442"/>
      <c r="K630" s="442"/>
      <c r="L630" s="442"/>
      <c r="M630" s="442"/>
      <c r="N630" s="442"/>
      <c r="O630" s="443"/>
      <c r="P630" s="385"/>
      <c r="Q630" s="385"/>
      <c r="R630" s="385"/>
      <c r="S630" s="385"/>
      <c r="T630" s="385"/>
      <c r="U630" s="385"/>
      <c r="V630" s="385"/>
      <c r="W630" s="385"/>
      <c r="X630" s="385"/>
      <c r="Y630" s="385"/>
      <c r="Z630" s="385"/>
      <c r="AA630" s="385"/>
      <c r="AB630" s="385"/>
      <c r="AC630" s="385"/>
      <c r="AD630" s="385"/>
      <c r="AE630" s="385"/>
      <c r="AF630" s="385"/>
      <c r="AG630" s="385"/>
      <c r="AH630" s="385"/>
      <c r="AI630" s="385"/>
      <c r="AJ630" s="385"/>
      <c r="AK630" s="385"/>
      <c r="AL630" s="385"/>
      <c r="AM630" s="385"/>
      <c r="AN630" s="385"/>
      <c r="AO630" s="385"/>
      <c r="AP630" s="385"/>
      <c r="AQ630" s="385"/>
      <c r="AR630" s="385"/>
      <c r="AS630" s="385"/>
      <c r="AT630" s="385"/>
      <c r="AU630" s="385"/>
      <c r="AV630" s="385"/>
      <c r="AW630" s="385"/>
      <c r="AX630" s="385"/>
    </row>
    <row r="631" spans="1:50" ht="10.8" hidden="1" thickTop="1" x14ac:dyDescent="0.2">
      <c r="A631" s="385"/>
      <c r="B631" s="385"/>
      <c r="C631" s="385"/>
      <c r="D631" s="385"/>
      <c r="E631" s="385"/>
      <c r="F631" s="385"/>
      <c r="G631" s="385"/>
      <c r="H631" s="385"/>
      <c r="I631" s="442"/>
      <c r="J631" s="442"/>
      <c r="K631" s="442"/>
      <c r="L631" s="442"/>
      <c r="M631" s="442"/>
      <c r="N631" s="442"/>
      <c r="O631" s="443"/>
      <c r="P631" s="385"/>
      <c r="Q631" s="385"/>
      <c r="R631" s="385"/>
      <c r="S631" s="385"/>
      <c r="T631" s="385"/>
      <c r="U631" s="385"/>
      <c r="V631" s="385"/>
      <c r="W631" s="385"/>
      <c r="X631" s="385"/>
      <c r="Y631" s="385"/>
      <c r="Z631" s="385"/>
      <c r="AA631" s="385"/>
      <c r="AB631" s="385"/>
      <c r="AC631" s="385"/>
      <c r="AD631" s="385"/>
      <c r="AE631" s="385"/>
      <c r="AF631" s="385"/>
      <c r="AG631" s="385"/>
      <c r="AH631" s="385"/>
      <c r="AI631" s="385"/>
      <c r="AJ631" s="385"/>
      <c r="AK631" s="385"/>
      <c r="AL631" s="385"/>
      <c r="AM631" s="385"/>
      <c r="AN631" s="385"/>
      <c r="AO631" s="385"/>
      <c r="AP631" s="385"/>
      <c r="AQ631" s="385"/>
      <c r="AR631" s="385"/>
      <c r="AS631" s="385"/>
      <c r="AT631" s="385"/>
      <c r="AU631" s="385"/>
      <c r="AV631" s="385"/>
      <c r="AW631" s="385"/>
      <c r="AX631" s="385"/>
    </row>
    <row r="632" spans="1:50" ht="10.8" hidden="1" thickTop="1" x14ac:dyDescent="0.2">
      <c r="A632" s="385"/>
      <c r="B632" s="385"/>
      <c r="C632" s="385"/>
      <c r="D632" s="385"/>
      <c r="E632" s="385"/>
      <c r="F632" s="385"/>
      <c r="G632" s="385"/>
      <c r="H632" s="385"/>
      <c r="I632" s="442"/>
      <c r="J632" s="442"/>
      <c r="K632" s="442"/>
      <c r="L632" s="442"/>
      <c r="M632" s="442"/>
      <c r="N632" s="442"/>
      <c r="O632" s="443"/>
      <c r="P632" s="385"/>
      <c r="Q632" s="385"/>
      <c r="R632" s="385"/>
      <c r="S632" s="385"/>
      <c r="T632" s="385"/>
      <c r="U632" s="385"/>
      <c r="V632" s="385"/>
      <c r="W632" s="385"/>
      <c r="X632" s="385"/>
      <c r="Y632" s="385"/>
      <c r="Z632" s="385"/>
      <c r="AA632" s="385"/>
      <c r="AB632" s="385"/>
      <c r="AC632" s="385"/>
      <c r="AD632" s="385"/>
      <c r="AE632" s="385"/>
      <c r="AF632" s="385"/>
      <c r="AG632" s="385"/>
      <c r="AH632" s="385"/>
      <c r="AI632" s="385"/>
      <c r="AJ632" s="385"/>
      <c r="AK632" s="385"/>
      <c r="AL632" s="385"/>
      <c r="AM632" s="385"/>
      <c r="AN632" s="385"/>
      <c r="AO632" s="385"/>
      <c r="AP632" s="385"/>
      <c r="AQ632" s="385"/>
      <c r="AR632" s="385"/>
      <c r="AS632" s="385"/>
      <c r="AT632" s="385"/>
      <c r="AU632" s="385"/>
      <c r="AV632" s="385"/>
      <c r="AW632" s="385"/>
      <c r="AX632" s="385"/>
    </row>
    <row r="633" spans="1:50" ht="10.8" hidden="1" thickTop="1" x14ac:dyDescent="0.2">
      <c r="A633" s="385"/>
      <c r="B633" s="385"/>
      <c r="C633" s="385"/>
      <c r="D633" s="385"/>
      <c r="E633" s="385"/>
      <c r="F633" s="385"/>
      <c r="G633" s="385"/>
      <c r="H633" s="385"/>
      <c r="I633" s="442"/>
      <c r="J633" s="442"/>
      <c r="K633" s="442"/>
      <c r="L633" s="442"/>
      <c r="M633" s="442"/>
      <c r="N633" s="442"/>
      <c r="O633" s="443"/>
      <c r="P633" s="385"/>
      <c r="Q633" s="385"/>
      <c r="R633" s="385"/>
      <c r="S633" s="385"/>
      <c r="T633" s="385"/>
      <c r="U633" s="385"/>
      <c r="V633" s="385"/>
      <c r="W633" s="385"/>
      <c r="X633" s="385"/>
      <c r="Y633" s="385"/>
      <c r="Z633" s="385"/>
      <c r="AA633" s="385"/>
      <c r="AB633" s="385"/>
      <c r="AC633" s="385"/>
      <c r="AD633" s="385"/>
      <c r="AE633" s="385"/>
      <c r="AF633" s="385"/>
      <c r="AG633" s="385"/>
      <c r="AH633" s="385"/>
      <c r="AI633" s="385"/>
      <c r="AJ633" s="385"/>
      <c r="AK633" s="385"/>
      <c r="AL633" s="385"/>
      <c r="AM633" s="385"/>
      <c r="AN633" s="385"/>
      <c r="AO633" s="385"/>
      <c r="AP633" s="385"/>
      <c r="AQ633" s="385"/>
      <c r="AR633" s="385"/>
      <c r="AS633" s="385"/>
      <c r="AT633" s="385"/>
      <c r="AU633" s="385"/>
      <c r="AV633" s="385"/>
      <c r="AW633" s="385"/>
      <c r="AX633" s="385"/>
    </row>
    <row r="634" spans="1:50" ht="10.8" hidden="1" thickTop="1" x14ac:dyDescent="0.2">
      <c r="A634" s="385"/>
      <c r="B634" s="385"/>
      <c r="C634" s="385"/>
      <c r="D634" s="385"/>
      <c r="E634" s="385"/>
      <c r="F634" s="385"/>
      <c r="G634" s="385"/>
      <c r="H634" s="385"/>
      <c r="I634" s="442"/>
      <c r="J634" s="442"/>
      <c r="K634" s="442"/>
      <c r="L634" s="442"/>
      <c r="M634" s="442"/>
      <c r="N634" s="442"/>
      <c r="O634" s="443"/>
      <c r="P634" s="385"/>
      <c r="Q634" s="385"/>
      <c r="R634" s="385"/>
      <c r="S634" s="385"/>
      <c r="T634" s="385"/>
      <c r="U634" s="385"/>
      <c r="V634" s="385"/>
      <c r="W634" s="385"/>
      <c r="X634" s="385"/>
      <c r="Y634" s="385"/>
      <c r="Z634" s="385"/>
      <c r="AA634" s="385"/>
      <c r="AB634" s="385"/>
      <c r="AC634" s="385"/>
      <c r="AD634" s="385"/>
      <c r="AE634" s="385"/>
      <c r="AF634" s="385"/>
      <c r="AG634" s="385"/>
      <c r="AH634" s="385"/>
      <c r="AI634" s="385"/>
      <c r="AJ634" s="385"/>
      <c r="AK634" s="385"/>
      <c r="AL634" s="385"/>
      <c r="AM634" s="385"/>
      <c r="AN634" s="385"/>
      <c r="AO634" s="385"/>
      <c r="AP634" s="385"/>
      <c r="AQ634" s="385"/>
      <c r="AR634" s="385"/>
      <c r="AS634" s="385"/>
      <c r="AT634" s="385"/>
      <c r="AU634" s="385"/>
      <c r="AV634" s="385"/>
      <c r="AW634" s="385"/>
      <c r="AX634" s="385"/>
    </row>
    <row r="635" spans="1:50" ht="10.8" hidden="1" thickTop="1" x14ac:dyDescent="0.2">
      <c r="A635" s="385"/>
      <c r="B635" s="385"/>
      <c r="C635" s="385"/>
      <c r="D635" s="385"/>
      <c r="E635" s="385"/>
      <c r="F635" s="385"/>
      <c r="G635" s="385"/>
      <c r="H635" s="385"/>
      <c r="I635" s="442"/>
      <c r="J635" s="442"/>
      <c r="K635" s="442"/>
      <c r="L635" s="442"/>
      <c r="M635" s="442"/>
      <c r="N635" s="442"/>
      <c r="O635" s="443"/>
      <c r="P635" s="385"/>
      <c r="Q635" s="385"/>
      <c r="R635" s="385"/>
      <c r="S635" s="385"/>
      <c r="T635" s="385"/>
      <c r="U635" s="385"/>
      <c r="V635" s="385"/>
      <c r="W635" s="385"/>
      <c r="X635" s="385"/>
      <c r="Y635" s="385"/>
      <c r="Z635" s="385"/>
      <c r="AA635" s="385"/>
      <c r="AB635" s="385"/>
      <c r="AC635" s="385"/>
      <c r="AD635" s="385"/>
      <c r="AE635" s="385"/>
      <c r="AF635" s="385"/>
      <c r="AG635" s="385"/>
      <c r="AH635" s="385"/>
      <c r="AI635" s="385"/>
      <c r="AJ635" s="385"/>
      <c r="AK635" s="385"/>
      <c r="AL635" s="385"/>
      <c r="AM635" s="385"/>
      <c r="AN635" s="385"/>
      <c r="AO635" s="385"/>
      <c r="AP635" s="385"/>
      <c r="AQ635" s="385"/>
      <c r="AR635" s="385"/>
      <c r="AS635" s="385"/>
      <c r="AT635" s="385"/>
      <c r="AU635" s="385"/>
      <c r="AV635" s="385"/>
      <c r="AW635" s="385"/>
      <c r="AX635" s="385"/>
    </row>
    <row r="636" spans="1:50" ht="10.8" hidden="1" thickTop="1" x14ac:dyDescent="0.2">
      <c r="A636" s="385"/>
      <c r="B636" s="385"/>
      <c r="C636" s="385"/>
      <c r="D636" s="385"/>
      <c r="E636" s="385"/>
      <c r="F636" s="385"/>
      <c r="G636" s="385"/>
      <c r="H636" s="385"/>
      <c r="I636" s="442"/>
      <c r="J636" s="442"/>
      <c r="K636" s="442"/>
      <c r="L636" s="442"/>
      <c r="M636" s="442"/>
      <c r="N636" s="442"/>
      <c r="O636" s="443"/>
      <c r="P636" s="385"/>
      <c r="Q636" s="385"/>
      <c r="R636" s="385"/>
      <c r="S636" s="385"/>
      <c r="T636" s="385"/>
      <c r="U636" s="385"/>
      <c r="V636" s="385"/>
      <c r="W636" s="385"/>
      <c r="X636" s="385"/>
      <c r="Y636" s="385"/>
      <c r="Z636" s="385"/>
      <c r="AA636" s="385"/>
      <c r="AB636" s="385"/>
      <c r="AC636" s="385"/>
      <c r="AD636" s="385"/>
      <c r="AE636" s="385"/>
      <c r="AF636" s="385"/>
      <c r="AG636" s="385"/>
      <c r="AH636" s="385"/>
      <c r="AI636" s="385"/>
      <c r="AJ636" s="385"/>
      <c r="AK636" s="385"/>
      <c r="AL636" s="385"/>
      <c r="AM636" s="385"/>
      <c r="AN636" s="385"/>
      <c r="AO636" s="385"/>
      <c r="AP636" s="385"/>
      <c r="AQ636" s="385"/>
      <c r="AR636" s="385"/>
      <c r="AS636" s="385"/>
      <c r="AT636" s="385"/>
      <c r="AU636" s="385"/>
      <c r="AV636" s="385"/>
      <c r="AW636" s="385"/>
      <c r="AX636" s="385"/>
    </row>
    <row r="637" spans="1:50" ht="10.8" hidden="1" thickTop="1" x14ac:dyDescent="0.2">
      <c r="A637" s="385"/>
      <c r="B637" s="385"/>
      <c r="C637" s="385"/>
      <c r="D637" s="385"/>
      <c r="E637" s="385"/>
      <c r="F637" s="385"/>
      <c r="G637" s="385"/>
      <c r="H637" s="385"/>
      <c r="I637" s="442"/>
      <c r="J637" s="442"/>
      <c r="K637" s="442"/>
      <c r="L637" s="442"/>
      <c r="M637" s="442"/>
      <c r="N637" s="442"/>
      <c r="O637" s="443"/>
      <c r="P637" s="385"/>
      <c r="Q637" s="385"/>
      <c r="R637" s="385"/>
      <c r="S637" s="385"/>
      <c r="T637" s="385"/>
      <c r="U637" s="385"/>
      <c r="V637" s="385"/>
      <c r="W637" s="385"/>
      <c r="X637" s="385"/>
      <c r="Y637" s="385"/>
      <c r="Z637" s="385"/>
      <c r="AA637" s="385"/>
      <c r="AB637" s="385"/>
      <c r="AC637" s="385"/>
      <c r="AD637" s="385"/>
      <c r="AE637" s="385"/>
      <c r="AF637" s="385"/>
      <c r="AG637" s="385"/>
      <c r="AH637" s="385"/>
      <c r="AI637" s="385"/>
      <c r="AJ637" s="385"/>
      <c r="AK637" s="385"/>
      <c r="AL637" s="385"/>
      <c r="AM637" s="385"/>
      <c r="AN637" s="385"/>
      <c r="AO637" s="385"/>
      <c r="AP637" s="385"/>
      <c r="AQ637" s="385"/>
      <c r="AR637" s="385"/>
      <c r="AS637" s="385"/>
      <c r="AT637" s="385"/>
      <c r="AU637" s="385"/>
      <c r="AV637" s="385"/>
      <c r="AW637" s="385"/>
      <c r="AX637" s="385"/>
    </row>
    <row r="638" spans="1:50" ht="10.8" hidden="1" thickTop="1" x14ac:dyDescent="0.2">
      <c r="A638" s="385"/>
      <c r="B638" s="385"/>
      <c r="C638" s="385"/>
      <c r="D638" s="385"/>
      <c r="E638" s="385"/>
      <c r="F638" s="385"/>
      <c r="G638" s="385"/>
      <c r="H638" s="385"/>
      <c r="I638" s="442"/>
      <c r="J638" s="442"/>
      <c r="K638" s="442"/>
      <c r="L638" s="442"/>
      <c r="M638" s="442"/>
      <c r="N638" s="442"/>
      <c r="O638" s="443"/>
      <c r="P638" s="385"/>
      <c r="Q638" s="385"/>
      <c r="R638" s="385"/>
      <c r="S638" s="385"/>
      <c r="T638" s="385"/>
      <c r="U638" s="385"/>
      <c r="V638" s="385"/>
      <c r="W638" s="385"/>
      <c r="X638" s="385"/>
      <c r="Y638" s="385"/>
      <c r="Z638" s="385"/>
      <c r="AA638" s="385"/>
      <c r="AB638" s="385"/>
      <c r="AC638" s="385"/>
      <c r="AD638" s="385"/>
      <c r="AE638" s="385"/>
      <c r="AF638" s="385"/>
      <c r="AG638" s="385"/>
      <c r="AH638" s="385"/>
      <c r="AI638" s="385"/>
      <c r="AJ638" s="385"/>
      <c r="AK638" s="385"/>
      <c r="AL638" s="385"/>
      <c r="AM638" s="385"/>
      <c r="AN638" s="385"/>
      <c r="AO638" s="385"/>
      <c r="AP638" s="385"/>
      <c r="AQ638" s="385"/>
      <c r="AR638" s="385"/>
      <c r="AS638" s="385"/>
      <c r="AT638" s="385"/>
      <c r="AU638" s="385"/>
      <c r="AV638" s="385"/>
      <c r="AW638" s="385"/>
      <c r="AX638" s="385"/>
    </row>
    <row r="639" spans="1:50" ht="10.8" hidden="1" thickTop="1" x14ac:dyDescent="0.2">
      <c r="A639" s="385"/>
      <c r="B639" s="385"/>
      <c r="C639" s="385"/>
      <c r="D639" s="385"/>
      <c r="E639" s="385"/>
      <c r="F639" s="385"/>
      <c r="G639" s="385"/>
      <c r="H639" s="385"/>
      <c r="I639" s="442"/>
      <c r="J639" s="442"/>
      <c r="K639" s="442"/>
      <c r="L639" s="442"/>
      <c r="M639" s="442"/>
      <c r="N639" s="442"/>
      <c r="O639" s="443"/>
      <c r="P639" s="385"/>
      <c r="Q639" s="385"/>
      <c r="R639" s="385"/>
      <c r="S639" s="385"/>
      <c r="T639" s="385"/>
      <c r="U639" s="385"/>
      <c r="V639" s="385"/>
      <c r="W639" s="385"/>
      <c r="X639" s="385"/>
      <c r="Y639" s="385"/>
      <c r="Z639" s="385"/>
      <c r="AA639" s="385"/>
      <c r="AB639" s="385"/>
      <c r="AC639" s="385"/>
      <c r="AD639" s="385"/>
      <c r="AE639" s="385"/>
      <c r="AF639" s="385"/>
      <c r="AG639" s="385"/>
      <c r="AH639" s="385"/>
      <c r="AI639" s="385"/>
      <c r="AJ639" s="385"/>
      <c r="AK639" s="385"/>
      <c r="AL639" s="385"/>
      <c r="AM639" s="385"/>
      <c r="AN639" s="385"/>
      <c r="AO639" s="385"/>
      <c r="AP639" s="385"/>
      <c r="AQ639" s="385"/>
      <c r="AR639" s="385"/>
      <c r="AS639" s="385"/>
      <c r="AT639" s="385"/>
      <c r="AU639" s="385"/>
      <c r="AV639" s="385"/>
      <c r="AW639" s="385"/>
      <c r="AX639" s="385"/>
    </row>
    <row r="640" spans="1:50" ht="10.8" hidden="1" thickTop="1" x14ac:dyDescent="0.2">
      <c r="A640" s="385"/>
      <c r="B640" s="385"/>
      <c r="C640" s="385"/>
      <c r="D640" s="385"/>
      <c r="E640" s="385"/>
      <c r="F640" s="385"/>
      <c r="G640" s="385"/>
      <c r="H640" s="385"/>
      <c r="I640" s="442"/>
      <c r="J640" s="442"/>
      <c r="K640" s="442"/>
      <c r="L640" s="442"/>
      <c r="M640" s="442"/>
      <c r="N640" s="442"/>
      <c r="O640" s="443"/>
      <c r="P640" s="385"/>
      <c r="Q640" s="385"/>
      <c r="R640" s="385"/>
      <c r="S640" s="385"/>
      <c r="T640" s="385"/>
      <c r="U640" s="385"/>
      <c r="V640" s="385"/>
      <c r="W640" s="385"/>
      <c r="X640" s="385"/>
      <c r="Y640" s="385"/>
      <c r="Z640" s="385"/>
      <c r="AA640" s="385"/>
      <c r="AB640" s="385"/>
      <c r="AC640" s="385"/>
      <c r="AD640" s="385"/>
      <c r="AE640" s="385"/>
      <c r="AF640" s="385"/>
      <c r="AG640" s="385"/>
      <c r="AH640" s="385"/>
      <c r="AI640" s="385"/>
      <c r="AJ640" s="385"/>
      <c r="AK640" s="385"/>
      <c r="AL640" s="385"/>
      <c r="AM640" s="385"/>
      <c r="AN640" s="385"/>
      <c r="AO640" s="385"/>
      <c r="AP640" s="385"/>
      <c r="AQ640" s="385"/>
      <c r="AR640" s="385"/>
      <c r="AS640" s="385"/>
      <c r="AT640" s="385"/>
      <c r="AU640" s="385"/>
      <c r="AV640" s="385"/>
      <c r="AW640" s="385"/>
      <c r="AX640" s="385"/>
    </row>
    <row r="641" spans="1:50" ht="10.8" hidden="1" thickTop="1" x14ac:dyDescent="0.2">
      <c r="A641" s="385"/>
      <c r="B641" s="385"/>
      <c r="C641" s="385"/>
      <c r="D641" s="385"/>
      <c r="E641" s="385"/>
      <c r="F641" s="385"/>
      <c r="G641" s="385"/>
      <c r="H641" s="385"/>
      <c r="I641" s="442"/>
      <c r="J641" s="442"/>
      <c r="K641" s="442"/>
      <c r="L641" s="442"/>
      <c r="M641" s="442"/>
      <c r="N641" s="442"/>
      <c r="O641" s="443"/>
      <c r="P641" s="385"/>
      <c r="Q641" s="385"/>
      <c r="R641" s="385"/>
      <c r="S641" s="385"/>
      <c r="T641" s="385"/>
      <c r="U641" s="385"/>
      <c r="V641" s="385"/>
      <c r="W641" s="385"/>
      <c r="X641" s="385"/>
      <c r="Y641" s="385"/>
      <c r="Z641" s="385"/>
      <c r="AA641" s="385"/>
      <c r="AB641" s="385"/>
      <c r="AC641" s="385"/>
      <c r="AD641" s="385"/>
      <c r="AE641" s="385"/>
      <c r="AF641" s="385"/>
      <c r="AG641" s="385"/>
      <c r="AH641" s="385"/>
      <c r="AI641" s="385"/>
      <c r="AJ641" s="385"/>
      <c r="AK641" s="385"/>
      <c r="AL641" s="385"/>
      <c r="AM641" s="385"/>
      <c r="AN641" s="385"/>
      <c r="AO641" s="385"/>
      <c r="AP641" s="385"/>
      <c r="AQ641" s="385"/>
      <c r="AR641" s="385"/>
      <c r="AS641" s="385"/>
      <c r="AT641" s="385"/>
      <c r="AU641" s="385"/>
      <c r="AV641" s="385"/>
      <c r="AW641" s="385"/>
      <c r="AX641" s="385"/>
    </row>
    <row r="642" spans="1:50" ht="10.8" hidden="1" thickTop="1" x14ac:dyDescent="0.2">
      <c r="A642" s="385"/>
      <c r="B642" s="385"/>
      <c r="C642" s="385"/>
      <c r="D642" s="385"/>
      <c r="E642" s="385"/>
      <c r="F642" s="385"/>
      <c r="G642" s="385"/>
      <c r="H642" s="385"/>
      <c r="I642" s="442"/>
      <c r="J642" s="442"/>
      <c r="K642" s="442"/>
      <c r="L642" s="442"/>
      <c r="M642" s="442"/>
      <c r="N642" s="442"/>
      <c r="O642" s="443"/>
      <c r="P642" s="385"/>
      <c r="Q642" s="385"/>
      <c r="R642" s="385"/>
      <c r="S642" s="385"/>
      <c r="T642" s="385"/>
      <c r="U642" s="385"/>
      <c r="V642" s="385"/>
      <c r="W642" s="385"/>
      <c r="X642" s="385"/>
      <c r="Y642" s="385"/>
      <c r="Z642" s="385"/>
      <c r="AA642" s="385"/>
      <c r="AB642" s="385"/>
      <c r="AC642" s="385"/>
      <c r="AD642" s="385"/>
      <c r="AE642" s="385"/>
      <c r="AF642" s="385"/>
      <c r="AG642" s="385"/>
      <c r="AH642" s="385"/>
      <c r="AI642" s="385"/>
      <c r="AJ642" s="385"/>
      <c r="AK642" s="385"/>
      <c r="AL642" s="385"/>
      <c r="AM642" s="385"/>
      <c r="AN642" s="385"/>
      <c r="AO642" s="385"/>
      <c r="AP642" s="385"/>
      <c r="AQ642" s="385"/>
      <c r="AR642" s="385"/>
      <c r="AS642" s="385"/>
      <c r="AT642" s="385"/>
      <c r="AU642" s="385"/>
      <c r="AV642" s="385"/>
      <c r="AW642" s="385"/>
      <c r="AX642" s="385"/>
    </row>
    <row r="643" spans="1:50" ht="10.8" hidden="1" thickTop="1" x14ac:dyDescent="0.2">
      <c r="A643" s="385"/>
      <c r="B643" s="385"/>
      <c r="C643" s="385"/>
      <c r="D643" s="385"/>
      <c r="E643" s="385"/>
      <c r="F643" s="385"/>
      <c r="G643" s="385"/>
      <c r="H643" s="385"/>
      <c r="I643" s="442"/>
      <c r="J643" s="442"/>
      <c r="K643" s="442"/>
      <c r="L643" s="442"/>
      <c r="M643" s="442"/>
      <c r="N643" s="442"/>
      <c r="O643" s="443"/>
      <c r="P643" s="385"/>
      <c r="Q643" s="385"/>
      <c r="R643" s="385"/>
      <c r="S643" s="385"/>
      <c r="T643" s="385"/>
      <c r="U643" s="385"/>
      <c r="V643" s="385"/>
      <c r="W643" s="385"/>
      <c r="X643" s="385"/>
      <c r="Y643" s="385"/>
      <c r="Z643" s="385"/>
      <c r="AA643" s="385"/>
      <c r="AB643" s="385"/>
      <c r="AC643" s="385"/>
      <c r="AD643" s="385"/>
      <c r="AE643" s="385"/>
      <c r="AF643" s="385"/>
      <c r="AG643" s="385"/>
      <c r="AH643" s="385"/>
      <c r="AI643" s="385"/>
      <c r="AJ643" s="385"/>
      <c r="AK643" s="385"/>
      <c r="AL643" s="385"/>
      <c r="AM643" s="385"/>
      <c r="AN643" s="385"/>
      <c r="AO643" s="385"/>
      <c r="AP643" s="385"/>
      <c r="AQ643" s="385"/>
      <c r="AR643" s="385"/>
      <c r="AS643" s="385"/>
      <c r="AT643" s="385"/>
      <c r="AU643" s="385"/>
      <c r="AV643" s="385"/>
      <c r="AW643" s="385"/>
      <c r="AX643" s="385"/>
    </row>
    <row r="644" spans="1:50" ht="10.8" hidden="1" thickTop="1" x14ac:dyDescent="0.2">
      <c r="A644" s="385"/>
      <c r="B644" s="385"/>
      <c r="C644" s="385"/>
      <c r="D644" s="385"/>
      <c r="E644" s="385"/>
      <c r="F644" s="385"/>
      <c r="G644" s="385"/>
      <c r="H644" s="385"/>
      <c r="I644" s="442"/>
      <c r="J644" s="442"/>
      <c r="K644" s="442"/>
      <c r="L644" s="442"/>
      <c r="M644" s="442"/>
      <c r="N644" s="442"/>
      <c r="O644" s="443"/>
      <c r="P644" s="385"/>
      <c r="Q644" s="385"/>
      <c r="R644" s="385"/>
      <c r="S644" s="385"/>
      <c r="T644" s="385"/>
      <c r="U644" s="385"/>
      <c r="V644" s="385"/>
      <c r="W644" s="385"/>
      <c r="X644" s="385"/>
      <c r="Y644" s="385"/>
      <c r="Z644" s="385"/>
      <c r="AA644" s="385"/>
      <c r="AB644" s="385"/>
      <c r="AC644" s="385"/>
      <c r="AD644" s="385"/>
      <c r="AE644" s="385"/>
      <c r="AF644" s="385"/>
      <c r="AG644" s="385"/>
      <c r="AH644" s="385"/>
      <c r="AI644" s="385"/>
      <c r="AJ644" s="385"/>
      <c r="AK644" s="385"/>
      <c r="AL644" s="385"/>
      <c r="AM644" s="385"/>
      <c r="AN644" s="385"/>
      <c r="AO644" s="385"/>
      <c r="AP644" s="385"/>
      <c r="AQ644" s="385"/>
      <c r="AR644" s="385"/>
      <c r="AS644" s="385"/>
      <c r="AT644" s="385"/>
      <c r="AU644" s="385"/>
      <c r="AV644" s="385"/>
      <c r="AW644" s="385"/>
      <c r="AX644" s="385"/>
    </row>
    <row r="645" spans="1:50" ht="10.8" hidden="1" thickTop="1" x14ac:dyDescent="0.2">
      <c r="A645" s="385"/>
      <c r="B645" s="385"/>
      <c r="C645" s="385"/>
      <c r="D645" s="385"/>
      <c r="E645" s="385"/>
      <c r="F645" s="385"/>
      <c r="G645" s="385"/>
      <c r="H645" s="385"/>
      <c r="I645" s="442"/>
      <c r="J645" s="442"/>
      <c r="K645" s="442"/>
      <c r="L645" s="442"/>
      <c r="M645" s="442"/>
      <c r="N645" s="442"/>
      <c r="O645" s="443"/>
      <c r="P645" s="385"/>
      <c r="Q645" s="385"/>
      <c r="R645" s="385"/>
      <c r="S645" s="385"/>
      <c r="T645" s="385"/>
      <c r="U645" s="385"/>
      <c r="V645" s="385"/>
      <c r="W645" s="385"/>
      <c r="X645" s="385"/>
      <c r="Y645" s="385"/>
      <c r="Z645" s="385"/>
      <c r="AA645" s="385"/>
      <c r="AB645" s="385"/>
      <c r="AC645" s="385"/>
      <c r="AD645" s="385"/>
      <c r="AE645" s="385"/>
      <c r="AF645" s="385"/>
      <c r="AG645" s="385"/>
      <c r="AH645" s="385"/>
      <c r="AI645" s="385"/>
      <c r="AJ645" s="385"/>
      <c r="AK645" s="385"/>
      <c r="AL645" s="385"/>
      <c r="AM645" s="385"/>
      <c r="AN645" s="385"/>
      <c r="AO645" s="385"/>
      <c r="AP645" s="385"/>
      <c r="AQ645" s="385"/>
      <c r="AR645" s="385"/>
      <c r="AS645" s="385"/>
      <c r="AT645" s="385"/>
      <c r="AU645" s="385"/>
      <c r="AV645" s="385"/>
      <c r="AW645" s="385"/>
      <c r="AX645" s="385"/>
    </row>
    <row r="646" spans="1:50" ht="10.8" hidden="1" thickTop="1" x14ac:dyDescent="0.2">
      <c r="A646" s="385"/>
      <c r="B646" s="385"/>
      <c r="C646" s="385"/>
      <c r="D646" s="385"/>
      <c r="E646" s="385"/>
      <c r="F646" s="385"/>
      <c r="G646" s="385"/>
      <c r="H646" s="385"/>
      <c r="I646" s="442"/>
      <c r="J646" s="442"/>
      <c r="K646" s="442"/>
      <c r="L646" s="442"/>
      <c r="M646" s="442"/>
      <c r="N646" s="442"/>
      <c r="O646" s="443"/>
      <c r="P646" s="385"/>
      <c r="Q646" s="385"/>
      <c r="R646" s="385"/>
      <c r="S646" s="385"/>
      <c r="T646" s="385"/>
      <c r="U646" s="385"/>
      <c r="V646" s="385"/>
      <c r="W646" s="385"/>
      <c r="X646" s="385"/>
      <c r="Y646" s="385"/>
      <c r="Z646" s="385"/>
      <c r="AA646" s="385"/>
      <c r="AB646" s="385"/>
      <c r="AC646" s="385"/>
      <c r="AD646" s="385"/>
      <c r="AE646" s="385"/>
      <c r="AF646" s="385"/>
      <c r="AG646" s="385"/>
      <c r="AH646" s="385"/>
      <c r="AI646" s="385"/>
      <c r="AJ646" s="385"/>
      <c r="AK646" s="385"/>
      <c r="AL646" s="385"/>
      <c r="AM646" s="385"/>
      <c r="AN646" s="385"/>
      <c r="AO646" s="385"/>
      <c r="AP646" s="385"/>
      <c r="AQ646" s="385"/>
      <c r="AR646" s="385"/>
      <c r="AS646" s="385"/>
      <c r="AT646" s="385"/>
      <c r="AU646" s="385"/>
      <c r="AV646" s="385"/>
      <c r="AW646" s="385"/>
      <c r="AX646" s="385"/>
    </row>
    <row r="647" spans="1:50" ht="10.8" hidden="1" thickTop="1" x14ac:dyDescent="0.2">
      <c r="A647" s="385"/>
      <c r="B647" s="385"/>
      <c r="C647" s="385"/>
      <c r="D647" s="385"/>
      <c r="E647" s="385"/>
      <c r="F647" s="385"/>
      <c r="G647" s="385"/>
      <c r="H647" s="385"/>
      <c r="I647" s="442"/>
      <c r="J647" s="442"/>
      <c r="K647" s="442"/>
      <c r="L647" s="442"/>
      <c r="M647" s="442"/>
      <c r="N647" s="442"/>
      <c r="O647" s="443"/>
      <c r="P647" s="385"/>
      <c r="Q647" s="385"/>
      <c r="R647" s="385"/>
      <c r="S647" s="385"/>
      <c r="T647" s="385"/>
      <c r="U647" s="385"/>
      <c r="V647" s="385"/>
      <c r="W647" s="385"/>
      <c r="X647" s="385"/>
      <c r="Y647" s="385"/>
      <c r="Z647" s="385"/>
      <c r="AA647" s="385"/>
      <c r="AB647" s="385"/>
      <c r="AC647" s="385"/>
      <c r="AD647" s="385"/>
      <c r="AE647" s="385"/>
      <c r="AF647" s="385"/>
      <c r="AG647" s="385"/>
      <c r="AH647" s="385"/>
      <c r="AI647" s="385"/>
      <c r="AJ647" s="385"/>
      <c r="AK647" s="385"/>
      <c r="AL647" s="385"/>
      <c r="AM647" s="385"/>
      <c r="AN647" s="385"/>
      <c r="AO647" s="385"/>
      <c r="AP647" s="385"/>
      <c r="AQ647" s="385"/>
      <c r="AR647" s="385"/>
      <c r="AS647" s="385"/>
      <c r="AT647" s="385"/>
      <c r="AU647" s="385"/>
      <c r="AV647" s="385"/>
      <c r="AW647" s="385"/>
      <c r="AX647" s="385"/>
    </row>
    <row r="648" spans="1:50" ht="10.8" hidden="1" thickTop="1" x14ac:dyDescent="0.2">
      <c r="A648" s="385"/>
      <c r="B648" s="385"/>
      <c r="C648" s="385"/>
      <c r="D648" s="385"/>
      <c r="E648" s="385"/>
      <c r="F648" s="385"/>
      <c r="G648" s="385"/>
      <c r="H648" s="385"/>
      <c r="I648" s="442"/>
      <c r="J648" s="442"/>
      <c r="K648" s="442"/>
      <c r="L648" s="442"/>
      <c r="M648" s="442"/>
      <c r="N648" s="442"/>
      <c r="O648" s="443"/>
      <c r="P648" s="385"/>
      <c r="Q648" s="385"/>
      <c r="R648" s="385"/>
      <c r="S648" s="385"/>
      <c r="T648" s="385"/>
      <c r="U648" s="385"/>
      <c r="V648" s="385"/>
      <c r="W648" s="385"/>
      <c r="X648" s="385"/>
      <c r="Y648" s="385"/>
      <c r="Z648" s="385"/>
      <c r="AA648" s="385"/>
      <c r="AB648" s="385"/>
      <c r="AC648" s="385"/>
      <c r="AD648" s="385"/>
      <c r="AE648" s="385"/>
      <c r="AF648" s="385"/>
      <c r="AG648" s="385"/>
      <c r="AH648" s="385"/>
      <c r="AI648" s="385"/>
      <c r="AJ648" s="385"/>
      <c r="AK648" s="385"/>
      <c r="AL648" s="385"/>
      <c r="AM648" s="385"/>
      <c r="AN648" s="385"/>
      <c r="AO648" s="385"/>
      <c r="AP648" s="385"/>
      <c r="AQ648" s="385"/>
      <c r="AR648" s="385"/>
      <c r="AS648" s="385"/>
      <c r="AT648" s="385"/>
      <c r="AU648" s="385"/>
      <c r="AV648" s="385"/>
      <c r="AW648" s="385"/>
      <c r="AX648" s="385"/>
    </row>
    <row r="649" spans="1:50" ht="10.8" hidden="1" thickTop="1" x14ac:dyDescent="0.2">
      <c r="A649" s="385"/>
      <c r="B649" s="385"/>
      <c r="C649" s="385"/>
      <c r="D649" s="385"/>
      <c r="E649" s="385"/>
      <c r="F649" s="385"/>
      <c r="G649" s="385"/>
      <c r="H649" s="385"/>
      <c r="I649" s="442"/>
      <c r="J649" s="442"/>
      <c r="K649" s="442"/>
      <c r="L649" s="442"/>
      <c r="M649" s="442"/>
      <c r="N649" s="442"/>
      <c r="O649" s="443"/>
      <c r="P649" s="385"/>
      <c r="Q649" s="385"/>
      <c r="R649" s="385"/>
      <c r="S649" s="385"/>
      <c r="T649" s="385"/>
      <c r="U649" s="385"/>
      <c r="V649" s="385"/>
      <c r="W649" s="385"/>
      <c r="X649" s="385"/>
      <c r="Y649" s="385"/>
      <c r="Z649" s="385"/>
      <c r="AA649" s="385"/>
      <c r="AB649" s="385"/>
      <c r="AC649" s="385"/>
      <c r="AD649" s="385"/>
      <c r="AE649" s="385"/>
      <c r="AF649" s="385"/>
      <c r="AG649" s="385"/>
      <c r="AH649" s="385"/>
      <c r="AI649" s="385"/>
      <c r="AJ649" s="385"/>
      <c r="AK649" s="385"/>
      <c r="AL649" s="385"/>
      <c r="AM649" s="385"/>
      <c r="AN649" s="385"/>
      <c r="AO649" s="385"/>
      <c r="AP649" s="385"/>
      <c r="AQ649" s="385"/>
      <c r="AR649" s="385"/>
      <c r="AS649" s="385"/>
      <c r="AT649" s="385"/>
      <c r="AU649" s="385"/>
      <c r="AV649" s="385"/>
      <c r="AW649" s="385"/>
      <c r="AX649" s="385"/>
    </row>
    <row r="650" spans="1:50" ht="10.8" hidden="1" thickTop="1" x14ac:dyDescent="0.2">
      <c r="A650" s="385"/>
      <c r="B650" s="385"/>
      <c r="C650" s="385"/>
      <c r="D650" s="385"/>
      <c r="E650" s="385"/>
      <c r="F650" s="385"/>
      <c r="G650" s="385"/>
      <c r="H650" s="385"/>
      <c r="I650" s="442"/>
      <c r="J650" s="442"/>
      <c r="K650" s="442"/>
      <c r="L650" s="442"/>
      <c r="M650" s="442"/>
      <c r="N650" s="442"/>
      <c r="O650" s="443"/>
      <c r="P650" s="385"/>
      <c r="Q650" s="385"/>
      <c r="R650" s="385"/>
      <c r="S650" s="385"/>
      <c r="T650" s="385"/>
      <c r="U650" s="385"/>
      <c r="V650" s="385"/>
      <c r="W650" s="385"/>
      <c r="X650" s="385"/>
      <c r="Y650" s="385"/>
      <c r="Z650" s="385"/>
      <c r="AA650" s="385"/>
      <c r="AB650" s="385"/>
      <c r="AC650" s="385"/>
      <c r="AD650" s="385"/>
      <c r="AE650" s="385"/>
      <c r="AF650" s="385"/>
      <c r="AG650" s="385"/>
      <c r="AH650" s="385"/>
      <c r="AI650" s="385"/>
      <c r="AJ650" s="385"/>
      <c r="AK650" s="385"/>
      <c r="AL650" s="385"/>
      <c r="AM650" s="385"/>
      <c r="AN650" s="385"/>
      <c r="AO650" s="385"/>
      <c r="AP650" s="385"/>
      <c r="AQ650" s="385"/>
      <c r="AR650" s="385"/>
      <c r="AS650" s="385"/>
      <c r="AT650" s="385"/>
      <c r="AU650" s="385"/>
      <c r="AV650" s="385"/>
      <c r="AW650" s="385"/>
      <c r="AX650" s="385"/>
    </row>
    <row r="651" spans="1:50" ht="10.8" hidden="1" thickTop="1" x14ac:dyDescent="0.2">
      <c r="A651" s="385"/>
      <c r="B651" s="385"/>
      <c r="C651" s="385"/>
      <c r="D651" s="385"/>
      <c r="E651" s="385"/>
      <c r="F651" s="385"/>
      <c r="G651" s="385"/>
      <c r="H651" s="385"/>
      <c r="I651" s="442"/>
      <c r="J651" s="442"/>
      <c r="K651" s="442"/>
      <c r="L651" s="442"/>
      <c r="M651" s="442"/>
      <c r="N651" s="442"/>
      <c r="O651" s="443"/>
      <c r="P651" s="385"/>
      <c r="Q651" s="385"/>
      <c r="R651" s="385"/>
      <c r="S651" s="385"/>
      <c r="T651" s="385"/>
      <c r="U651" s="385"/>
      <c r="V651" s="385"/>
      <c r="W651" s="385"/>
      <c r="X651" s="385"/>
      <c r="Y651" s="385"/>
      <c r="Z651" s="385"/>
      <c r="AA651" s="385"/>
      <c r="AB651" s="385"/>
      <c r="AC651" s="385"/>
      <c r="AD651" s="385"/>
      <c r="AE651" s="385"/>
      <c r="AF651" s="385"/>
      <c r="AG651" s="385"/>
      <c r="AH651" s="385"/>
      <c r="AI651" s="385"/>
      <c r="AJ651" s="385"/>
      <c r="AK651" s="385"/>
      <c r="AL651" s="385"/>
      <c r="AM651" s="385"/>
      <c r="AN651" s="385"/>
      <c r="AO651" s="385"/>
      <c r="AP651" s="385"/>
      <c r="AQ651" s="385"/>
      <c r="AR651" s="385"/>
      <c r="AS651" s="385"/>
      <c r="AT651" s="385"/>
      <c r="AU651" s="385"/>
      <c r="AV651" s="385"/>
      <c r="AW651" s="385"/>
      <c r="AX651" s="385"/>
    </row>
    <row r="652" spans="1:50" ht="10.8" hidden="1" thickTop="1" x14ac:dyDescent="0.2">
      <c r="A652" s="385"/>
      <c r="B652" s="385"/>
      <c r="C652" s="385"/>
      <c r="D652" s="385"/>
      <c r="E652" s="385"/>
      <c r="F652" s="385"/>
      <c r="G652" s="385"/>
      <c r="H652" s="385"/>
      <c r="I652" s="442"/>
      <c r="J652" s="442"/>
      <c r="K652" s="442"/>
      <c r="L652" s="442"/>
      <c r="M652" s="442"/>
      <c r="N652" s="442"/>
      <c r="O652" s="443"/>
      <c r="P652" s="385"/>
      <c r="Q652" s="385"/>
      <c r="R652" s="385"/>
      <c r="S652" s="385"/>
      <c r="T652" s="385"/>
      <c r="U652" s="385"/>
      <c r="V652" s="385"/>
      <c r="W652" s="385"/>
      <c r="X652" s="385"/>
      <c r="Y652" s="385"/>
      <c r="Z652" s="385"/>
      <c r="AA652" s="385"/>
      <c r="AB652" s="385"/>
      <c r="AC652" s="385"/>
      <c r="AD652" s="385"/>
      <c r="AE652" s="385"/>
      <c r="AF652" s="385"/>
      <c r="AG652" s="385"/>
      <c r="AH652" s="385"/>
      <c r="AI652" s="385"/>
      <c r="AJ652" s="385"/>
      <c r="AK652" s="385"/>
      <c r="AL652" s="385"/>
      <c r="AM652" s="385"/>
      <c r="AN652" s="385"/>
      <c r="AO652" s="385"/>
      <c r="AP652" s="385"/>
      <c r="AQ652" s="385"/>
      <c r="AR652" s="385"/>
      <c r="AS652" s="385"/>
      <c r="AT652" s="385"/>
      <c r="AU652" s="385"/>
      <c r="AV652" s="385"/>
      <c r="AW652" s="385"/>
      <c r="AX652" s="385"/>
    </row>
    <row r="653" spans="1:50" ht="10.8" hidden="1" thickTop="1" x14ac:dyDescent="0.2">
      <c r="A653" s="385"/>
      <c r="B653" s="385"/>
      <c r="C653" s="385"/>
      <c r="D653" s="385"/>
      <c r="E653" s="385"/>
      <c r="F653" s="385"/>
      <c r="G653" s="385"/>
      <c r="H653" s="385"/>
      <c r="I653" s="442"/>
      <c r="J653" s="442"/>
      <c r="K653" s="442"/>
      <c r="L653" s="442"/>
      <c r="M653" s="442"/>
      <c r="N653" s="442"/>
      <c r="O653" s="443"/>
      <c r="P653" s="385"/>
      <c r="Q653" s="385"/>
      <c r="R653" s="385"/>
      <c r="S653" s="385"/>
      <c r="T653" s="385"/>
      <c r="U653" s="385"/>
      <c r="V653" s="385"/>
      <c r="W653" s="385"/>
      <c r="X653" s="385"/>
      <c r="Y653" s="385"/>
      <c r="Z653" s="385"/>
      <c r="AA653" s="385"/>
      <c r="AB653" s="385"/>
      <c r="AC653" s="385"/>
      <c r="AD653" s="385"/>
      <c r="AE653" s="385"/>
      <c r="AF653" s="385"/>
      <c r="AG653" s="385"/>
      <c r="AH653" s="385"/>
      <c r="AI653" s="385"/>
      <c r="AJ653" s="385"/>
      <c r="AK653" s="385"/>
      <c r="AL653" s="385"/>
      <c r="AM653" s="385"/>
      <c r="AN653" s="385"/>
      <c r="AO653" s="385"/>
      <c r="AP653" s="385"/>
      <c r="AQ653" s="385"/>
      <c r="AR653" s="385"/>
      <c r="AS653" s="385"/>
      <c r="AT653" s="385"/>
      <c r="AU653" s="385"/>
      <c r="AV653" s="385"/>
      <c r="AW653" s="385"/>
      <c r="AX653" s="385"/>
    </row>
    <row r="654" spans="1:50" ht="10.8" hidden="1" thickTop="1" x14ac:dyDescent="0.2">
      <c r="A654" s="385"/>
      <c r="B654" s="385"/>
      <c r="C654" s="385"/>
      <c r="D654" s="385"/>
      <c r="E654" s="385"/>
      <c r="F654" s="385"/>
      <c r="G654" s="385"/>
      <c r="H654" s="385"/>
      <c r="I654" s="442"/>
      <c r="J654" s="442"/>
      <c r="K654" s="442"/>
      <c r="L654" s="442"/>
      <c r="M654" s="442"/>
      <c r="N654" s="442"/>
      <c r="O654" s="443"/>
      <c r="P654" s="385"/>
      <c r="Q654" s="385"/>
      <c r="R654" s="385"/>
      <c r="S654" s="385"/>
      <c r="T654" s="385"/>
      <c r="U654" s="385"/>
      <c r="V654" s="385"/>
      <c r="W654" s="385"/>
      <c r="X654" s="385"/>
      <c r="Y654" s="385"/>
      <c r="Z654" s="385"/>
      <c r="AA654" s="385"/>
      <c r="AB654" s="385"/>
      <c r="AC654" s="385"/>
      <c r="AD654" s="385"/>
      <c r="AE654" s="385"/>
      <c r="AF654" s="385"/>
      <c r="AG654" s="385"/>
      <c r="AH654" s="385"/>
      <c r="AI654" s="385"/>
      <c r="AJ654" s="385"/>
      <c r="AK654" s="385"/>
      <c r="AL654" s="385"/>
      <c r="AM654" s="385"/>
      <c r="AN654" s="385"/>
      <c r="AO654" s="385"/>
      <c r="AP654" s="385"/>
      <c r="AQ654" s="385"/>
      <c r="AR654" s="385"/>
      <c r="AS654" s="385"/>
      <c r="AT654" s="385"/>
      <c r="AU654" s="385"/>
      <c r="AV654" s="385"/>
      <c r="AW654" s="385"/>
      <c r="AX654" s="385"/>
    </row>
    <row r="655" spans="1:50" ht="10.8" hidden="1" thickTop="1" x14ac:dyDescent="0.2">
      <c r="A655" s="385"/>
      <c r="B655" s="385"/>
      <c r="C655" s="385"/>
      <c r="D655" s="385"/>
      <c r="E655" s="385"/>
      <c r="F655" s="385"/>
      <c r="G655" s="385"/>
      <c r="H655" s="385"/>
      <c r="I655" s="442"/>
      <c r="J655" s="442"/>
      <c r="K655" s="442"/>
      <c r="L655" s="442"/>
      <c r="M655" s="442"/>
      <c r="N655" s="442"/>
      <c r="O655" s="443"/>
      <c r="P655" s="385"/>
      <c r="Q655" s="385"/>
      <c r="R655" s="385"/>
      <c r="S655" s="385"/>
      <c r="T655" s="385"/>
      <c r="U655" s="385"/>
      <c r="V655" s="385"/>
      <c r="W655" s="385"/>
      <c r="X655" s="385"/>
      <c r="Y655" s="385"/>
      <c r="Z655" s="385"/>
      <c r="AA655" s="385"/>
      <c r="AB655" s="385"/>
      <c r="AC655" s="385"/>
      <c r="AD655" s="385"/>
      <c r="AE655" s="385"/>
      <c r="AF655" s="385"/>
      <c r="AG655" s="385"/>
      <c r="AH655" s="385"/>
      <c r="AI655" s="385"/>
      <c r="AJ655" s="385"/>
      <c r="AK655" s="385"/>
      <c r="AL655" s="385"/>
      <c r="AM655" s="385"/>
      <c r="AN655" s="385"/>
      <c r="AO655" s="385"/>
      <c r="AP655" s="385"/>
      <c r="AQ655" s="385"/>
      <c r="AR655" s="385"/>
      <c r="AS655" s="385"/>
      <c r="AT655" s="385"/>
      <c r="AU655" s="385"/>
      <c r="AV655" s="385"/>
      <c r="AW655" s="385"/>
      <c r="AX655" s="385"/>
    </row>
    <row r="656" spans="1:50" ht="10.8" hidden="1" thickTop="1" x14ac:dyDescent="0.2">
      <c r="A656" s="385"/>
      <c r="B656" s="385"/>
      <c r="C656" s="385"/>
      <c r="D656" s="385"/>
      <c r="E656" s="385"/>
      <c r="F656" s="385"/>
      <c r="G656" s="385"/>
      <c r="H656" s="385"/>
      <c r="I656" s="442"/>
      <c r="J656" s="442"/>
      <c r="K656" s="442"/>
      <c r="L656" s="442"/>
      <c r="M656" s="442"/>
      <c r="N656" s="442"/>
      <c r="O656" s="443"/>
      <c r="P656" s="385"/>
      <c r="Q656" s="385"/>
      <c r="R656" s="385"/>
      <c r="S656" s="385"/>
      <c r="T656" s="385"/>
      <c r="U656" s="385"/>
      <c r="V656" s="385"/>
      <c r="W656" s="385"/>
      <c r="X656" s="385"/>
      <c r="Y656" s="385"/>
      <c r="Z656" s="385"/>
      <c r="AA656" s="385"/>
      <c r="AB656" s="385"/>
      <c r="AC656" s="385"/>
      <c r="AD656" s="385"/>
      <c r="AE656" s="385"/>
      <c r="AF656" s="385"/>
      <c r="AG656" s="385"/>
      <c r="AH656" s="385"/>
      <c r="AI656" s="385"/>
      <c r="AJ656" s="385"/>
      <c r="AK656" s="385"/>
      <c r="AL656" s="385"/>
      <c r="AM656" s="385"/>
      <c r="AN656" s="385"/>
      <c r="AO656" s="385"/>
      <c r="AP656" s="385"/>
      <c r="AQ656" s="385"/>
      <c r="AR656" s="385"/>
      <c r="AS656" s="385"/>
      <c r="AT656" s="385"/>
      <c r="AU656" s="385"/>
      <c r="AV656" s="385"/>
      <c r="AW656" s="385"/>
      <c r="AX656" s="385"/>
    </row>
    <row r="657" spans="1:50" ht="10.8" hidden="1" thickTop="1" x14ac:dyDescent="0.2">
      <c r="A657" s="385"/>
      <c r="B657" s="385"/>
      <c r="C657" s="385"/>
      <c r="D657" s="385"/>
      <c r="E657" s="385"/>
      <c r="F657" s="385"/>
      <c r="G657" s="385"/>
      <c r="H657" s="385"/>
      <c r="I657" s="442"/>
      <c r="J657" s="442"/>
      <c r="K657" s="442"/>
      <c r="L657" s="442"/>
      <c r="M657" s="442"/>
      <c r="N657" s="442"/>
      <c r="O657" s="443"/>
      <c r="P657" s="385"/>
      <c r="Q657" s="385"/>
      <c r="R657" s="385"/>
      <c r="S657" s="385"/>
      <c r="T657" s="385"/>
      <c r="U657" s="385"/>
      <c r="V657" s="385"/>
      <c r="W657" s="385"/>
      <c r="X657" s="385"/>
      <c r="Y657" s="385"/>
      <c r="Z657" s="385"/>
      <c r="AA657" s="385"/>
      <c r="AB657" s="385"/>
      <c r="AC657" s="385"/>
      <c r="AD657" s="385"/>
      <c r="AE657" s="385"/>
      <c r="AF657" s="385"/>
      <c r="AG657" s="385"/>
      <c r="AH657" s="385"/>
      <c r="AI657" s="385"/>
      <c r="AJ657" s="385"/>
      <c r="AK657" s="385"/>
      <c r="AL657" s="385"/>
      <c r="AM657" s="385"/>
      <c r="AN657" s="385"/>
      <c r="AO657" s="385"/>
      <c r="AP657" s="385"/>
      <c r="AQ657" s="385"/>
      <c r="AR657" s="385"/>
      <c r="AS657" s="385"/>
      <c r="AT657" s="385"/>
      <c r="AU657" s="385"/>
      <c r="AV657" s="385"/>
      <c r="AW657" s="385"/>
      <c r="AX657" s="385"/>
    </row>
    <row r="658" spans="1:50" ht="10.8" hidden="1" thickTop="1" x14ac:dyDescent="0.2">
      <c r="A658" s="385"/>
      <c r="B658" s="385"/>
      <c r="C658" s="385"/>
      <c r="D658" s="385"/>
      <c r="E658" s="385"/>
      <c r="F658" s="385"/>
      <c r="G658" s="385"/>
      <c r="H658" s="385"/>
      <c r="I658" s="442"/>
      <c r="J658" s="442"/>
      <c r="K658" s="442"/>
      <c r="L658" s="442"/>
      <c r="M658" s="442"/>
      <c r="N658" s="442"/>
      <c r="O658" s="443"/>
      <c r="P658" s="385"/>
      <c r="Q658" s="385"/>
      <c r="R658" s="385"/>
      <c r="S658" s="385"/>
      <c r="T658" s="385"/>
      <c r="U658" s="385"/>
      <c r="V658" s="385"/>
      <c r="W658" s="385"/>
      <c r="X658" s="385"/>
      <c r="Y658" s="385"/>
      <c r="Z658" s="385"/>
      <c r="AA658" s="385"/>
      <c r="AB658" s="385"/>
      <c r="AC658" s="385"/>
      <c r="AD658" s="385"/>
      <c r="AE658" s="385"/>
      <c r="AF658" s="385"/>
      <c r="AG658" s="385"/>
      <c r="AH658" s="385"/>
      <c r="AI658" s="385"/>
      <c r="AJ658" s="385"/>
      <c r="AK658" s="385"/>
      <c r="AL658" s="385"/>
      <c r="AM658" s="385"/>
      <c r="AN658" s="385"/>
      <c r="AO658" s="385"/>
      <c r="AP658" s="385"/>
      <c r="AQ658" s="385"/>
      <c r="AR658" s="385"/>
      <c r="AS658" s="385"/>
      <c r="AT658" s="385"/>
      <c r="AU658" s="385"/>
      <c r="AV658" s="385"/>
      <c r="AW658" s="385"/>
      <c r="AX658" s="385"/>
    </row>
    <row r="659" spans="1:50" ht="10.8" hidden="1" thickTop="1" x14ac:dyDescent="0.2">
      <c r="A659" s="385"/>
      <c r="B659" s="385"/>
      <c r="C659" s="385"/>
      <c r="D659" s="385"/>
      <c r="E659" s="385"/>
      <c r="F659" s="385"/>
      <c r="G659" s="385"/>
      <c r="H659" s="385"/>
      <c r="I659" s="442"/>
      <c r="J659" s="442"/>
      <c r="K659" s="442"/>
      <c r="L659" s="442"/>
      <c r="M659" s="442"/>
      <c r="N659" s="442"/>
      <c r="O659" s="443"/>
      <c r="P659" s="385"/>
      <c r="Q659" s="385"/>
      <c r="R659" s="385"/>
      <c r="S659" s="385"/>
      <c r="T659" s="385"/>
      <c r="U659" s="385"/>
      <c r="V659" s="385"/>
      <c r="W659" s="385"/>
      <c r="X659" s="385"/>
      <c r="Y659" s="385"/>
      <c r="Z659" s="385"/>
      <c r="AA659" s="385"/>
      <c r="AB659" s="385"/>
      <c r="AC659" s="385"/>
      <c r="AD659" s="385"/>
      <c r="AE659" s="385"/>
      <c r="AF659" s="385"/>
      <c r="AG659" s="385"/>
      <c r="AH659" s="385"/>
      <c r="AI659" s="385"/>
      <c r="AJ659" s="385"/>
      <c r="AK659" s="385"/>
      <c r="AL659" s="385"/>
      <c r="AM659" s="385"/>
      <c r="AN659" s="385"/>
      <c r="AO659" s="385"/>
      <c r="AP659" s="385"/>
      <c r="AQ659" s="385"/>
      <c r="AR659" s="385"/>
      <c r="AS659" s="385"/>
      <c r="AT659" s="385"/>
      <c r="AU659" s="385"/>
      <c r="AV659" s="385"/>
      <c r="AW659" s="385"/>
      <c r="AX659" s="385"/>
    </row>
    <row r="660" spans="1:50" ht="10.8" hidden="1" thickTop="1" x14ac:dyDescent="0.2">
      <c r="A660" s="385"/>
      <c r="B660" s="385"/>
      <c r="C660" s="385"/>
      <c r="D660" s="385"/>
      <c r="E660" s="385"/>
      <c r="F660" s="385"/>
      <c r="G660" s="385"/>
      <c r="H660" s="385"/>
      <c r="I660" s="442"/>
      <c r="J660" s="442"/>
      <c r="K660" s="442"/>
      <c r="L660" s="442"/>
      <c r="M660" s="442"/>
      <c r="N660" s="442"/>
      <c r="O660" s="443"/>
      <c r="P660" s="385"/>
      <c r="Q660" s="385"/>
      <c r="R660" s="385"/>
      <c r="S660" s="385"/>
      <c r="T660" s="385"/>
      <c r="U660" s="385"/>
      <c r="V660" s="385"/>
      <c r="W660" s="385"/>
      <c r="X660" s="385"/>
      <c r="Y660" s="385"/>
      <c r="Z660" s="385"/>
      <c r="AA660" s="385"/>
      <c r="AB660" s="385"/>
      <c r="AC660" s="385"/>
      <c r="AD660" s="385"/>
      <c r="AE660" s="385"/>
      <c r="AF660" s="385"/>
      <c r="AG660" s="385"/>
      <c r="AH660" s="385"/>
      <c r="AI660" s="385"/>
      <c r="AJ660" s="385"/>
      <c r="AK660" s="385"/>
      <c r="AL660" s="385"/>
      <c r="AM660" s="385"/>
      <c r="AN660" s="385"/>
      <c r="AO660" s="385"/>
      <c r="AP660" s="385"/>
      <c r="AQ660" s="385"/>
      <c r="AR660" s="385"/>
      <c r="AS660" s="385"/>
      <c r="AT660" s="385"/>
      <c r="AU660" s="385"/>
      <c r="AV660" s="385"/>
      <c r="AW660" s="385"/>
      <c r="AX660" s="385"/>
    </row>
    <row r="661" spans="1:50" ht="10.8" hidden="1" thickTop="1" x14ac:dyDescent="0.2">
      <c r="A661" s="385"/>
      <c r="B661" s="385"/>
      <c r="C661" s="385"/>
      <c r="D661" s="385"/>
      <c r="E661" s="385"/>
      <c r="F661" s="385"/>
      <c r="G661" s="385"/>
      <c r="H661" s="385"/>
      <c r="I661" s="442"/>
      <c r="J661" s="442"/>
      <c r="K661" s="442"/>
      <c r="L661" s="442"/>
      <c r="M661" s="442"/>
      <c r="N661" s="442"/>
      <c r="O661" s="443"/>
      <c r="P661" s="385"/>
      <c r="Q661" s="385"/>
      <c r="R661" s="385"/>
      <c r="S661" s="385"/>
      <c r="T661" s="385"/>
      <c r="U661" s="385"/>
      <c r="V661" s="385"/>
      <c r="W661" s="385"/>
      <c r="X661" s="385"/>
      <c r="Y661" s="385"/>
      <c r="Z661" s="385"/>
      <c r="AA661" s="385"/>
      <c r="AB661" s="385"/>
      <c r="AC661" s="385"/>
      <c r="AD661" s="385"/>
      <c r="AE661" s="385"/>
      <c r="AF661" s="385"/>
      <c r="AG661" s="385"/>
      <c r="AH661" s="385"/>
      <c r="AI661" s="385"/>
      <c r="AJ661" s="385"/>
      <c r="AK661" s="385"/>
      <c r="AL661" s="385"/>
      <c r="AM661" s="385"/>
      <c r="AN661" s="385"/>
      <c r="AO661" s="385"/>
      <c r="AP661" s="385"/>
      <c r="AQ661" s="385"/>
      <c r="AR661" s="385"/>
      <c r="AS661" s="385"/>
      <c r="AT661" s="385"/>
      <c r="AU661" s="385"/>
      <c r="AV661" s="385"/>
      <c r="AW661" s="385"/>
      <c r="AX661" s="385"/>
    </row>
    <row r="662" spans="1:50" ht="10.8" hidden="1" thickTop="1" x14ac:dyDescent="0.2">
      <c r="A662" s="385"/>
      <c r="B662" s="385"/>
      <c r="C662" s="385"/>
      <c r="D662" s="385"/>
      <c r="E662" s="385"/>
      <c r="F662" s="385"/>
      <c r="G662" s="385"/>
      <c r="H662" s="385"/>
      <c r="I662" s="442"/>
      <c r="J662" s="442"/>
      <c r="K662" s="442"/>
      <c r="L662" s="442"/>
      <c r="M662" s="442"/>
      <c r="N662" s="442"/>
      <c r="O662" s="443"/>
      <c r="P662" s="385"/>
      <c r="Q662" s="385"/>
      <c r="R662" s="385"/>
      <c r="S662" s="385"/>
      <c r="T662" s="385"/>
      <c r="U662" s="385"/>
      <c r="V662" s="385"/>
      <c r="W662" s="385"/>
      <c r="X662" s="385"/>
      <c r="Y662" s="385"/>
      <c r="Z662" s="385"/>
      <c r="AA662" s="385"/>
      <c r="AB662" s="385"/>
      <c r="AC662" s="385"/>
      <c r="AD662" s="385"/>
      <c r="AE662" s="385"/>
      <c r="AF662" s="385"/>
      <c r="AG662" s="385"/>
      <c r="AH662" s="385"/>
      <c r="AI662" s="385"/>
      <c r="AJ662" s="385"/>
      <c r="AK662" s="385"/>
      <c r="AL662" s="385"/>
      <c r="AM662" s="385"/>
      <c r="AN662" s="385"/>
      <c r="AO662" s="385"/>
      <c r="AP662" s="385"/>
      <c r="AQ662" s="385"/>
      <c r="AR662" s="385"/>
      <c r="AS662" s="385"/>
      <c r="AT662" s="385"/>
      <c r="AU662" s="385"/>
      <c r="AV662" s="385"/>
      <c r="AW662" s="385"/>
      <c r="AX662" s="385"/>
    </row>
    <row r="663" spans="1:50" ht="10.8" hidden="1" thickTop="1" x14ac:dyDescent="0.2">
      <c r="A663" s="385"/>
      <c r="B663" s="385"/>
      <c r="C663" s="385"/>
      <c r="D663" s="385"/>
      <c r="E663" s="385"/>
      <c r="F663" s="385"/>
      <c r="G663" s="385"/>
      <c r="H663" s="385"/>
      <c r="I663" s="442"/>
      <c r="J663" s="442"/>
      <c r="K663" s="442"/>
      <c r="L663" s="442"/>
      <c r="M663" s="442"/>
      <c r="N663" s="442"/>
      <c r="O663" s="443"/>
      <c r="P663" s="385"/>
      <c r="Q663" s="385"/>
      <c r="R663" s="385"/>
      <c r="S663" s="385"/>
      <c r="T663" s="385"/>
      <c r="U663" s="385"/>
      <c r="V663" s="385"/>
      <c r="W663" s="385"/>
      <c r="X663" s="385"/>
      <c r="Y663" s="385"/>
      <c r="Z663" s="385"/>
      <c r="AA663" s="385"/>
      <c r="AB663" s="385"/>
      <c r="AC663" s="385"/>
      <c r="AD663" s="385"/>
      <c r="AE663" s="385"/>
      <c r="AF663" s="385"/>
      <c r="AG663" s="385"/>
      <c r="AH663" s="385"/>
      <c r="AI663" s="385"/>
      <c r="AJ663" s="385"/>
      <c r="AK663" s="385"/>
      <c r="AL663" s="385"/>
      <c r="AM663" s="385"/>
      <c r="AN663" s="385"/>
      <c r="AO663" s="385"/>
      <c r="AP663" s="385"/>
      <c r="AQ663" s="385"/>
      <c r="AR663" s="385"/>
      <c r="AS663" s="385"/>
      <c r="AT663" s="385"/>
      <c r="AU663" s="385"/>
      <c r="AV663" s="385"/>
      <c r="AW663" s="385"/>
      <c r="AX663" s="385"/>
    </row>
    <row r="664" spans="1:50" ht="10.8" hidden="1" thickTop="1" x14ac:dyDescent="0.2">
      <c r="A664" s="385"/>
      <c r="B664" s="385"/>
      <c r="C664" s="385"/>
      <c r="D664" s="385"/>
      <c r="E664" s="385"/>
      <c r="F664" s="385"/>
      <c r="G664" s="385"/>
      <c r="H664" s="385"/>
      <c r="I664" s="442"/>
      <c r="J664" s="442"/>
      <c r="K664" s="442"/>
      <c r="L664" s="442"/>
      <c r="M664" s="442"/>
      <c r="N664" s="442"/>
      <c r="O664" s="443"/>
      <c r="P664" s="385"/>
      <c r="Q664" s="385"/>
      <c r="R664" s="385"/>
      <c r="S664" s="385"/>
      <c r="T664" s="385"/>
      <c r="U664" s="385"/>
      <c r="V664" s="385"/>
      <c r="W664" s="385"/>
      <c r="X664" s="385"/>
      <c r="Y664" s="385"/>
      <c r="Z664" s="385"/>
      <c r="AA664" s="385"/>
      <c r="AB664" s="385"/>
      <c r="AC664" s="385"/>
      <c r="AD664" s="385"/>
      <c r="AE664" s="385"/>
      <c r="AF664" s="385"/>
      <c r="AG664" s="385"/>
      <c r="AH664" s="385"/>
      <c r="AI664" s="385"/>
      <c r="AJ664" s="385"/>
      <c r="AK664" s="385"/>
      <c r="AL664" s="385"/>
      <c r="AM664" s="385"/>
      <c r="AN664" s="385"/>
      <c r="AO664" s="385"/>
      <c r="AP664" s="385"/>
      <c r="AQ664" s="385"/>
      <c r="AR664" s="385"/>
      <c r="AS664" s="385"/>
      <c r="AT664" s="385"/>
      <c r="AU664" s="385"/>
      <c r="AV664" s="385"/>
      <c r="AW664" s="385"/>
      <c r="AX664" s="385"/>
    </row>
    <row r="665" spans="1:50" ht="10.8" hidden="1" thickTop="1" x14ac:dyDescent="0.2">
      <c r="A665" s="385"/>
      <c r="B665" s="385"/>
      <c r="C665" s="385"/>
      <c r="D665" s="385"/>
      <c r="E665" s="385"/>
      <c r="F665" s="385"/>
      <c r="G665" s="385"/>
      <c r="H665" s="385"/>
      <c r="I665" s="442"/>
      <c r="J665" s="442"/>
      <c r="K665" s="442"/>
      <c r="L665" s="442"/>
      <c r="M665" s="442"/>
      <c r="N665" s="442"/>
      <c r="O665" s="443"/>
      <c r="P665" s="385"/>
      <c r="Q665" s="385"/>
      <c r="R665" s="385"/>
      <c r="S665" s="385"/>
      <c r="T665" s="385"/>
      <c r="U665" s="385"/>
      <c r="V665" s="385"/>
      <c r="W665" s="385"/>
      <c r="X665" s="385"/>
      <c r="Y665" s="385"/>
      <c r="Z665" s="385"/>
      <c r="AA665" s="385"/>
      <c r="AB665" s="385"/>
      <c r="AC665" s="385"/>
      <c r="AD665" s="385"/>
      <c r="AE665" s="385"/>
      <c r="AF665" s="385"/>
      <c r="AG665" s="385"/>
      <c r="AH665" s="385"/>
      <c r="AI665" s="385"/>
      <c r="AJ665" s="385"/>
      <c r="AK665" s="385"/>
      <c r="AL665" s="385"/>
      <c r="AM665" s="385"/>
      <c r="AN665" s="385"/>
      <c r="AO665" s="385"/>
      <c r="AP665" s="385"/>
      <c r="AQ665" s="385"/>
      <c r="AR665" s="385"/>
      <c r="AS665" s="385"/>
      <c r="AT665" s="385"/>
      <c r="AU665" s="385"/>
      <c r="AV665" s="385"/>
      <c r="AW665" s="385"/>
      <c r="AX665" s="385"/>
    </row>
    <row r="666" spans="1:50" ht="10.8" hidden="1" thickTop="1" x14ac:dyDescent="0.2">
      <c r="A666" s="385"/>
      <c r="B666" s="385"/>
      <c r="C666" s="385"/>
      <c r="D666" s="385"/>
      <c r="E666" s="385"/>
      <c r="F666" s="385"/>
      <c r="G666" s="385"/>
      <c r="H666" s="385"/>
      <c r="I666" s="442"/>
      <c r="J666" s="442"/>
      <c r="K666" s="442"/>
      <c r="L666" s="442"/>
      <c r="M666" s="442"/>
      <c r="N666" s="442"/>
      <c r="O666" s="443"/>
      <c r="P666" s="385"/>
      <c r="Q666" s="385"/>
      <c r="R666" s="385"/>
      <c r="S666" s="385"/>
      <c r="T666" s="385"/>
      <c r="U666" s="385"/>
      <c r="V666" s="385"/>
      <c r="W666" s="385"/>
      <c r="X666" s="385"/>
      <c r="Y666" s="385"/>
      <c r="Z666" s="385"/>
      <c r="AA666" s="385"/>
      <c r="AB666" s="385"/>
      <c r="AC666" s="385"/>
      <c r="AD666" s="385"/>
      <c r="AE666" s="385"/>
      <c r="AF666" s="385"/>
      <c r="AG666" s="385"/>
      <c r="AH666" s="385"/>
      <c r="AI666" s="385"/>
      <c r="AJ666" s="385"/>
      <c r="AK666" s="385"/>
      <c r="AL666" s="385"/>
      <c r="AM666" s="385"/>
      <c r="AN666" s="385"/>
      <c r="AO666" s="385"/>
      <c r="AP666" s="385"/>
      <c r="AQ666" s="385"/>
      <c r="AR666" s="385"/>
      <c r="AS666" s="385"/>
      <c r="AT666" s="385"/>
      <c r="AU666" s="385"/>
      <c r="AV666" s="385"/>
      <c r="AW666" s="385"/>
      <c r="AX666" s="385"/>
    </row>
    <row r="667" spans="1:50" ht="10.8" hidden="1" thickTop="1" x14ac:dyDescent="0.2">
      <c r="A667" s="385"/>
      <c r="B667" s="385"/>
      <c r="C667" s="385"/>
      <c r="D667" s="385"/>
      <c r="E667" s="385"/>
      <c r="F667" s="385"/>
      <c r="G667" s="385"/>
      <c r="H667" s="385"/>
      <c r="I667" s="442"/>
      <c r="J667" s="442"/>
      <c r="K667" s="442"/>
      <c r="L667" s="442"/>
      <c r="M667" s="442"/>
      <c r="N667" s="442"/>
      <c r="O667" s="443"/>
      <c r="P667" s="385"/>
      <c r="Q667" s="385"/>
      <c r="R667" s="385"/>
      <c r="S667" s="385"/>
      <c r="T667" s="385"/>
      <c r="U667" s="385"/>
      <c r="V667" s="385"/>
      <c r="W667" s="385"/>
      <c r="X667" s="385"/>
      <c r="Y667" s="385"/>
      <c r="Z667" s="385"/>
      <c r="AA667" s="385"/>
      <c r="AB667" s="385"/>
      <c r="AC667" s="385"/>
      <c r="AD667" s="385"/>
      <c r="AE667" s="385"/>
      <c r="AF667" s="385"/>
      <c r="AG667" s="385"/>
      <c r="AH667" s="385"/>
      <c r="AI667" s="385"/>
      <c r="AJ667" s="385"/>
      <c r="AK667" s="385"/>
      <c r="AL667" s="385"/>
      <c r="AM667" s="385"/>
      <c r="AN667" s="385"/>
      <c r="AO667" s="385"/>
      <c r="AP667" s="385"/>
      <c r="AQ667" s="385"/>
      <c r="AR667" s="385"/>
      <c r="AS667" s="385"/>
      <c r="AT667" s="385"/>
      <c r="AU667" s="385"/>
      <c r="AV667" s="385"/>
      <c r="AW667" s="385"/>
      <c r="AX667" s="385"/>
    </row>
    <row r="668" spans="1:50" ht="10.8" hidden="1" thickTop="1" x14ac:dyDescent="0.2">
      <c r="A668" s="385"/>
      <c r="B668" s="385"/>
      <c r="C668" s="385"/>
      <c r="D668" s="385"/>
      <c r="E668" s="385"/>
      <c r="F668" s="385"/>
      <c r="G668" s="385"/>
      <c r="H668" s="385"/>
      <c r="I668" s="442"/>
      <c r="J668" s="442"/>
      <c r="K668" s="442"/>
      <c r="L668" s="442"/>
      <c r="M668" s="442"/>
      <c r="N668" s="442"/>
      <c r="O668" s="443"/>
      <c r="P668" s="385"/>
      <c r="Q668" s="385"/>
      <c r="R668" s="385"/>
      <c r="S668" s="385"/>
      <c r="T668" s="385"/>
      <c r="U668" s="385"/>
      <c r="V668" s="385"/>
      <c r="W668" s="385"/>
      <c r="X668" s="385"/>
      <c r="Y668" s="385"/>
      <c r="Z668" s="385"/>
      <c r="AA668" s="385"/>
      <c r="AB668" s="385"/>
      <c r="AC668" s="385"/>
      <c r="AD668" s="385"/>
      <c r="AE668" s="385"/>
      <c r="AF668" s="385"/>
      <c r="AG668" s="385"/>
      <c r="AH668" s="385"/>
      <c r="AI668" s="385"/>
      <c r="AJ668" s="385"/>
      <c r="AK668" s="385"/>
      <c r="AL668" s="385"/>
      <c r="AM668" s="385"/>
      <c r="AN668" s="385"/>
      <c r="AO668" s="385"/>
      <c r="AP668" s="385"/>
      <c r="AQ668" s="385"/>
      <c r="AR668" s="385"/>
      <c r="AS668" s="385"/>
      <c r="AT668" s="385"/>
      <c r="AU668" s="385"/>
      <c r="AV668" s="385"/>
      <c r="AW668" s="385"/>
      <c r="AX668" s="385"/>
    </row>
    <row r="669" spans="1:50" ht="10.8" hidden="1" thickTop="1" x14ac:dyDescent="0.2">
      <c r="A669" s="385"/>
      <c r="B669" s="385"/>
      <c r="C669" s="385"/>
      <c r="D669" s="385"/>
      <c r="E669" s="385"/>
      <c r="F669" s="385"/>
      <c r="G669" s="385"/>
      <c r="H669" s="385"/>
      <c r="I669" s="442"/>
      <c r="J669" s="442"/>
      <c r="K669" s="442"/>
      <c r="L669" s="442"/>
      <c r="M669" s="442"/>
      <c r="N669" s="442"/>
      <c r="O669" s="443"/>
      <c r="P669" s="385"/>
      <c r="Q669" s="385"/>
      <c r="R669" s="385"/>
      <c r="S669" s="385"/>
      <c r="T669" s="385"/>
      <c r="U669" s="385"/>
      <c r="V669" s="385"/>
      <c r="W669" s="385"/>
      <c r="X669" s="385"/>
      <c r="Y669" s="385"/>
      <c r="Z669" s="385"/>
      <c r="AA669" s="385"/>
      <c r="AB669" s="385"/>
      <c r="AC669" s="385"/>
      <c r="AD669" s="385"/>
      <c r="AE669" s="385"/>
      <c r="AF669" s="385"/>
      <c r="AG669" s="385"/>
      <c r="AH669" s="385"/>
      <c r="AI669" s="385"/>
      <c r="AJ669" s="385"/>
      <c r="AK669" s="385"/>
      <c r="AL669" s="385"/>
      <c r="AM669" s="385"/>
      <c r="AN669" s="385"/>
      <c r="AO669" s="385"/>
      <c r="AP669" s="385"/>
      <c r="AQ669" s="385"/>
      <c r="AR669" s="385"/>
      <c r="AS669" s="385"/>
      <c r="AT669" s="385"/>
      <c r="AU669" s="385"/>
      <c r="AV669" s="385"/>
      <c r="AW669" s="385"/>
      <c r="AX669" s="385"/>
    </row>
    <row r="670" spans="1:50" ht="10.8" hidden="1" thickTop="1" x14ac:dyDescent="0.2">
      <c r="A670" s="385"/>
      <c r="B670" s="385"/>
      <c r="C670" s="385"/>
      <c r="D670" s="385"/>
      <c r="E670" s="385"/>
      <c r="F670" s="385"/>
      <c r="G670" s="385"/>
      <c r="H670" s="385"/>
      <c r="I670" s="442"/>
      <c r="J670" s="442"/>
      <c r="K670" s="442"/>
      <c r="L670" s="442"/>
      <c r="M670" s="442"/>
      <c r="N670" s="442"/>
      <c r="O670" s="443"/>
      <c r="P670" s="385"/>
      <c r="Q670" s="385"/>
      <c r="R670" s="385"/>
      <c r="S670" s="385"/>
      <c r="T670" s="385"/>
      <c r="U670" s="385"/>
      <c r="V670" s="385"/>
      <c r="W670" s="385"/>
      <c r="X670" s="385"/>
      <c r="Y670" s="385"/>
      <c r="Z670" s="385"/>
      <c r="AA670" s="385"/>
      <c r="AB670" s="385"/>
      <c r="AC670" s="385"/>
      <c r="AD670" s="385"/>
      <c r="AE670" s="385"/>
      <c r="AF670" s="385"/>
      <c r="AG670" s="385"/>
      <c r="AH670" s="385"/>
      <c r="AI670" s="385"/>
      <c r="AJ670" s="385"/>
      <c r="AK670" s="385"/>
      <c r="AL670" s="385"/>
      <c r="AM670" s="385"/>
      <c r="AN670" s="385"/>
      <c r="AO670" s="385"/>
      <c r="AP670" s="385"/>
      <c r="AQ670" s="385"/>
      <c r="AR670" s="385"/>
      <c r="AS670" s="385"/>
      <c r="AT670" s="385"/>
      <c r="AU670" s="385"/>
      <c r="AV670" s="385"/>
      <c r="AW670" s="385"/>
      <c r="AX670" s="385"/>
    </row>
    <row r="671" spans="1:50" ht="10.8" hidden="1" thickTop="1" x14ac:dyDescent="0.2">
      <c r="A671" s="385"/>
      <c r="B671" s="385"/>
      <c r="C671" s="385"/>
      <c r="D671" s="385"/>
      <c r="E671" s="385"/>
      <c r="F671" s="385"/>
      <c r="G671" s="385"/>
      <c r="H671" s="385"/>
      <c r="I671" s="442"/>
      <c r="J671" s="442"/>
      <c r="K671" s="442"/>
      <c r="L671" s="442"/>
      <c r="M671" s="442"/>
      <c r="N671" s="442"/>
      <c r="O671" s="443"/>
      <c r="P671" s="385"/>
      <c r="Q671" s="385"/>
      <c r="R671" s="385"/>
      <c r="S671" s="385"/>
      <c r="T671" s="385"/>
      <c r="U671" s="385"/>
      <c r="V671" s="385"/>
      <c r="W671" s="385"/>
      <c r="X671" s="385"/>
      <c r="Y671" s="385"/>
      <c r="Z671" s="385"/>
      <c r="AA671" s="385"/>
      <c r="AB671" s="385"/>
      <c r="AC671" s="385"/>
      <c r="AD671" s="385"/>
      <c r="AE671" s="385"/>
      <c r="AF671" s="385"/>
      <c r="AG671" s="385"/>
      <c r="AH671" s="385"/>
      <c r="AI671" s="385"/>
      <c r="AJ671" s="385"/>
      <c r="AK671" s="385"/>
      <c r="AL671" s="385"/>
      <c r="AM671" s="385"/>
      <c r="AN671" s="385"/>
      <c r="AO671" s="385"/>
      <c r="AP671" s="385"/>
      <c r="AQ671" s="385"/>
      <c r="AR671" s="385"/>
      <c r="AS671" s="385"/>
      <c r="AT671" s="385"/>
      <c r="AU671" s="385"/>
      <c r="AV671" s="385"/>
      <c r="AW671" s="385"/>
      <c r="AX671" s="385"/>
    </row>
    <row r="672" spans="1:50" ht="10.8" hidden="1" thickTop="1" x14ac:dyDescent="0.2">
      <c r="A672" s="385"/>
      <c r="B672" s="385"/>
      <c r="C672" s="385"/>
      <c r="D672" s="385"/>
      <c r="E672" s="385"/>
      <c r="F672" s="385"/>
      <c r="G672" s="385"/>
      <c r="H672" s="385"/>
      <c r="I672" s="442"/>
      <c r="J672" s="442"/>
      <c r="K672" s="442"/>
      <c r="L672" s="442"/>
      <c r="M672" s="442"/>
      <c r="N672" s="442"/>
      <c r="O672" s="443"/>
      <c r="P672" s="385"/>
      <c r="Q672" s="385"/>
      <c r="R672" s="385"/>
      <c r="S672" s="385"/>
      <c r="T672" s="385"/>
      <c r="U672" s="385"/>
      <c r="V672" s="385"/>
      <c r="W672" s="385"/>
      <c r="X672" s="385"/>
      <c r="Y672" s="385"/>
      <c r="Z672" s="385"/>
      <c r="AA672" s="385"/>
      <c r="AB672" s="385"/>
      <c r="AC672" s="385"/>
      <c r="AD672" s="385"/>
      <c r="AE672" s="385"/>
      <c r="AF672" s="385"/>
      <c r="AG672" s="385"/>
      <c r="AH672" s="385"/>
      <c r="AI672" s="385"/>
      <c r="AJ672" s="385"/>
      <c r="AK672" s="385"/>
      <c r="AL672" s="385"/>
      <c r="AM672" s="385"/>
      <c r="AN672" s="385"/>
      <c r="AO672" s="385"/>
      <c r="AP672" s="385"/>
      <c r="AQ672" s="385"/>
      <c r="AR672" s="385"/>
      <c r="AS672" s="385"/>
      <c r="AT672" s="385"/>
      <c r="AU672" s="385"/>
      <c r="AV672" s="385"/>
      <c r="AW672" s="385"/>
      <c r="AX672" s="385"/>
    </row>
    <row r="673" spans="1:50" ht="10.8" hidden="1" thickTop="1" x14ac:dyDescent="0.2">
      <c r="A673" s="385"/>
      <c r="B673" s="385"/>
      <c r="C673" s="385"/>
      <c r="D673" s="385"/>
      <c r="E673" s="385"/>
      <c r="F673" s="385"/>
      <c r="G673" s="385"/>
      <c r="H673" s="385"/>
      <c r="I673" s="442"/>
      <c r="J673" s="442"/>
      <c r="K673" s="442"/>
      <c r="L673" s="442"/>
      <c r="M673" s="442"/>
      <c r="N673" s="442"/>
      <c r="O673" s="443"/>
      <c r="P673" s="385"/>
      <c r="Q673" s="385"/>
      <c r="R673" s="385"/>
      <c r="S673" s="385"/>
      <c r="T673" s="385"/>
      <c r="U673" s="385"/>
      <c r="V673" s="385"/>
      <c r="W673" s="385"/>
      <c r="X673" s="385"/>
      <c r="Y673" s="385"/>
      <c r="Z673" s="385"/>
      <c r="AA673" s="385"/>
      <c r="AB673" s="385"/>
      <c r="AC673" s="385"/>
      <c r="AD673" s="385"/>
      <c r="AE673" s="385"/>
      <c r="AF673" s="385"/>
      <c r="AG673" s="385"/>
      <c r="AH673" s="385"/>
      <c r="AI673" s="385"/>
      <c r="AJ673" s="385"/>
      <c r="AK673" s="385"/>
      <c r="AL673" s="385"/>
      <c r="AM673" s="385"/>
      <c r="AN673" s="385"/>
      <c r="AO673" s="385"/>
      <c r="AP673" s="385"/>
      <c r="AQ673" s="385"/>
      <c r="AR673" s="385"/>
      <c r="AS673" s="385"/>
      <c r="AT673" s="385"/>
      <c r="AU673" s="385"/>
      <c r="AV673" s="385"/>
      <c r="AW673" s="385"/>
      <c r="AX673" s="385"/>
    </row>
    <row r="674" spans="1:50" ht="10.8" hidden="1" thickTop="1" x14ac:dyDescent="0.2">
      <c r="A674" s="385"/>
      <c r="B674" s="385"/>
      <c r="C674" s="385"/>
      <c r="D674" s="385"/>
      <c r="E674" s="385"/>
      <c r="F674" s="385"/>
      <c r="G674" s="385"/>
      <c r="H674" s="385"/>
      <c r="I674" s="442"/>
      <c r="J674" s="442"/>
      <c r="K674" s="442"/>
      <c r="L674" s="442"/>
      <c r="M674" s="442"/>
      <c r="N674" s="442"/>
      <c r="O674" s="443"/>
      <c r="P674" s="385"/>
      <c r="Q674" s="385"/>
      <c r="R674" s="385"/>
      <c r="S674" s="385"/>
      <c r="T674" s="385"/>
      <c r="U674" s="385"/>
      <c r="V674" s="385"/>
      <c r="W674" s="385"/>
      <c r="X674" s="385"/>
      <c r="Y674" s="385"/>
      <c r="Z674" s="385"/>
      <c r="AA674" s="385"/>
      <c r="AB674" s="385"/>
      <c r="AC674" s="385"/>
      <c r="AD674" s="385"/>
      <c r="AE674" s="385"/>
      <c r="AF674" s="385"/>
      <c r="AG674" s="385"/>
      <c r="AH674" s="385"/>
      <c r="AI674" s="385"/>
      <c r="AJ674" s="385"/>
      <c r="AK674" s="385"/>
      <c r="AL674" s="385"/>
      <c r="AM674" s="385"/>
      <c r="AN674" s="385"/>
      <c r="AO674" s="385"/>
      <c r="AP674" s="385"/>
      <c r="AQ674" s="385"/>
      <c r="AR674" s="385"/>
      <c r="AS674" s="385"/>
      <c r="AT674" s="385"/>
      <c r="AU674" s="385"/>
      <c r="AV674" s="385"/>
      <c r="AW674" s="385"/>
      <c r="AX674" s="385"/>
    </row>
    <row r="675" spans="1:50" ht="10.8" hidden="1" thickTop="1" x14ac:dyDescent="0.2">
      <c r="A675" s="385"/>
      <c r="B675" s="385"/>
      <c r="C675" s="385"/>
      <c r="D675" s="385"/>
      <c r="E675" s="385"/>
      <c r="F675" s="385"/>
      <c r="G675" s="385"/>
      <c r="H675" s="385"/>
      <c r="I675" s="442"/>
      <c r="J675" s="442"/>
      <c r="K675" s="442"/>
      <c r="L675" s="442"/>
      <c r="M675" s="442"/>
      <c r="N675" s="442"/>
      <c r="O675" s="443"/>
      <c r="P675" s="385"/>
      <c r="Q675" s="385"/>
      <c r="R675" s="385"/>
      <c r="S675" s="385"/>
      <c r="T675" s="385"/>
      <c r="U675" s="385"/>
      <c r="V675" s="385"/>
      <c r="W675" s="385"/>
      <c r="X675" s="385"/>
      <c r="Y675" s="385"/>
      <c r="Z675" s="385"/>
      <c r="AA675" s="385"/>
      <c r="AB675" s="385"/>
      <c r="AC675" s="385"/>
      <c r="AD675" s="385"/>
      <c r="AE675" s="385"/>
      <c r="AF675" s="385"/>
      <c r="AG675" s="385"/>
      <c r="AH675" s="385"/>
      <c r="AI675" s="385"/>
      <c r="AJ675" s="385"/>
      <c r="AK675" s="385"/>
      <c r="AL675" s="385"/>
      <c r="AM675" s="385"/>
      <c r="AN675" s="385"/>
      <c r="AO675" s="385"/>
      <c r="AP675" s="385"/>
      <c r="AQ675" s="385"/>
      <c r="AR675" s="385"/>
      <c r="AS675" s="385"/>
      <c r="AT675" s="385"/>
      <c r="AU675" s="385"/>
      <c r="AV675" s="385"/>
      <c r="AW675" s="385"/>
      <c r="AX675" s="385"/>
    </row>
    <row r="676" spans="1:50" ht="10.8" hidden="1" thickTop="1" x14ac:dyDescent="0.2">
      <c r="A676" s="385"/>
      <c r="B676" s="385"/>
      <c r="C676" s="385"/>
      <c r="D676" s="385"/>
      <c r="E676" s="385"/>
      <c r="F676" s="385"/>
      <c r="G676" s="385"/>
      <c r="H676" s="385"/>
      <c r="I676" s="442"/>
      <c r="J676" s="442"/>
      <c r="K676" s="442"/>
      <c r="L676" s="442"/>
      <c r="M676" s="442"/>
      <c r="N676" s="442"/>
      <c r="O676" s="443"/>
      <c r="P676" s="385"/>
      <c r="Q676" s="385"/>
      <c r="R676" s="385"/>
      <c r="S676" s="385"/>
      <c r="T676" s="385"/>
      <c r="U676" s="385"/>
      <c r="V676" s="385"/>
      <c r="W676" s="385"/>
      <c r="X676" s="385"/>
      <c r="Y676" s="385"/>
      <c r="Z676" s="385"/>
      <c r="AA676" s="385"/>
      <c r="AB676" s="385"/>
      <c r="AC676" s="385"/>
      <c r="AD676" s="385"/>
      <c r="AE676" s="385"/>
      <c r="AF676" s="385"/>
      <c r="AG676" s="385"/>
      <c r="AH676" s="385"/>
      <c r="AI676" s="385"/>
      <c r="AJ676" s="385"/>
      <c r="AK676" s="385"/>
      <c r="AL676" s="385"/>
      <c r="AM676" s="385"/>
      <c r="AN676" s="385"/>
      <c r="AO676" s="385"/>
      <c r="AP676" s="385"/>
      <c r="AQ676" s="385"/>
      <c r="AR676" s="385"/>
      <c r="AS676" s="385"/>
      <c r="AT676" s="385"/>
      <c r="AU676" s="385"/>
      <c r="AV676" s="385"/>
      <c r="AW676" s="385"/>
      <c r="AX676" s="385"/>
    </row>
    <row r="677" spans="1:50" ht="10.8" hidden="1" thickTop="1" x14ac:dyDescent="0.2">
      <c r="A677" s="385"/>
      <c r="B677" s="385"/>
      <c r="C677" s="385"/>
      <c r="D677" s="385"/>
      <c r="E677" s="385"/>
      <c r="F677" s="385"/>
      <c r="G677" s="385"/>
      <c r="H677" s="385"/>
      <c r="I677" s="442"/>
      <c r="J677" s="442"/>
      <c r="K677" s="442"/>
      <c r="L677" s="442"/>
      <c r="M677" s="442"/>
      <c r="N677" s="442"/>
      <c r="O677" s="443"/>
      <c r="P677" s="385"/>
      <c r="Q677" s="385"/>
      <c r="R677" s="385"/>
      <c r="S677" s="385"/>
      <c r="T677" s="385"/>
      <c r="U677" s="385"/>
      <c r="V677" s="385"/>
      <c r="W677" s="385"/>
      <c r="X677" s="385"/>
      <c r="Y677" s="385"/>
      <c r="Z677" s="385"/>
      <c r="AA677" s="385"/>
      <c r="AB677" s="385"/>
      <c r="AC677" s="385"/>
      <c r="AD677" s="385"/>
      <c r="AE677" s="385"/>
      <c r="AF677" s="385"/>
      <c r="AG677" s="385"/>
      <c r="AH677" s="385"/>
      <c r="AI677" s="385"/>
      <c r="AJ677" s="385"/>
      <c r="AK677" s="385"/>
      <c r="AL677" s="385"/>
      <c r="AM677" s="385"/>
      <c r="AN677" s="385"/>
      <c r="AO677" s="385"/>
      <c r="AP677" s="385"/>
      <c r="AQ677" s="385"/>
      <c r="AR677" s="385"/>
      <c r="AS677" s="385"/>
      <c r="AT677" s="385"/>
      <c r="AU677" s="385"/>
      <c r="AV677" s="385"/>
      <c r="AW677" s="385"/>
      <c r="AX677" s="385"/>
    </row>
    <row r="678" spans="1:50" ht="10.8" hidden="1" thickTop="1" x14ac:dyDescent="0.2">
      <c r="A678" s="385"/>
      <c r="B678" s="385"/>
      <c r="C678" s="385"/>
      <c r="D678" s="385"/>
      <c r="E678" s="385"/>
      <c r="F678" s="385"/>
      <c r="G678" s="385"/>
      <c r="H678" s="385"/>
      <c r="I678" s="442"/>
      <c r="J678" s="442"/>
      <c r="K678" s="442"/>
      <c r="L678" s="442"/>
      <c r="M678" s="442"/>
      <c r="N678" s="442"/>
      <c r="O678" s="443"/>
      <c r="P678" s="385"/>
      <c r="Q678" s="385"/>
      <c r="R678" s="385"/>
      <c r="S678" s="385"/>
      <c r="T678" s="385"/>
      <c r="U678" s="385"/>
      <c r="V678" s="385"/>
      <c r="W678" s="385"/>
      <c r="X678" s="385"/>
      <c r="Y678" s="385"/>
      <c r="Z678" s="385"/>
      <c r="AA678" s="385"/>
      <c r="AB678" s="385"/>
      <c r="AC678" s="385"/>
      <c r="AD678" s="385"/>
      <c r="AE678" s="385"/>
      <c r="AF678" s="385"/>
      <c r="AG678" s="385"/>
      <c r="AH678" s="385"/>
      <c r="AI678" s="385"/>
      <c r="AJ678" s="385"/>
      <c r="AK678" s="385"/>
      <c r="AL678" s="385"/>
      <c r="AM678" s="385"/>
      <c r="AN678" s="385"/>
      <c r="AO678" s="385"/>
      <c r="AP678" s="385"/>
      <c r="AQ678" s="385"/>
      <c r="AR678" s="385"/>
      <c r="AS678" s="385"/>
      <c r="AT678" s="385"/>
      <c r="AU678" s="385"/>
      <c r="AV678" s="385"/>
      <c r="AW678" s="385"/>
      <c r="AX678" s="385"/>
    </row>
    <row r="679" spans="1:50" ht="10.8" hidden="1" thickTop="1" x14ac:dyDescent="0.2">
      <c r="A679" s="385"/>
      <c r="B679" s="385"/>
      <c r="C679" s="385"/>
      <c r="D679" s="385"/>
      <c r="E679" s="385"/>
      <c r="F679" s="385"/>
      <c r="G679" s="385"/>
      <c r="H679" s="385"/>
      <c r="I679" s="442"/>
      <c r="J679" s="442"/>
      <c r="K679" s="442"/>
      <c r="L679" s="442"/>
      <c r="M679" s="442"/>
      <c r="N679" s="442"/>
      <c r="O679" s="443"/>
      <c r="P679" s="385"/>
      <c r="Q679" s="385"/>
      <c r="R679" s="385"/>
      <c r="S679" s="385"/>
      <c r="T679" s="385"/>
      <c r="U679" s="385"/>
      <c r="V679" s="385"/>
      <c r="W679" s="385"/>
      <c r="X679" s="385"/>
      <c r="Y679" s="385"/>
      <c r="Z679" s="385"/>
      <c r="AA679" s="385"/>
      <c r="AB679" s="385"/>
      <c r="AC679" s="385"/>
      <c r="AD679" s="385"/>
      <c r="AE679" s="385"/>
      <c r="AF679" s="385"/>
      <c r="AG679" s="385"/>
      <c r="AH679" s="385"/>
      <c r="AI679" s="385"/>
      <c r="AJ679" s="385"/>
      <c r="AK679" s="385"/>
      <c r="AL679" s="385"/>
      <c r="AM679" s="385"/>
      <c r="AN679" s="385"/>
      <c r="AO679" s="385"/>
      <c r="AP679" s="385"/>
      <c r="AQ679" s="385"/>
      <c r="AR679" s="385"/>
      <c r="AS679" s="385"/>
      <c r="AT679" s="385"/>
      <c r="AU679" s="385"/>
      <c r="AV679" s="385"/>
      <c r="AW679" s="385"/>
      <c r="AX679" s="385"/>
    </row>
    <row r="680" spans="1:50" ht="10.8" hidden="1" thickTop="1" x14ac:dyDescent="0.2">
      <c r="A680" s="385"/>
      <c r="B680" s="385"/>
      <c r="C680" s="385"/>
      <c r="D680" s="385"/>
      <c r="E680" s="385"/>
      <c r="F680" s="385"/>
      <c r="G680" s="385"/>
      <c r="H680" s="385"/>
      <c r="I680" s="442"/>
      <c r="J680" s="442"/>
      <c r="K680" s="442"/>
      <c r="L680" s="442"/>
      <c r="M680" s="442"/>
      <c r="N680" s="442"/>
      <c r="O680" s="443"/>
      <c r="P680" s="385"/>
      <c r="Q680" s="385"/>
      <c r="R680" s="385"/>
      <c r="S680" s="385"/>
      <c r="T680" s="385"/>
      <c r="U680" s="385"/>
      <c r="V680" s="385"/>
      <c r="W680" s="385"/>
      <c r="X680" s="385"/>
      <c r="Y680" s="385"/>
      <c r="Z680" s="385"/>
      <c r="AA680" s="385"/>
      <c r="AB680" s="385"/>
      <c r="AC680" s="385"/>
      <c r="AD680" s="385"/>
      <c r="AE680" s="385"/>
      <c r="AF680" s="385"/>
      <c r="AG680" s="385"/>
      <c r="AH680" s="385"/>
      <c r="AI680" s="385"/>
      <c r="AJ680" s="385"/>
      <c r="AK680" s="385"/>
      <c r="AL680" s="385"/>
      <c r="AM680" s="385"/>
      <c r="AN680" s="385"/>
      <c r="AO680" s="385"/>
      <c r="AP680" s="385"/>
      <c r="AQ680" s="385"/>
      <c r="AR680" s="385"/>
      <c r="AS680" s="385"/>
      <c r="AT680" s="385"/>
      <c r="AU680" s="385"/>
      <c r="AV680" s="385"/>
      <c r="AW680" s="385"/>
      <c r="AX680" s="385"/>
    </row>
    <row r="681" spans="1:50" ht="10.8" hidden="1" thickTop="1" x14ac:dyDescent="0.2">
      <c r="A681" s="385"/>
      <c r="B681" s="385"/>
      <c r="C681" s="385"/>
      <c r="D681" s="385"/>
      <c r="E681" s="385"/>
      <c r="F681" s="385"/>
      <c r="G681" s="385"/>
      <c r="H681" s="385"/>
      <c r="I681" s="442"/>
      <c r="J681" s="442"/>
      <c r="K681" s="442"/>
      <c r="L681" s="442"/>
      <c r="M681" s="442"/>
      <c r="N681" s="442"/>
      <c r="O681" s="443"/>
      <c r="P681" s="385"/>
      <c r="Q681" s="385"/>
      <c r="R681" s="385"/>
      <c r="S681" s="385"/>
      <c r="T681" s="385"/>
      <c r="U681" s="385"/>
      <c r="V681" s="385"/>
      <c r="W681" s="385"/>
      <c r="X681" s="385"/>
      <c r="Y681" s="385"/>
      <c r="Z681" s="385"/>
      <c r="AA681" s="385"/>
      <c r="AB681" s="385"/>
      <c r="AC681" s="385"/>
      <c r="AD681" s="385"/>
      <c r="AE681" s="385"/>
      <c r="AF681" s="385"/>
      <c r="AG681" s="385"/>
      <c r="AH681" s="385"/>
      <c r="AI681" s="385"/>
      <c r="AJ681" s="385"/>
      <c r="AK681" s="385"/>
      <c r="AL681" s="385"/>
      <c r="AM681" s="385"/>
      <c r="AN681" s="385"/>
      <c r="AO681" s="385"/>
      <c r="AP681" s="385"/>
      <c r="AQ681" s="385"/>
      <c r="AR681" s="385"/>
      <c r="AS681" s="385"/>
      <c r="AT681" s="385"/>
      <c r="AU681" s="385"/>
      <c r="AV681" s="385"/>
      <c r="AW681" s="385"/>
      <c r="AX681" s="385"/>
    </row>
    <row r="682" spans="1:50" ht="10.8" hidden="1" thickTop="1" x14ac:dyDescent="0.2">
      <c r="A682" s="385"/>
      <c r="B682" s="385"/>
      <c r="C682" s="385"/>
      <c r="D682" s="385"/>
      <c r="E682" s="385"/>
      <c r="F682" s="385"/>
      <c r="G682" s="385"/>
      <c r="H682" s="385"/>
      <c r="I682" s="442"/>
      <c r="J682" s="442"/>
      <c r="K682" s="442"/>
      <c r="L682" s="442"/>
      <c r="M682" s="442"/>
      <c r="N682" s="442"/>
      <c r="O682" s="443"/>
      <c r="P682" s="385"/>
      <c r="Q682" s="385"/>
      <c r="R682" s="385"/>
      <c r="S682" s="385"/>
      <c r="T682" s="385"/>
      <c r="U682" s="385"/>
      <c r="V682" s="385"/>
      <c r="W682" s="385"/>
      <c r="X682" s="385"/>
      <c r="Y682" s="385"/>
      <c r="Z682" s="385"/>
      <c r="AA682" s="385"/>
      <c r="AB682" s="385"/>
      <c r="AC682" s="385"/>
      <c r="AD682" s="385"/>
      <c r="AE682" s="385"/>
      <c r="AF682" s="385"/>
      <c r="AG682" s="385"/>
      <c r="AH682" s="385"/>
      <c r="AI682" s="385"/>
      <c r="AJ682" s="385"/>
      <c r="AK682" s="385"/>
      <c r="AL682" s="385"/>
      <c r="AM682" s="385"/>
      <c r="AN682" s="385"/>
      <c r="AO682" s="385"/>
      <c r="AP682" s="385"/>
      <c r="AQ682" s="385"/>
      <c r="AR682" s="385"/>
      <c r="AS682" s="385"/>
      <c r="AT682" s="385"/>
      <c r="AU682" s="385"/>
      <c r="AV682" s="385"/>
      <c r="AW682" s="385"/>
      <c r="AX682" s="385"/>
    </row>
    <row r="683" spans="1:50" ht="10.8" hidden="1" thickTop="1" x14ac:dyDescent="0.2">
      <c r="A683" s="385"/>
      <c r="B683" s="385"/>
      <c r="C683" s="385"/>
      <c r="D683" s="385"/>
      <c r="E683" s="385"/>
      <c r="F683" s="385"/>
      <c r="G683" s="385"/>
      <c r="H683" s="385"/>
      <c r="I683" s="442"/>
      <c r="J683" s="442"/>
      <c r="K683" s="442"/>
      <c r="L683" s="442"/>
      <c r="M683" s="442"/>
      <c r="N683" s="442"/>
      <c r="O683" s="443"/>
      <c r="P683" s="385"/>
      <c r="Q683" s="385"/>
      <c r="R683" s="385"/>
      <c r="S683" s="385"/>
      <c r="T683" s="385"/>
      <c r="U683" s="385"/>
      <c r="V683" s="385"/>
      <c r="W683" s="385"/>
      <c r="X683" s="385"/>
      <c r="Y683" s="385"/>
      <c r="Z683" s="385"/>
      <c r="AA683" s="385"/>
      <c r="AB683" s="385"/>
      <c r="AC683" s="385"/>
      <c r="AD683" s="385"/>
      <c r="AE683" s="385"/>
      <c r="AF683" s="385"/>
      <c r="AG683" s="385"/>
      <c r="AH683" s="385"/>
      <c r="AI683" s="385"/>
      <c r="AJ683" s="385"/>
      <c r="AK683" s="385"/>
      <c r="AL683" s="385"/>
      <c r="AM683" s="385"/>
      <c r="AN683" s="385"/>
      <c r="AO683" s="385"/>
      <c r="AP683" s="385"/>
      <c r="AQ683" s="385"/>
      <c r="AR683" s="385"/>
      <c r="AS683" s="385"/>
      <c r="AT683" s="385"/>
      <c r="AU683" s="385"/>
      <c r="AV683" s="385"/>
      <c r="AW683" s="385"/>
      <c r="AX683" s="385"/>
    </row>
    <row r="684" spans="1:50" ht="10.8" hidden="1" thickTop="1" x14ac:dyDescent="0.2">
      <c r="A684" s="385"/>
      <c r="B684" s="385"/>
      <c r="C684" s="385"/>
      <c r="D684" s="385"/>
      <c r="E684" s="385"/>
      <c r="F684" s="385"/>
      <c r="G684" s="385"/>
      <c r="H684" s="385"/>
      <c r="I684" s="442"/>
      <c r="J684" s="442"/>
      <c r="K684" s="442"/>
      <c r="L684" s="442"/>
      <c r="M684" s="442"/>
      <c r="N684" s="442"/>
      <c r="O684" s="443"/>
      <c r="P684" s="385"/>
      <c r="Q684" s="385"/>
      <c r="R684" s="385"/>
      <c r="S684" s="385"/>
      <c r="T684" s="385"/>
      <c r="U684" s="385"/>
      <c r="V684" s="385"/>
      <c r="W684" s="385"/>
      <c r="X684" s="385"/>
      <c r="Y684" s="385"/>
      <c r="Z684" s="385"/>
      <c r="AA684" s="385"/>
      <c r="AB684" s="385"/>
      <c r="AC684" s="385"/>
      <c r="AD684" s="385"/>
      <c r="AE684" s="385"/>
      <c r="AF684" s="385"/>
      <c r="AG684" s="385"/>
      <c r="AH684" s="385"/>
      <c r="AI684" s="385"/>
      <c r="AJ684" s="385"/>
      <c r="AK684" s="385"/>
      <c r="AL684" s="385"/>
      <c r="AM684" s="385"/>
      <c r="AN684" s="385"/>
      <c r="AO684" s="385"/>
      <c r="AP684" s="385"/>
      <c r="AQ684" s="385"/>
      <c r="AR684" s="385"/>
      <c r="AS684" s="385"/>
      <c r="AT684" s="385"/>
      <c r="AU684" s="385"/>
      <c r="AV684" s="385"/>
      <c r="AW684" s="385"/>
      <c r="AX684" s="385"/>
    </row>
    <row r="685" spans="1:50" ht="10.8" hidden="1" thickTop="1" x14ac:dyDescent="0.2">
      <c r="A685" s="385"/>
      <c r="B685" s="385"/>
      <c r="C685" s="385"/>
      <c r="D685" s="385"/>
      <c r="E685" s="385"/>
      <c r="F685" s="385"/>
      <c r="G685" s="385"/>
      <c r="H685" s="385"/>
      <c r="I685" s="442"/>
      <c r="J685" s="442"/>
      <c r="K685" s="442"/>
      <c r="L685" s="442"/>
      <c r="M685" s="442"/>
      <c r="N685" s="442"/>
      <c r="O685" s="443"/>
      <c r="P685" s="385"/>
      <c r="Q685" s="385"/>
      <c r="R685" s="385"/>
      <c r="S685" s="385"/>
      <c r="T685" s="385"/>
      <c r="U685" s="385"/>
      <c r="V685" s="385"/>
      <c r="W685" s="385"/>
      <c r="X685" s="385"/>
      <c r="Y685" s="385"/>
      <c r="Z685" s="385"/>
      <c r="AA685" s="385"/>
      <c r="AB685" s="385"/>
      <c r="AC685" s="385"/>
      <c r="AD685" s="385"/>
      <c r="AE685" s="385"/>
      <c r="AF685" s="385"/>
      <c r="AG685" s="385"/>
      <c r="AH685" s="385"/>
      <c r="AI685" s="385"/>
      <c r="AJ685" s="385"/>
      <c r="AK685" s="385"/>
      <c r="AL685" s="385"/>
      <c r="AM685" s="385"/>
      <c r="AN685" s="385"/>
      <c r="AO685" s="385"/>
      <c r="AP685" s="385"/>
      <c r="AQ685" s="385"/>
      <c r="AR685" s="385"/>
      <c r="AS685" s="385"/>
      <c r="AT685" s="385"/>
      <c r="AU685" s="385"/>
      <c r="AV685" s="385"/>
      <c r="AW685" s="385"/>
      <c r="AX685" s="385"/>
    </row>
    <row r="686" spans="1:50" ht="10.8" hidden="1" thickTop="1" x14ac:dyDescent="0.2">
      <c r="A686" s="385"/>
      <c r="B686" s="385"/>
      <c r="C686" s="385"/>
      <c r="D686" s="385"/>
      <c r="E686" s="385"/>
      <c r="F686" s="385"/>
      <c r="G686" s="385"/>
      <c r="H686" s="385"/>
      <c r="I686" s="442"/>
      <c r="J686" s="442"/>
      <c r="K686" s="442"/>
      <c r="L686" s="442"/>
      <c r="M686" s="442"/>
      <c r="N686" s="442"/>
      <c r="O686" s="443"/>
      <c r="P686" s="385"/>
      <c r="Q686" s="385"/>
      <c r="R686" s="385"/>
      <c r="S686" s="385"/>
      <c r="T686" s="385"/>
      <c r="U686" s="385"/>
      <c r="V686" s="385"/>
      <c r="W686" s="385"/>
      <c r="X686" s="385"/>
      <c r="Y686" s="385"/>
      <c r="Z686" s="385"/>
      <c r="AA686" s="385"/>
      <c r="AB686" s="385"/>
      <c r="AC686" s="385"/>
      <c r="AD686" s="385"/>
      <c r="AE686" s="385"/>
      <c r="AF686" s="385"/>
      <c r="AG686" s="385"/>
      <c r="AH686" s="385"/>
      <c r="AI686" s="385"/>
      <c r="AJ686" s="385"/>
      <c r="AK686" s="385"/>
      <c r="AL686" s="385"/>
      <c r="AM686" s="385"/>
      <c r="AN686" s="385"/>
      <c r="AO686" s="385"/>
      <c r="AP686" s="385"/>
      <c r="AQ686" s="385"/>
      <c r="AR686" s="385"/>
      <c r="AS686" s="385"/>
      <c r="AT686" s="385"/>
      <c r="AU686" s="385"/>
      <c r="AV686" s="385"/>
      <c r="AW686" s="385"/>
      <c r="AX686" s="385"/>
    </row>
    <row r="687" spans="1:50" ht="10.8" hidden="1" thickTop="1" x14ac:dyDescent="0.2">
      <c r="A687" s="385"/>
      <c r="B687" s="385"/>
      <c r="C687" s="385"/>
      <c r="D687" s="385"/>
      <c r="E687" s="385"/>
      <c r="F687" s="385"/>
      <c r="G687" s="385"/>
      <c r="H687" s="385"/>
      <c r="I687" s="442"/>
      <c r="J687" s="442"/>
      <c r="K687" s="442"/>
      <c r="L687" s="442"/>
      <c r="M687" s="442"/>
      <c r="N687" s="442"/>
      <c r="O687" s="443"/>
      <c r="P687" s="385"/>
      <c r="Q687" s="385"/>
      <c r="R687" s="385"/>
      <c r="S687" s="385"/>
      <c r="T687" s="385"/>
      <c r="U687" s="385"/>
      <c r="V687" s="385"/>
      <c r="W687" s="385"/>
      <c r="X687" s="385"/>
      <c r="Y687" s="385"/>
      <c r="Z687" s="385"/>
      <c r="AA687" s="385"/>
      <c r="AB687" s="385"/>
      <c r="AC687" s="385"/>
      <c r="AD687" s="385"/>
      <c r="AE687" s="385"/>
      <c r="AF687" s="385"/>
      <c r="AG687" s="385"/>
      <c r="AH687" s="385"/>
      <c r="AI687" s="385"/>
      <c r="AJ687" s="385"/>
      <c r="AK687" s="385"/>
      <c r="AL687" s="385"/>
      <c r="AM687" s="385"/>
      <c r="AN687" s="385"/>
      <c r="AO687" s="385"/>
      <c r="AP687" s="385"/>
      <c r="AQ687" s="385"/>
      <c r="AR687" s="385"/>
      <c r="AS687" s="385"/>
      <c r="AT687" s="385"/>
      <c r="AU687" s="385"/>
      <c r="AV687" s="385"/>
      <c r="AW687" s="385"/>
      <c r="AX687" s="385"/>
    </row>
    <row r="688" spans="1:50" ht="10.8" hidden="1" thickTop="1" x14ac:dyDescent="0.2">
      <c r="A688" s="385"/>
      <c r="B688" s="385"/>
      <c r="C688" s="385"/>
      <c r="D688" s="385"/>
      <c r="E688" s="385"/>
      <c r="F688" s="385"/>
      <c r="G688" s="385"/>
      <c r="H688" s="385"/>
      <c r="I688" s="442"/>
      <c r="J688" s="442"/>
      <c r="K688" s="442"/>
      <c r="L688" s="442"/>
      <c r="M688" s="442"/>
      <c r="N688" s="442"/>
      <c r="O688" s="443"/>
      <c r="P688" s="385"/>
      <c r="Q688" s="385"/>
      <c r="R688" s="385"/>
      <c r="S688" s="385"/>
      <c r="T688" s="385"/>
      <c r="U688" s="385"/>
      <c r="V688" s="385"/>
      <c r="W688" s="385"/>
      <c r="X688" s="385"/>
      <c r="Y688" s="385"/>
      <c r="Z688" s="385"/>
      <c r="AA688" s="385"/>
      <c r="AB688" s="385"/>
      <c r="AC688" s="385"/>
      <c r="AD688" s="385"/>
      <c r="AE688" s="385"/>
      <c r="AF688" s="385"/>
      <c r="AG688" s="385"/>
      <c r="AH688" s="385"/>
      <c r="AI688" s="385"/>
      <c r="AJ688" s="385"/>
      <c r="AK688" s="385"/>
      <c r="AL688" s="385"/>
      <c r="AM688" s="385"/>
      <c r="AN688" s="385"/>
      <c r="AO688" s="385"/>
      <c r="AP688" s="385"/>
      <c r="AQ688" s="385"/>
      <c r="AR688" s="385"/>
      <c r="AS688" s="385"/>
      <c r="AT688" s="385"/>
      <c r="AU688" s="385"/>
      <c r="AV688" s="385"/>
      <c r="AW688" s="385"/>
      <c r="AX688" s="385"/>
    </row>
    <row r="689" spans="1:50" ht="10.8" hidden="1" thickTop="1" x14ac:dyDescent="0.2">
      <c r="A689" s="385"/>
      <c r="B689" s="385"/>
      <c r="C689" s="385"/>
      <c r="D689" s="385"/>
      <c r="E689" s="385"/>
      <c r="F689" s="385"/>
      <c r="G689" s="385"/>
      <c r="H689" s="385"/>
      <c r="I689" s="442"/>
      <c r="J689" s="442"/>
      <c r="K689" s="442"/>
      <c r="L689" s="442"/>
      <c r="M689" s="442"/>
      <c r="N689" s="442"/>
      <c r="O689" s="443"/>
      <c r="P689" s="385"/>
      <c r="Q689" s="385"/>
      <c r="R689" s="385"/>
      <c r="S689" s="385"/>
      <c r="T689" s="385"/>
      <c r="U689" s="385"/>
      <c r="V689" s="385"/>
      <c r="W689" s="385"/>
      <c r="X689" s="385"/>
      <c r="Y689" s="385"/>
      <c r="Z689" s="385"/>
      <c r="AA689" s="385"/>
      <c r="AB689" s="385"/>
      <c r="AC689" s="385"/>
      <c r="AD689" s="385"/>
      <c r="AE689" s="385"/>
      <c r="AF689" s="385"/>
      <c r="AG689" s="385"/>
      <c r="AH689" s="385"/>
      <c r="AI689" s="385"/>
      <c r="AJ689" s="385"/>
      <c r="AK689" s="385"/>
      <c r="AL689" s="385"/>
      <c r="AM689" s="385"/>
      <c r="AN689" s="385"/>
      <c r="AO689" s="385"/>
      <c r="AP689" s="385"/>
      <c r="AQ689" s="385"/>
      <c r="AR689" s="385"/>
      <c r="AS689" s="385"/>
      <c r="AT689" s="385"/>
      <c r="AU689" s="385"/>
      <c r="AV689" s="385"/>
      <c r="AW689" s="385"/>
      <c r="AX689" s="385"/>
    </row>
    <row r="690" spans="1:50" ht="10.8" hidden="1" thickTop="1" x14ac:dyDescent="0.2">
      <c r="A690" s="385"/>
      <c r="B690" s="385"/>
      <c r="C690" s="385"/>
      <c r="D690" s="385"/>
      <c r="E690" s="385"/>
      <c r="F690" s="385"/>
      <c r="G690" s="385"/>
      <c r="H690" s="385"/>
      <c r="I690" s="442"/>
      <c r="J690" s="442"/>
      <c r="K690" s="442"/>
      <c r="L690" s="442"/>
      <c r="M690" s="442"/>
      <c r="N690" s="442"/>
      <c r="O690" s="443"/>
      <c r="P690" s="385"/>
      <c r="Q690" s="385"/>
      <c r="R690" s="385"/>
      <c r="S690" s="385"/>
      <c r="T690" s="385"/>
      <c r="U690" s="385"/>
      <c r="V690" s="385"/>
      <c r="W690" s="385"/>
      <c r="X690" s="385"/>
      <c r="Y690" s="385"/>
      <c r="Z690" s="385"/>
      <c r="AA690" s="385"/>
      <c r="AB690" s="385"/>
      <c r="AC690" s="385"/>
      <c r="AD690" s="385"/>
      <c r="AE690" s="385"/>
      <c r="AF690" s="385"/>
      <c r="AG690" s="385"/>
      <c r="AH690" s="385"/>
      <c r="AI690" s="385"/>
      <c r="AJ690" s="385"/>
      <c r="AK690" s="385"/>
      <c r="AL690" s="385"/>
      <c r="AM690" s="385"/>
      <c r="AN690" s="385"/>
      <c r="AO690" s="385"/>
      <c r="AP690" s="385"/>
      <c r="AQ690" s="385"/>
      <c r="AR690" s="385"/>
      <c r="AS690" s="385"/>
      <c r="AT690" s="385"/>
      <c r="AU690" s="385"/>
      <c r="AV690" s="385"/>
      <c r="AW690" s="385"/>
      <c r="AX690" s="385"/>
    </row>
    <row r="691" spans="1:50" ht="10.8" hidden="1" thickTop="1" x14ac:dyDescent="0.2">
      <c r="A691" s="385"/>
      <c r="B691" s="385"/>
      <c r="C691" s="385"/>
      <c r="D691" s="385"/>
      <c r="E691" s="385"/>
      <c r="F691" s="385"/>
      <c r="G691" s="385"/>
      <c r="H691" s="385"/>
      <c r="I691" s="442"/>
      <c r="J691" s="442"/>
      <c r="K691" s="442"/>
      <c r="L691" s="442"/>
      <c r="M691" s="442"/>
      <c r="N691" s="442"/>
      <c r="O691" s="443"/>
      <c r="P691" s="385"/>
      <c r="Q691" s="385"/>
      <c r="R691" s="385"/>
      <c r="S691" s="385"/>
      <c r="T691" s="385"/>
      <c r="U691" s="385"/>
      <c r="V691" s="385"/>
      <c r="W691" s="385"/>
      <c r="X691" s="385"/>
      <c r="Y691" s="385"/>
      <c r="Z691" s="385"/>
      <c r="AA691" s="385"/>
      <c r="AB691" s="385"/>
      <c r="AC691" s="385"/>
      <c r="AD691" s="385"/>
      <c r="AE691" s="385"/>
      <c r="AF691" s="385"/>
      <c r="AG691" s="385"/>
      <c r="AH691" s="385"/>
      <c r="AI691" s="385"/>
      <c r="AJ691" s="385"/>
      <c r="AK691" s="385"/>
      <c r="AL691" s="385"/>
      <c r="AM691" s="385"/>
      <c r="AN691" s="385"/>
      <c r="AO691" s="385"/>
      <c r="AP691" s="385"/>
      <c r="AQ691" s="385"/>
      <c r="AR691" s="385"/>
      <c r="AS691" s="385"/>
      <c r="AT691" s="385"/>
      <c r="AU691" s="385"/>
      <c r="AV691" s="385"/>
      <c r="AW691" s="385"/>
      <c r="AX691" s="385"/>
    </row>
    <row r="692" spans="1:50" ht="10.8" hidden="1" thickTop="1" x14ac:dyDescent="0.2">
      <c r="A692" s="385"/>
      <c r="B692" s="385"/>
      <c r="C692" s="385"/>
      <c r="D692" s="385"/>
      <c r="E692" s="385"/>
      <c r="F692" s="385"/>
      <c r="G692" s="385"/>
      <c r="H692" s="385"/>
      <c r="I692" s="442"/>
      <c r="J692" s="442"/>
      <c r="K692" s="442"/>
      <c r="L692" s="442"/>
      <c r="M692" s="442"/>
      <c r="N692" s="442"/>
      <c r="O692" s="443"/>
      <c r="P692" s="385"/>
      <c r="Q692" s="385"/>
      <c r="R692" s="385"/>
      <c r="S692" s="385"/>
      <c r="T692" s="385"/>
      <c r="U692" s="385"/>
      <c r="V692" s="385"/>
      <c r="W692" s="385"/>
      <c r="X692" s="385"/>
      <c r="Y692" s="385"/>
      <c r="Z692" s="385"/>
      <c r="AA692" s="385"/>
      <c r="AB692" s="385"/>
      <c r="AC692" s="385"/>
      <c r="AD692" s="385"/>
      <c r="AE692" s="385"/>
      <c r="AF692" s="385"/>
      <c r="AG692" s="385"/>
      <c r="AH692" s="385"/>
      <c r="AI692" s="385"/>
      <c r="AJ692" s="385"/>
      <c r="AK692" s="385"/>
      <c r="AL692" s="385"/>
      <c r="AM692" s="385"/>
      <c r="AN692" s="385"/>
      <c r="AO692" s="385"/>
      <c r="AP692" s="385"/>
      <c r="AQ692" s="385"/>
      <c r="AR692" s="385"/>
      <c r="AS692" s="385"/>
      <c r="AT692" s="385"/>
      <c r="AU692" s="385"/>
      <c r="AV692" s="385"/>
      <c r="AW692" s="385"/>
      <c r="AX692" s="385"/>
    </row>
    <row r="693" spans="1:50" ht="10.8" hidden="1" thickTop="1" x14ac:dyDescent="0.2">
      <c r="A693" s="385"/>
      <c r="B693" s="385"/>
      <c r="C693" s="385"/>
      <c r="D693" s="385"/>
      <c r="E693" s="385"/>
      <c r="F693" s="385"/>
      <c r="G693" s="385"/>
      <c r="H693" s="385"/>
      <c r="I693" s="442"/>
      <c r="J693" s="442"/>
      <c r="K693" s="442"/>
      <c r="L693" s="442"/>
      <c r="M693" s="442"/>
      <c r="N693" s="442"/>
      <c r="O693" s="443"/>
      <c r="P693" s="385"/>
      <c r="Q693" s="385"/>
      <c r="R693" s="385"/>
      <c r="S693" s="385"/>
      <c r="T693" s="385"/>
      <c r="U693" s="385"/>
      <c r="V693" s="385"/>
      <c r="W693" s="385"/>
      <c r="X693" s="385"/>
      <c r="Y693" s="385"/>
      <c r="Z693" s="385"/>
      <c r="AA693" s="385"/>
      <c r="AB693" s="385"/>
      <c r="AC693" s="385"/>
      <c r="AD693" s="385"/>
      <c r="AE693" s="385"/>
      <c r="AF693" s="385"/>
      <c r="AG693" s="385"/>
      <c r="AH693" s="385"/>
      <c r="AI693" s="385"/>
      <c r="AJ693" s="385"/>
      <c r="AK693" s="385"/>
      <c r="AL693" s="385"/>
      <c r="AM693" s="385"/>
      <c r="AN693" s="385"/>
      <c r="AO693" s="385"/>
      <c r="AP693" s="385"/>
      <c r="AQ693" s="385"/>
      <c r="AR693" s="385"/>
      <c r="AS693" s="385"/>
      <c r="AT693" s="385"/>
      <c r="AU693" s="385"/>
      <c r="AV693" s="385"/>
      <c r="AW693" s="385"/>
      <c r="AX693" s="385"/>
    </row>
    <row r="694" spans="1:50" ht="10.8" hidden="1" thickTop="1" x14ac:dyDescent="0.2">
      <c r="A694" s="385"/>
      <c r="B694" s="385"/>
      <c r="C694" s="385"/>
      <c r="D694" s="385"/>
      <c r="E694" s="385"/>
      <c r="F694" s="385"/>
      <c r="G694" s="385"/>
      <c r="H694" s="385"/>
      <c r="I694" s="442"/>
      <c r="J694" s="442"/>
      <c r="K694" s="442"/>
      <c r="L694" s="442"/>
      <c r="M694" s="442"/>
      <c r="N694" s="442"/>
      <c r="O694" s="443"/>
      <c r="P694" s="385"/>
      <c r="Q694" s="385"/>
      <c r="R694" s="385"/>
      <c r="S694" s="385"/>
      <c r="T694" s="385"/>
      <c r="U694" s="385"/>
      <c r="V694" s="385"/>
      <c r="W694" s="385"/>
      <c r="X694" s="385"/>
      <c r="Y694" s="385"/>
      <c r="Z694" s="385"/>
      <c r="AA694" s="385"/>
      <c r="AB694" s="385"/>
      <c r="AC694" s="385"/>
      <c r="AD694" s="385"/>
      <c r="AE694" s="385"/>
      <c r="AF694" s="385"/>
      <c r="AG694" s="385"/>
      <c r="AH694" s="385"/>
      <c r="AI694" s="385"/>
      <c r="AJ694" s="385"/>
      <c r="AK694" s="385"/>
      <c r="AL694" s="385"/>
      <c r="AM694" s="385"/>
      <c r="AN694" s="385"/>
      <c r="AO694" s="385"/>
      <c r="AP694" s="385"/>
      <c r="AQ694" s="385"/>
      <c r="AR694" s="385"/>
      <c r="AS694" s="385"/>
      <c r="AT694" s="385"/>
      <c r="AU694" s="385"/>
      <c r="AV694" s="385"/>
      <c r="AW694" s="385"/>
      <c r="AX694" s="385"/>
    </row>
    <row r="695" spans="1:50" ht="10.8" hidden="1" thickTop="1" x14ac:dyDescent="0.2">
      <c r="A695" s="385"/>
      <c r="B695" s="385"/>
      <c r="C695" s="385"/>
      <c r="D695" s="385"/>
      <c r="E695" s="385"/>
      <c r="F695" s="385"/>
      <c r="G695" s="385"/>
      <c r="H695" s="385"/>
      <c r="I695" s="442"/>
      <c r="J695" s="442"/>
      <c r="K695" s="442"/>
      <c r="L695" s="442"/>
      <c r="M695" s="442"/>
      <c r="N695" s="442"/>
      <c r="O695" s="443"/>
      <c r="P695" s="385"/>
      <c r="Q695" s="385"/>
      <c r="R695" s="385"/>
      <c r="S695" s="385"/>
      <c r="T695" s="385"/>
      <c r="U695" s="385"/>
      <c r="V695" s="385"/>
      <c r="W695" s="385"/>
      <c r="X695" s="385"/>
      <c r="Y695" s="385"/>
      <c r="Z695" s="385"/>
      <c r="AA695" s="385"/>
      <c r="AB695" s="385"/>
      <c r="AC695" s="385"/>
      <c r="AD695" s="385"/>
      <c r="AE695" s="385"/>
      <c r="AF695" s="385"/>
      <c r="AG695" s="385"/>
      <c r="AH695" s="385"/>
      <c r="AI695" s="385"/>
      <c r="AJ695" s="385"/>
      <c r="AK695" s="385"/>
      <c r="AL695" s="385"/>
      <c r="AM695" s="385"/>
      <c r="AN695" s="385"/>
      <c r="AO695" s="385"/>
      <c r="AP695" s="385"/>
      <c r="AQ695" s="385"/>
      <c r="AR695" s="385"/>
      <c r="AS695" s="385"/>
      <c r="AT695" s="385"/>
      <c r="AU695" s="385"/>
      <c r="AV695" s="385"/>
      <c r="AW695" s="385"/>
      <c r="AX695" s="385"/>
    </row>
    <row r="696" spans="1:50" ht="10.8" hidden="1" thickTop="1" x14ac:dyDescent="0.2">
      <c r="A696" s="385"/>
      <c r="B696" s="385"/>
      <c r="C696" s="385"/>
      <c r="D696" s="385"/>
      <c r="E696" s="385"/>
      <c r="F696" s="385"/>
      <c r="G696" s="385"/>
      <c r="H696" s="385"/>
      <c r="I696" s="442"/>
      <c r="J696" s="442"/>
      <c r="K696" s="442"/>
      <c r="L696" s="442"/>
      <c r="M696" s="442"/>
      <c r="N696" s="442"/>
      <c r="O696" s="443"/>
      <c r="P696" s="385"/>
      <c r="Q696" s="385"/>
      <c r="R696" s="385"/>
      <c r="S696" s="385"/>
      <c r="T696" s="385"/>
      <c r="U696" s="385"/>
      <c r="V696" s="385"/>
      <c r="W696" s="385"/>
      <c r="X696" s="385"/>
      <c r="Y696" s="385"/>
      <c r="Z696" s="385"/>
      <c r="AA696" s="385"/>
      <c r="AB696" s="385"/>
      <c r="AC696" s="385"/>
      <c r="AD696" s="385"/>
      <c r="AE696" s="385"/>
      <c r="AF696" s="385"/>
      <c r="AG696" s="385"/>
      <c r="AH696" s="385"/>
      <c r="AI696" s="385"/>
      <c r="AJ696" s="385"/>
      <c r="AK696" s="385"/>
      <c r="AL696" s="385"/>
      <c r="AM696" s="385"/>
      <c r="AN696" s="385"/>
      <c r="AO696" s="385"/>
      <c r="AP696" s="385"/>
      <c r="AQ696" s="385"/>
      <c r="AR696" s="385"/>
      <c r="AS696" s="385"/>
      <c r="AT696" s="385"/>
      <c r="AU696" s="385"/>
      <c r="AV696" s="385"/>
      <c r="AW696" s="385"/>
      <c r="AX696" s="385"/>
    </row>
    <row r="697" spans="1:50" ht="10.8" hidden="1" thickTop="1" x14ac:dyDescent="0.2">
      <c r="A697" s="385"/>
      <c r="B697" s="385"/>
      <c r="C697" s="385"/>
      <c r="D697" s="385"/>
      <c r="E697" s="385"/>
      <c r="F697" s="385"/>
      <c r="G697" s="385"/>
      <c r="H697" s="385"/>
      <c r="I697" s="442"/>
      <c r="J697" s="442"/>
      <c r="K697" s="442"/>
      <c r="L697" s="442"/>
      <c r="M697" s="442"/>
      <c r="N697" s="442"/>
      <c r="O697" s="443"/>
      <c r="P697" s="385"/>
      <c r="Q697" s="385"/>
      <c r="R697" s="385"/>
      <c r="S697" s="385"/>
      <c r="T697" s="385"/>
      <c r="U697" s="385"/>
      <c r="V697" s="385"/>
      <c r="W697" s="385"/>
      <c r="X697" s="385"/>
      <c r="Y697" s="385"/>
      <c r="Z697" s="385"/>
      <c r="AA697" s="385"/>
      <c r="AB697" s="385"/>
      <c r="AC697" s="385"/>
      <c r="AD697" s="385"/>
      <c r="AE697" s="385"/>
      <c r="AF697" s="385"/>
      <c r="AG697" s="385"/>
      <c r="AH697" s="385"/>
      <c r="AI697" s="385"/>
      <c r="AJ697" s="385"/>
      <c r="AK697" s="385"/>
      <c r="AL697" s="385"/>
      <c r="AM697" s="385"/>
      <c r="AN697" s="385"/>
      <c r="AO697" s="385"/>
      <c r="AP697" s="385"/>
      <c r="AQ697" s="385"/>
      <c r="AR697" s="385"/>
      <c r="AS697" s="385"/>
      <c r="AT697" s="385"/>
      <c r="AU697" s="385"/>
      <c r="AV697" s="385"/>
      <c r="AW697" s="385"/>
      <c r="AX697" s="385"/>
    </row>
    <row r="698" spans="1:50" ht="10.8" hidden="1" thickTop="1" x14ac:dyDescent="0.2">
      <c r="A698" s="385"/>
      <c r="B698" s="385"/>
      <c r="C698" s="385"/>
      <c r="D698" s="385"/>
      <c r="E698" s="385"/>
      <c r="F698" s="385"/>
      <c r="G698" s="385"/>
      <c r="H698" s="385"/>
      <c r="I698" s="442"/>
      <c r="J698" s="442"/>
      <c r="K698" s="442"/>
      <c r="L698" s="442"/>
      <c r="M698" s="442"/>
      <c r="N698" s="442"/>
      <c r="O698" s="443"/>
      <c r="P698" s="385"/>
      <c r="Q698" s="385"/>
      <c r="R698" s="385"/>
      <c r="S698" s="385"/>
      <c r="T698" s="385"/>
      <c r="U698" s="385"/>
      <c r="V698" s="385"/>
      <c r="W698" s="385"/>
      <c r="X698" s="385"/>
      <c r="Y698" s="385"/>
      <c r="Z698" s="385"/>
      <c r="AA698" s="385"/>
      <c r="AB698" s="385"/>
      <c r="AC698" s="385"/>
      <c r="AD698" s="385"/>
      <c r="AE698" s="385"/>
      <c r="AF698" s="385"/>
      <c r="AG698" s="385"/>
      <c r="AH698" s="385"/>
      <c r="AI698" s="385"/>
      <c r="AJ698" s="385"/>
      <c r="AK698" s="385"/>
      <c r="AL698" s="385"/>
      <c r="AM698" s="385"/>
      <c r="AN698" s="385"/>
      <c r="AO698" s="385"/>
      <c r="AP698" s="385"/>
      <c r="AQ698" s="385"/>
      <c r="AR698" s="385"/>
      <c r="AS698" s="385"/>
      <c r="AT698" s="385"/>
      <c r="AU698" s="385"/>
      <c r="AV698" s="385"/>
      <c r="AW698" s="385"/>
      <c r="AX698" s="385"/>
    </row>
    <row r="699" spans="1:50" ht="10.8" hidden="1" thickTop="1" x14ac:dyDescent="0.2">
      <c r="A699" s="385"/>
      <c r="B699" s="385"/>
      <c r="C699" s="385"/>
      <c r="D699" s="385"/>
      <c r="E699" s="385"/>
      <c r="F699" s="385"/>
      <c r="G699" s="385"/>
      <c r="H699" s="385"/>
      <c r="I699" s="442"/>
      <c r="J699" s="442"/>
      <c r="K699" s="442"/>
      <c r="L699" s="442"/>
      <c r="M699" s="442"/>
      <c r="N699" s="442"/>
      <c r="O699" s="443"/>
      <c r="P699" s="385"/>
      <c r="Q699" s="385"/>
      <c r="R699" s="385"/>
      <c r="S699" s="385"/>
      <c r="T699" s="385"/>
      <c r="U699" s="385"/>
      <c r="V699" s="385"/>
      <c r="W699" s="385"/>
      <c r="X699" s="385"/>
      <c r="Y699" s="385"/>
      <c r="Z699" s="385"/>
      <c r="AA699" s="385"/>
      <c r="AB699" s="385"/>
      <c r="AC699" s="385"/>
      <c r="AD699" s="385"/>
      <c r="AE699" s="385"/>
      <c r="AF699" s="385"/>
      <c r="AG699" s="385"/>
      <c r="AH699" s="385"/>
      <c r="AI699" s="385"/>
      <c r="AJ699" s="385"/>
      <c r="AK699" s="385"/>
      <c r="AL699" s="385"/>
      <c r="AM699" s="385"/>
      <c r="AN699" s="385"/>
      <c r="AO699" s="385"/>
      <c r="AP699" s="385"/>
      <c r="AQ699" s="385"/>
      <c r="AR699" s="385"/>
      <c r="AS699" s="385"/>
      <c r="AT699" s="385"/>
      <c r="AU699" s="385"/>
      <c r="AV699" s="385"/>
      <c r="AW699" s="385"/>
      <c r="AX699" s="385"/>
    </row>
    <row r="700" spans="1:50" ht="10.8" hidden="1" thickTop="1" x14ac:dyDescent="0.2">
      <c r="A700" s="385"/>
      <c r="B700" s="385"/>
      <c r="C700" s="385"/>
      <c r="D700" s="385"/>
      <c r="E700" s="385"/>
      <c r="F700" s="385"/>
      <c r="G700" s="385"/>
      <c r="H700" s="385"/>
      <c r="I700" s="442"/>
      <c r="J700" s="442"/>
      <c r="K700" s="442"/>
      <c r="L700" s="442"/>
      <c r="M700" s="442"/>
      <c r="N700" s="442"/>
      <c r="O700" s="443"/>
      <c r="P700" s="385"/>
      <c r="Q700" s="385"/>
      <c r="R700" s="385"/>
      <c r="S700" s="385"/>
      <c r="T700" s="385"/>
      <c r="U700" s="385"/>
      <c r="V700" s="385"/>
      <c r="W700" s="385"/>
      <c r="X700" s="385"/>
      <c r="Y700" s="385"/>
      <c r="Z700" s="385"/>
      <c r="AA700" s="385"/>
      <c r="AB700" s="385"/>
      <c r="AC700" s="385"/>
      <c r="AD700" s="385"/>
      <c r="AE700" s="385"/>
      <c r="AF700" s="385"/>
      <c r="AG700" s="385"/>
      <c r="AH700" s="385"/>
      <c r="AI700" s="385"/>
      <c r="AJ700" s="385"/>
      <c r="AK700" s="385"/>
      <c r="AL700" s="385"/>
      <c r="AM700" s="385"/>
      <c r="AN700" s="385"/>
      <c r="AO700" s="385"/>
      <c r="AP700" s="385"/>
      <c r="AQ700" s="385"/>
      <c r="AR700" s="385"/>
      <c r="AS700" s="385"/>
      <c r="AT700" s="385"/>
      <c r="AU700" s="385"/>
      <c r="AV700" s="385"/>
      <c r="AW700" s="385"/>
      <c r="AX700" s="385"/>
    </row>
    <row r="701" spans="1:50" ht="10.8" hidden="1" thickTop="1" x14ac:dyDescent="0.2">
      <c r="A701" s="385"/>
      <c r="B701" s="385"/>
      <c r="C701" s="385"/>
      <c r="D701" s="385"/>
      <c r="E701" s="385"/>
      <c r="F701" s="385"/>
      <c r="G701" s="385"/>
      <c r="H701" s="385"/>
      <c r="I701" s="442"/>
      <c r="J701" s="442"/>
      <c r="K701" s="442"/>
      <c r="L701" s="442"/>
      <c r="M701" s="442"/>
      <c r="N701" s="442"/>
      <c r="O701" s="443"/>
      <c r="P701" s="385"/>
      <c r="Q701" s="385"/>
      <c r="R701" s="385"/>
      <c r="S701" s="385"/>
      <c r="T701" s="385"/>
      <c r="U701" s="385"/>
      <c r="V701" s="385"/>
      <c r="W701" s="385"/>
      <c r="X701" s="385"/>
      <c r="Y701" s="385"/>
      <c r="Z701" s="385"/>
      <c r="AA701" s="385"/>
      <c r="AB701" s="385"/>
      <c r="AC701" s="385"/>
      <c r="AD701" s="385"/>
      <c r="AE701" s="385"/>
      <c r="AF701" s="385"/>
      <c r="AG701" s="385"/>
      <c r="AH701" s="385"/>
      <c r="AI701" s="385"/>
      <c r="AJ701" s="385"/>
      <c r="AK701" s="385"/>
      <c r="AL701" s="385"/>
      <c r="AM701" s="385"/>
      <c r="AN701" s="385"/>
      <c r="AO701" s="385"/>
      <c r="AP701" s="385"/>
      <c r="AQ701" s="385"/>
      <c r="AR701" s="385"/>
      <c r="AS701" s="385"/>
      <c r="AT701" s="385"/>
      <c r="AU701" s="385"/>
      <c r="AV701" s="385"/>
      <c r="AW701" s="385"/>
      <c r="AX701" s="385"/>
    </row>
    <row r="702" spans="1:50" ht="10.8" hidden="1" thickTop="1" x14ac:dyDescent="0.2">
      <c r="A702" s="385"/>
      <c r="B702" s="385"/>
      <c r="C702" s="385"/>
      <c r="D702" s="385"/>
      <c r="E702" s="385"/>
      <c r="F702" s="385"/>
      <c r="G702" s="385"/>
      <c r="H702" s="385"/>
      <c r="I702" s="442"/>
      <c r="J702" s="442"/>
      <c r="K702" s="442"/>
      <c r="L702" s="442"/>
      <c r="M702" s="442"/>
      <c r="N702" s="442"/>
      <c r="O702" s="443"/>
      <c r="P702" s="385"/>
      <c r="Q702" s="385"/>
      <c r="R702" s="385"/>
      <c r="S702" s="385"/>
      <c r="T702" s="385"/>
      <c r="U702" s="385"/>
      <c r="V702" s="385"/>
      <c r="W702" s="385"/>
      <c r="X702" s="385"/>
      <c r="Y702" s="385"/>
      <c r="Z702" s="385"/>
      <c r="AA702" s="385"/>
      <c r="AB702" s="385"/>
      <c r="AC702" s="385"/>
      <c r="AD702" s="385"/>
      <c r="AE702" s="385"/>
      <c r="AF702" s="385"/>
      <c r="AG702" s="385"/>
      <c r="AH702" s="385"/>
      <c r="AI702" s="385"/>
      <c r="AJ702" s="385"/>
      <c r="AK702" s="385"/>
      <c r="AL702" s="385"/>
      <c r="AM702" s="385"/>
      <c r="AN702" s="385"/>
      <c r="AO702" s="385"/>
      <c r="AP702" s="385"/>
      <c r="AQ702" s="385"/>
      <c r="AR702" s="385"/>
      <c r="AS702" s="385"/>
      <c r="AT702" s="385"/>
      <c r="AU702" s="385"/>
      <c r="AV702" s="385"/>
      <c r="AW702" s="385"/>
      <c r="AX702" s="385"/>
    </row>
    <row r="703" spans="1:50" ht="10.8" hidden="1" thickTop="1" x14ac:dyDescent="0.2">
      <c r="A703" s="385"/>
      <c r="B703" s="385"/>
      <c r="C703" s="385"/>
      <c r="D703" s="385"/>
      <c r="E703" s="385"/>
      <c r="F703" s="385"/>
      <c r="G703" s="385"/>
      <c r="H703" s="385"/>
      <c r="I703" s="442"/>
      <c r="J703" s="442"/>
      <c r="K703" s="442"/>
      <c r="L703" s="442"/>
      <c r="M703" s="442"/>
      <c r="N703" s="442"/>
      <c r="O703" s="443"/>
      <c r="P703" s="385"/>
      <c r="Q703" s="385"/>
      <c r="R703" s="385"/>
      <c r="S703" s="385"/>
      <c r="T703" s="385"/>
      <c r="U703" s="385"/>
      <c r="V703" s="385"/>
      <c r="W703" s="385"/>
      <c r="X703" s="385"/>
      <c r="Y703" s="385"/>
      <c r="Z703" s="385"/>
      <c r="AA703" s="385"/>
      <c r="AB703" s="385"/>
      <c r="AC703" s="385"/>
      <c r="AD703" s="385"/>
      <c r="AE703" s="385"/>
      <c r="AF703" s="385"/>
      <c r="AG703" s="385"/>
      <c r="AH703" s="385"/>
      <c r="AI703" s="385"/>
      <c r="AJ703" s="385"/>
      <c r="AK703" s="385"/>
      <c r="AL703" s="385"/>
      <c r="AM703" s="385"/>
      <c r="AN703" s="385"/>
      <c r="AO703" s="385"/>
      <c r="AP703" s="385"/>
      <c r="AQ703" s="385"/>
      <c r="AR703" s="385"/>
      <c r="AS703" s="385"/>
      <c r="AT703" s="385"/>
      <c r="AU703" s="385"/>
      <c r="AV703" s="385"/>
      <c r="AW703" s="385"/>
      <c r="AX703" s="385"/>
    </row>
    <row r="704" spans="1:50" ht="10.8" hidden="1" thickTop="1" x14ac:dyDescent="0.2">
      <c r="A704" s="385"/>
      <c r="B704" s="385"/>
      <c r="C704" s="385"/>
      <c r="D704" s="385"/>
      <c r="E704" s="385"/>
      <c r="F704" s="385"/>
      <c r="G704" s="385"/>
      <c r="H704" s="385"/>
      <c r="I704" s="442"/>
      <c r="J704" s="442"/>
      <c r="K704" s="442"/>
      <c r="L704" s="442"/>
      <c r="M704" s="442"/>
      <c r="N704" s="442"/>
      <c r="O704" s="443"/>
      <c r="P704" s="385"/>
      <c r="Q704" s="385"/>
      <c r="R704" s="385"/>
      <c r="S704" s="385"/>
      <c r="T704" s="385"/>
      <c r="U704" s="385"/>
      <c r="V704" s="385"/>
      <c r="W704" s="385"/>
      <c r="X704" s="385"/>
      <c r="Y704" s="385"/>
      <c r="Z704" s="385"/>
      <c r="AA704" s="385"/>
      <c r="AB704" s="385"/>
      <c r="AC704" s="385"/>
      <c r="AD704" s="385"/>
      <c r="AE704" s="385"/>
      <c r="AF704" s="385"/>
      <c r="AG704" s="385"/>
      <c r="AH704" s="385"/>
      <c r="AI704" s="385"/>
      <c r="AJ704" s="385"/>
      <c r="AK704" s="385"/>
      <c r="AL704" s="385"/>
      <c r="AM704" s="385"/>
      <c r="AN704" s="385"/>
      <c r="AO704" s="385"/>
      <c r="AP704" s="385"/>
      <c r="AQ704" s="385"/>
      <c r="AR704" s="385"/>
      <c r="AS704" s="385"/>
      <c r="AT704" s="385"/>
      <c r="AU704" s="385"/>
      <c r="AV704" s="385"/>
      <c r="AW704" s="385"/>
      <c r="AX704" s="385"/>
    </row>
    <row r="705" spans="1:50" ht="10.8" hidden="1" thickTop="1" x14ac:dyDescent="0.2">
      <c r="A705" s="385"/>
      <c r="B705" s="385"/>
      <c r="C705" s="385"/>
      <c r="D705" s="385"/>
      <c r="E705" s="385"/>
      <c r="F705" s="385"/>
      <c r="G705" s="385"/>
      <c r="H705" s="385"/>
      <c r="I705" s="442"/>
      <c r="J705" s="442"/>
      <c r="K705" s="442"/>
      <c r="L705" s="442"/>
      <c r="M705" s="442"/>
      <c r="N705" s="442"/>
      <c r="O705" s="443"/>
      <c r="P705" s="385"/>
      <c r="Q705" s="385"/>
      <c r="R705" s="385"/>
      <c r="S705" s="385"/>
      <c r="T705" s="385"/>
      <c r="U705" s="385"/>
      <c r="V705" s="385"/>
      <c r="W705" s="385"/>
      <c r="X705" s="385"/>
      <c r="Y705" s="385"/>
      <c r="Z705" s="385"/>
      <c r="AA705" s="385"/>
      <c r="AB705" s="385"/>
      <c r="AC705" s="385"/>
      <c r="AD705" s="385"/>
      <c r="AE705" s="385"/>
      <c r="AF705" s="385"/>
      <c r="AG705" s="385"/>
      <c r="AH705" s="385"/>
      <c r="AI705" s="385"/>
      <c r="AJ705" s="385"/>
      <c r="AK705" s="385"/>
      <c r="AL705" s="385"/>
      <c r="AM705" s="385"/>
      <c r="AN705" s="385"/>
      <c r="AO705" s="385"/>
      <c r="AP705" s="385"/>
      <c r="AQ705" s="385"/>
      <c r="AR705" s="385"/>
      <c r="AS705" s="385"/>
      <c r="AT705" s="385"/>
      <c r="AU705" s="385"/>
      <c r="AV705" s="385"/>
      <c r="AW705" s="385"/>
      <c r="AX705" s="385"/>
    </row>
    <row r="706" spans="1:50" ht="10.8" hidden="1" thickTop="1" x14ac:dyDescent="0.2">
      <c r="A706" s="385"/>
      <c r="B706" s="385"/>
      <c r="C706" s="385"/>
      <c r="D706" s="385"/>
      <c r="E706" s="385"/>
      <c r="F706" s="385"/>
      <c r="G706" s="385"/>
      <c r="H706" s="385"/>
      <c r="I706" s="442"/>
      <c r="J706" s="442"/>
      <c r="K706" s="442"/>
      <c r="L706" s="442"/>
      <c r="M706" s="442"/>
      <c r="N706" s="442"/>
      <c r="O706" s="443"/>
      <c r="P706" s="385"/>
      <c r="Q706" s="385"/>
      <c r="R706" s="385"/>
      <c r="S706" s="385"/>
      <c r="T706" s="385"/>
      <c r="U706" s="385"/>
      <c r="V706" s="385"/>
      <c r="W706" s="385"/>
      <c r="X706" s="385"/>
      <c r="Y706" s="385"/>
      <c r="Z706" s="385"/>
      <c r="AA706" s="385"/>
      <c r="AB706" s="385"/>
      <c r="AC706" s="385"/>
      <c r="AD706" s="385"/>
      <c r="AE706" s="385"/>
      <c r="AF706" s="385"/>
      <c r="AG706" s="385"/>
      <c r="AH706" s="385"/>
      <c r="AI706" s="385"/>
      <c r="AJ706" s="385"/>
      <c r="AK706" s="385"/>
      <c r="AL706" s="385"/>
      <c r="AM706" s="385"/>
      <c r="AN706" s="385"/>
      <c r="AO706" s="385"/>
      <c r="AP706" s="385"/>
      <c r="AQ706" s="385"/>
      <c r="AR706" s="385"/>
      <c r="AS706" s="385"/>
      <c r="AT706" s="385"/>
      <c r="AU706" s="385"/>
      <c r="AV706" s="385"/>
      <c r="AW706" s="385"/>
      <c r="AX706" s="385"/>
    </row>
    <row r="707" spans="1:50" ht="10.8" hidden="1" thickTop="1" x14ac:dyDescent="0.2">
      <c r="A707" s="385"/>
      <c r="B707" s="385"/>
      <c r="C707" s="385"/>
      <c r="D707" s="385"/>
      <c r="E707" s="385"/>
      <c r="F707" s="385"/>
      <c r="G707" s="385"/>
      <c r="H707" s="385"/>
      <c r="I707" s="442"/>
      <c r="J707" s="442"/>
      <c r="K707" s="442"/>
      <c r="L707" s="442"/>
      <c r="M707" s="442"/>
      <c r="N707" s="442"/>
      <c r="O707" s="443"/>
      <c r="P707" s="385"/>
      <c r="Q707" s="385"/>
      <c r="R707" s="385"/>
      <c r="S707" s="385"/>
      <c r="T707" s="385"/>
      <c r="U707" s="385"/>
      <c r="V707" s="385"/>
      <c r="W707" s="385"/>
      <c r="X707" s="385"/>
      <c r="Y707" s="385"/>
      <c r="Z707" s="385"/>
      <c r="AA707" s="385"/>
      <c r="AB707" s="385"/>
      <c r="AC707" s="385"/>
      <c r="AD707" s="385"/>
      <c r="AE707" s="385"/>
      <c r="AF707" s="385"/>
      <c r="AG707" s="385"/>
      <c r="AH707" s="385"/>
      <c r="AI707" s="385"/>
      <c r="AJ707" s="385"/>
      <c r="AK707" s="385"/>
      <c r="AL707" s="385"/>
      <c r="AM707" s="385"/>
      <c r="AN707" s="385"/>
      <c r="AO707" s="385"/>
      <c r="AP707" s="385"/>
      <c r="AQ707" s="385"/>
      <c r="AR707" s="385"/>
      <c r="AS707" s="385"/>
      <c r="AT707" s="385"/>
      <c r="AU707" s="385"/>
      <c r="AV707" s="385"/>
      <c r="AW707" s="385"/>
      <c r="AX707" s="385"/>
    </row>
    <row r="708" spans="1:50" ht="10.8" hidden="1" thickTop="1" x14ac:dyDescent="0.2">
      <c r="A708" s="385"/>
      <c r="B708" s="385"/>
      <c r="C708" s="385"/>
      <c r="D708" s="385"/>
      <c r="E708" s="385"/>
      <c r="F708" s="385"/>
      <c r="G708" s="385"/>
      <c r="H708" s="385"/>
      <c r="I708" s="442"/>
      <c r="J708" s="442"/>
      <c r="K708" s="442"/>
      <c r="L708" s="442"/>
      <c r="M708" s="442"/>
      <c r="N708" s="442"/>
      <c r="O708" s="443"/>
      <c r="P708" s="385"/>
      <c r="Q708" s="385"/>
      <c r="R708" s="385"/>
      <c r="S708" s="385"/>
      <c r="T708" s="385"/>
      <c r="U708" s="385"/>
      <c r="V708" s="385"/>
      <c r="W708" s="385"/>
      <c r="X708" s="385"/>
      <c r="Y708" s="385"/>
      <c r="Z708" s="385"/>
      <c r="AA708" s="385"/>
      <c r="AB708" s="385"/>
      <c r="AC708" s="385"/>
      <c r="AD708" s="385"/>
      <c r="AE708" s="385"/>
      <c r="AF708" s="385"/>
      <c r="AG708" s="385"/>
      <c r="AH708" s="385"/>
      <c r="AI708" s="385"/>
      <c r="AJ708" s="385"/>
      <c r="AK708" s="385"/>
      <c r="AL708" s="385"/>
      <c r="AM708" s="385"/>
      <c r="AN708" s="385"/>
      <c r="AO708" s="385"/>
      <c r="AP708" s="385"/>
      <c r="AQ708" s="385"/>
      <c r="AR708" s="385"/>
      <c r="AS708" s="385"/>
      <c r="AT708" s="385"/>
      <c r="AU708" s="385"/>
      <c r="AV708" s="385"/>
      <c r="AW708" s="385"/>
      <c r="AX708" s="385"/>
    </row>
    <row r="709" spans="1:50" ht="10.8" hidden="1" thickTop="1" x14ac:dyDescent="0.2">
      <c r="A709" s="385"/>
      <c r="B709" s="385"/>
      <c r="C709" s="385"/>
      <c r="D709" s="385"/>
      <c r="E709" s="385"/>
      <c r="F709" s="385"/>
      <c r="G709" s="385"/>
      <c r="H709" s="385"/>
      <c r="I709" s="442"/>
      <c r="J709" s="442"/>
      <c r="K709" s="442"/>
      <c r="L709" s="442"/>
      <c r="M709" s="442"/>
      <c r="N709" s="442"/>
      <c r="O709" s="443"/>
      <c r="P709" s="385"/>
      <c r="Q709" s="385"/>
      <c r="R709" s="385"/>
      <c r="S709" s="385"/>
      <c r="T709" s="385"/>
      <c r="U709" s="385"/>
      <c r="V709" s="385"/>
      <c r="W709" s="385"/>
      <c r="X709" s="385"/>
      <c r="Y709" s="385"/>
      <c r="Z709" s="385"/>
      <c r="AA709" s="385"/>
      <c r="AB709" s="385"/>
      <c r="AC709" s="385"/>
      <c r="AD709" s="385"/>
      <c r="AE709" s="385"/>
      <c r="AF709" s="385"/>
      <c r="AG709" s="385"/>
      <c r="AH709" s="385"/>
      <c r="AI709" s="385"/>
      <c r="AJ709" s="385"/>
      <c r="AK709" s="385"/>
      <c r="AL709" s="385"/>
      <c r="AM709" s="385"/>
      <c r="AN709" s="385"/>
      <c r="AO709" s="385"/>
      <c r="AP709" s="385"/>
      <c r="AQ709" s="385"/>
      <c r="AR709" s="385"/>
      <c r="AS709" s="385"/>
      <c r="AT709" s="385"/>
      <c r="AU709" s="385"/>
      <c r="AV709" s="385"/>
      <c r="AW709" s="385"/>
      <c r="AX709" s="385"/>
    </row>
    <row r="710" spans="1:50" ht="10.8" hidden="1" thickTop="1" x14ac:dyDescent="0.2">
      <c r="A710" s="385"/>
      <c r="B710" s="385"/>
      <c r="C710" s="385"/>
      <c r="D710" s="385"/>
      <c r="E710" s="385"/>
      <c r="F710" s="385"/>
      <c r="G710" s="385"/>
      <c r="H710" s="385"/>
      <c r="I710" s="442"/>
      <c r="J710" s="442"/>
      <c r="K710" s="442"/>
      <c r="L710" s="442"/>
      <c r="M710" s="442"/>
      <c r="N710" s="442"/>
      <c r="O710" s="443"/>
      <c r="P710" s="385"/>
      <c r="Q710" s="385"/>
      <c r="R710" s="385"/>
      <c r="S710" s="385"/>
      <c r="T710" s="385"/>
      <c r="U710" s="385"/>
      <c r="V710" s="385"/>
      <c r="W710" s="385"/>
      <c r="X710" s="385"/>
      <c r="Y710" s="385"/>
      <c r="Z710" s="385"/>
      <c r="AA710" s="385"/>
      <c r="AB710" s="385"/>
      <c r="AC710" s="385"/>
      <c r="AD710" s="385"/>
      <c r="AE710" s="385"/>
      <c r="AF710" s="385"/>
      <c r="AG710" s="385"/>
      <c r="AH710" s="385"/>
      <c r="AI710" s="385"/>
      <c r="AJ710" s="385"/>
      <c r="AK710" s="385"/>
      <c r="AL710" s="385"/>
      <c r="AM710" s="385"/>
      <c r="AN710" s="385"/>
      <c r="AO710" s="385"/>
      <c r="AP710" s="385"/>
      <c r="AQ710" s="385"/>
      <c r="AR710" s="385"/>
      <c r="AS710" s="385"/>
      <c r="AT710" s="385"/>
      <c r="AU710" s="385"/>
      <c r="AV710" s="385"/>
      <c r="AW710" s="385"/>
      <c r="AX710" s="385"/>
    </row>
    <row r="711" spans="1:50" ht="10.8" hidden="1" thickTop="1" x14ac:dyDescent="0.2">
      <c r="A711" s="385"/>
      <c r="B711" s="385"/>
      <c r="C711" s="385"/>
      <c r="D711" s="385"/>
      <c r="E711" s="385"/>
      <c r="F711" s="385"/>
      <c r="G711" s="385"/>
      <c r="H711" s="385"/>
      <c r="I711" s="442"/>
      <c r="J711" s="442"/>
      <c r="K711" s="442"/>
      <c r="L711" s="442"/>
      <c r="M711" s="442"/>
      <c r="N711" s="442"/>
      <c r="O711" s="443"/>
      <c r="P711" s="385"/>
      <c r="Q711" s="385"/>
      <c r="R711" s="385"/>
      <c r="S711" s="385"/>
      <c r="T711" s="385"/>
      <c r="U711" s="385"/>
      <c r="V711" s="385"/>
      <c r="W711" s="385"/>
      <c r="X711" s="385"/>
      <c r="Y711" s="385"/>
      <c r="Z711" s="385"/>
      <c r="AA711" s="385"/>
      <c r="AB711" s="385"/>
      <c r="AC711" s="385"/>
      <c r="AD711" s="385"/>
      <c r="AE711" s="385"/>
      <c r="AF711" s="385"/>
      <c r="AG711" s="385"/>
      <c r="AH711" s="385"/>
      <c r="AI711" s="385"/>
      <c r="AJ711" s="385"/>
      <c r="AK711" s="385"/>
      <c r="AL711" s="385"/>
      <c r="AM711" s="385"/>
      <c r="AN711" s="385"/>
      <c r="AO711" s="385"/>
      <c r="AP711" s="385"/>
      <c r="AQ711" s="385"/>
      <c r="AR711" s="385"/>
      <c r="AS711" s="385"/>
      <c r="AT711" s="385"/>
      <c r="AU711" s="385"/>
      <c r="AV711" s="385"/>
      <c r="AW711" s="385"/>
      <c r="AX711" s="385"/>
    </row>
    <row r="712" spans="1:50" ht="10.8" hidden="1" thickTop="1" x14ac:dyDescent="0.2">
      <c r="A712" s="385"/>
      <c r="B712" s="385"/>
      <c r="C712" s="385"/>
      <c r="D712" s="385"/>
      <c r="E712" s="385"/>
      <c r="F712" s="385"/>
      <c r="G712" s="385"/>
      <c r="H712" s="385"/>
      <c r="I712" s="442"/>
      <c r="J712" s="442"/>
      <c r="K712" s="442"/>
      <c r="L712" s="442"/>
      <c r="M712" s="442"/>
      <c r="N712" s="442"/>
      <c r="O712" s="443"/>
      <c r="P712" s="385"/>
      <c r="Q712" s="385"/>
      <c r="R712" s="385"/>
      <c r="S712" s="385"/>
      <c r="T712" s="385"/>
      <c r="U712" s="385"/>
      <c r="V712" s="385"/>
      <c r="W712" s="385"/>
      <c r="X712" s="385"/>
      <c r="Y712" s="385"/>
      <c r="Z712" s="385"/>
      <c r="AA712" s="385"/>
      <c r="AB712" s="385"/>
      <c r="AC712" s="385"/>
      <c r="AD712" s="385"/>
      <c r="AE712" s="385"/>
      <c r="AF712" s="385"/>
      <c r="AG712" s="385"/>
      <c r="AH712" s="385"/>
      <c r="AI712" s="385"/>
      <c r="AJ712" s="385"/>
      <c r="AK712" s="385"/>
      <c r="AL712" s="385"/>
      <c r="AM712" s="385"/>
      <c r="AN712" s="385"/>
      <c r="AO712" s="385"/>
      <c r="AP712" s="385"/>
      <c r="AQ712" s="385"/>
      <c r="AR712" s="385"/>
      <c r="AS712" s="385"/>
      <c r="AT712" s="385"/>
      <c r="AU712" s="385"/>
      <c r="AV712" s="385"/>
      <c r="AW712" s="385"/>
      <c r="AX712" s="385"/>
    </row>
    <row r="713" spans="1:50" ht="10.8" hidden="1" thickTop="1" x14ac:dyDescent="0.2">
      <c r="A713" s="385"/>
      <c r="B713" s="385"/>
      <c r="C713" s="385"/>
      <c r="D713" s="385"/>
      <c r="E713" s="385"/>
      <c r="F713" s="385"/>
      <c r="G713" s="385"/>
      <c r="H713" s="385"/>
      <c r="I713" s="442"/>
      <c r="J713" s="442"/>
      <c r="K713" s="442"/>
      <c r="L713" s="442"/>
      <c r="M713" s="442"/>
      <c r="N713" s="442"/>
      <c r="O713" s="443"/>
      <c r="P713" s="385"/>
      <c r="Q713" s="385"/>
      <c r="R713" s="385"/>
      <c r="S713" s="385"/>
      <c r="T713" s="385"/>
      <c r="U713" s="385"/>
      <c r="V713" s="385"/>
      <c r="W713" s="385"/>
      <c r="X713" s="385"/>
      <c r="Y713" s="385"/>
      <c r="Z713" s="385"/>
      <c r="AA713" s="385"/>
      <c r="AB713" s="385"/>
      <c r="AC713" s="385"/>
      <c r="AD713" s="385"/>
      <c r="AE713" s="385"/>
      <c r="AF713" s="385"/>
      <c r="AG713" s="385"/>
      <c r="AH713" s="385"/>
      <c r="AI713" s="385"/>
      <c r="AJ713" s="385"/>
      <c r="AK713" s="385"/>
      <c r="AL713" s="385"/>
      <c r="AM713" s="385"/>
      <c r="AN713" s="385"/>
      <c r="AO713" s="385"/>
      <c r="AP713" s="385"/>
      <c r="AQ713" s="385"/>
      <c r="AR713" s="385"/>
      <c r="AS713" s="385"/>
      <c r="AT713" s="385"/>
      <c r="AU713" s="385"/>
      <c r="AV713" s="385"/>
      <c r="AW713" s="385"/>
      <c r="AX713" s="385"/>
    </row>
    <row r="714" spans="1:50" ht="10.8" hidden="1" thickTop="1" x14ac:dyDescent="0.2">
      <c r="A714" s="385"/>
      <c r="B714" s="385"/>
      <c r="C714" s="385"/>
      <c r="D714" s="385"/>
      <c r="E714" s="385"/>
      <c r="F714" s="385"/>
      <c r="G714" s="385"/>
      <c r="H714" s="385"/>
      <c r="I714" s="442"/>
      <c r="J714" s="442"/>
      <c r="K714" s="442"/>
      <c r="L714" s="442"/>
      <c r="M714" s="442"/>
      <c r="N714" s="442"/>
      <c r="O714" s="443"/>
      <c r="P714" s="385"/>
      <c r="Q714" s="385"/>
      <c r="R714" s="385"/>
      <c r="S714" s="385"/>
      <c r="T714" s="385"/>
      <c r="U714" s="385"/>
      <c r="V714" s="385"/>
      <c r="W714" s="385"/>
      <c r="X714" s="385"/>
      <c r="Y714" s="385"/>
      <c r="Z714" s="385"/>
      <c r="AA714" s="385"/>
      <c r="AB714" s="385"/>
      <c r="AC714" s="385"/>
      <c r="AD714" s="385"/>
      <c r="AE714" s="385"/>
      <c r="AF714" s="385"/>
      <c r="AG714" s="385"/>
      <c r="AH714" s="385"/>
      <c r="AI714" s="385"/>
      <c r="AJ714" s="385"/>
      <c r="AK714" s="385"/>
      <c r="AL714" s="385"/>
      <c r="AM714" s="385"/>
      <c r="AN714" s="385"/>
      <c r="AO714" s="385"/>
      <c r="AP714" s="385"/>
      <c r="AQ714" s="385"/>
      <c r="AR714" s="385"/>
      <c r="AS714" s="385"/>
      <c r="AT714" s="385"/>
      <c r="AU714" s="385"/>
      <c r="AV714" s="385"/>
      <c r="AW714" s="385"/>
      <c r="AX714" s="385"/>
    </row>
    <row r="715" spans="1:50" ht="10.8" hidden="1" thickTop="1" x14ac:dyDescent="0.2">
      <c r="A715" s="385"/>
      <c r="B715" s="385"/>
      <c r="C715" s="385"/>
      <c r="D715" s="385"/>
      <c r="E715" s="385"/>
      <c r="F715" s="385"/>
      <c r="G715" s="385"/>
      <c r="H715" s="385"/>
      <c r="I715" s="442"/>
      <c r="J715" s="442"/>
      <c r="K715" s="442"/>
      <c r="L715" s="442"/>
      <c r="M715" s="442"/>
      <c r="N715" s="442"/>
      <c r="O715" s="443"/>
      <c r="P715" s="385"/>
      <c r="Q715" s="385"/>
      <c r="R715" s="385"/>
      <c r="S715" s="385"/>
      <c r="T715" s="385"/>
      <c r="U715" s="385"/>
      <c r="V715" s="385"/>
      <c r="W715" s="385"/>
      <c r="X715" s="385"/>
      <c r="Y715" s="385"/>
      <c r="Z715" s="385"/>
      <c r="AA715" s="385"/>
      <c r="AB715" s="385"/>
      <c r="AC715" s="385"/>
      <c r="AD715" s="385"/>
      <c r="AE715" s="385"/>
      <c r="AF715" s="385"/>
      <c r="AG715" s="385"/>
      <c r="AH715" s="385"/>
      <c r="AI715" s="385"/>
      <c r="AJ715" s="385"/>
      <c r="AK715" s="385"/>
      <c r="AL715" s="385"/>
      <c r="AM715" s="385"/>
      <c r="AN715" s="385"/>
      <c r="AO715" s="385"/>
      <c r="AP715" s="385"/>
      <c r="AQ715" s="385"/>
      <c r="AR715" s="385"/>
      <c r="AS715" s="385"/>
      <c r="AT715" s="385"/>
      <c r="AU715" s="385"/>
      <c r="AV715" s="385"/>
      <c r="AW715" s="385"/>
      <c r="AX715" s="385"/>
    </row>
    <row r="716" spans="1:50" ht="10.8" hidden="1" thickTop="1" x14ac:dyDescent="0.2">
      <c r="A716" s="385"/>
      <c r="B716" s="385"/>
      <c r="C716" s="385"/>
      <c r="D716" s="385"/>
      <c r="E716" s="385"/>
      <c r="F716" s="385"/>
      <c r="G716" s="385"/>
      <c r="H716" s="385"/>
      <c r="I716" s="442"/>
      <c r="J716" s="442"/>
      <c r="K716" s="442"/>
      <c r="L716" s="442"/>
      <c r="M716" s="442"/>
      <c r="N716" s="442"/>
      <c r="O716" s="443"/>
      <c r="P716" s="385"/>
      <c r="Q716" s="385"/>
      <c r="R716" s="385"/>
      <c r="S716" s="385"/>
      <c r="T716" s="385"/>
      <c r="U716" s="385"/>
      <c r="V716" s="385"/>
      <c r="W716" s="385"/>
      <c r="X716" s="385"/>
      <c r="Y716" s="385"/>
      <c r="Z716" s="385"/>
      <c r="AA716" s="385"/>
      <c r="AB716" s="385"/>
      <c r="AC716" s="385"/>
      <c r="AD716" s="385"/>
      <c r="AE716" s="385"/>
      <c r="AF716" s="385"/>
      <c r="AG716" s="385"/>
      <c r="AH716" s="385"/>
      <c r="AI716" s="385"/>
      <c r="AJ716" s="385"/>
      <c r="AK716" s="385"/>
      <c r="AL716" s="385"/>
      <c r="AM716" s="385"/>
      <c r="AN716" s="385"/>
      <c r="AO716" s="385"/>
      <c r="AP716" s="385"/>
      <c r="AQ716" s="385"/>
      <c r="AR716" s="385"/>
      <c r="AS716" s="385"/>
      <c r="AT716" s="385"/>
      <c r="AU716" s="385"/>
      <c r="AV716" s="385"/>
      <c r="AW716" s="385"/>
      <c r="AX716" s="385"/>
    </row>
    <row r="717" spans="1:50" ht="10.8" hidden="1" thickTop="1" x14ac:dyDescent="0.2">
      <c r="A717" s="385"/>
      <c r="B717" s="385"/>
      <c r="C717" s="385"/>
      <c r="D717" s="385"/>
      <c r="E717" s="385"/>
      <c r="F717" s="385"/>
      <c r="G717" s="385"/>
      <c r="H717" s="385"/>
      <c r="I717" s="442"/>
      <c r="J717" s="442"/>
      <c r="K717" s="442"/>
      <c r="L717" s="442"/>
      <c r="M717" s="442"/>
      <c r="N717" s="442"/>
      <c r="O717" s="443"/>
      <c r="P717" s="385"/>
      <c r="Q717" s="385"/>
      <c r="R717" s="385"/>
      <c r="S717" s="385"/>
      <c r="T717" s="385"/>
      <c r="U717" s="385"/>
      <c r="V717" s="385"/>
      <c r="W717" s="385"/>
      <c r="X717" s="385"/>
      <c r="Y717" s="385"/>
      <c r="Z717" s="385"/>
      <c r="AA717" s="385"/>
      <c r="AB717" s="385"/>
      <c r="AC717" s="385"/>
      <c r="AD717" s="385"/>
      <c r="AE717" s="385"/>
      <c r="AF717" s="385"/>
      <c r="AG717" s="385"/>
      <c r="AH717" s="385"/>
      <c r="AI717" s="385"/>
      <c r="AJ717" s="385"/>
      <c r="AK717" s="385"/>
      <c r="AL717" s="385"/>
      <c r="AM717" s="385"/>
      <c r="AN717" s="385"/>
      <c r="AO717" s="385"/>
      <c r="AP717" s="385"/>
      <c r="AQ717" s="385"/>
      <c r="AR717" s="385"/>
      <c r="AS717" s="385"/>
      <c r="AT717" s="385"/>
      <c r="AU717" s="385"/>
      <c r="AV717" s="385"/>
      <c r="AW717" s="385"/>
      <c r="AX717" s="385"/>
    </row>
    <row r="718" spans="1:50" ht="10.8" hidden="1" thickTop="1" x14ac:dyDescent="0.2">
      <c r="A718" s="385"/>
      <c r="B718" s="385"/>
      <c r="C718" s="385"/>
      <c r="D718" s="385"/>
      <c r="E718" s="385"/>
      <c r="F718" s="385"/>
      <c r="G718" s="385"/>
      <c r="H718" s="385"/>
      <c r="I718" s="442"/>
      <c r="J718" s="442"/>
      <c r="K718" s="442"/>
      <c r="L718" s="442"/>
      <c r="M718" s="442"/>
      <c r="N718" s="442"/>
      <c r="O718" s="443"/>
      <c r="P718" s="385"/>
      <c r="Q718" s="385"/>
      <c r="R718" s="385"/>
      <c r="S718" s="385"/>
      <c r="T718" s="385"/>
      <c r="U718" s="385"/>
      <c r="V718" s="385"/>
      <c r="W718" s="385"/>
      <c r="X718" s="385"/>
      <c r="Y718" s="385"/>
      <c r="Z718" s="385"/>
      <c r="AA718" s="385"/>
      <c r="AB718" s="385"/>
      <c r="AC718" s="385"/>
      <c r="AD718" s="385"/>
      <c r="AE718" s="385"/>
      <c r="AF718" s="385"/>
      <c r="AG718" s="385"/>
      <c r="AH718" s="385"/>
      <c r="AI718" s="385"/>
      <c r="AJ718" s="385"/>
      <c r="AK718" s="385"/>
      <c r="AL718" s="385"/>
      <c r="AM718" s="385"/>
      <c r="AN718" s="385"/>
      <c r="AO718" s="385"/>
      <c r="AP718" s="385"/>
      <c r="AQ718" s="385"/>
      <c r="AR718" s="385"/>
      <c r="AS718" s="385"/>
      <c r="AT718" s="385"/>
      <c r="AU718" s="385"/>
      <c r="AV718" s="385"/>
      <c r="AW718" s="385"/>
      <c r="AX718" s="385"/>
    </row>
    <row r="719" spans="1:50" ht="10.8" hidden="1" thickTop="1" x14ac:dyDescent="0.2">
      <c r="A719" s="385"/>
      <c r="B719" s="385"/>
      <c r="C719" s="385"/>
      <c r="D719" s="385"/>
      <c r="E719" s="385"/>
      <c r="F719" s="385"/>
      <c r="G719" s="385"/>
      <c r="H719" s="385"/>
      <c r="I719" s="442"/>
      <c r="J719" s="442"/>
      <c r="K719" s="442"/>
      <c r="L719" s="442"/>
      <c r="M719" s="442"/>
      <c r="N719" s="442"/>
      <c r="O719" s="443"/>
      <c r="P719" s="385"/>
      <c r="Q719" s="385"/>
      <c r="R719" s="385"/>
      <c r="S719" s="385"/>
      <c r="T719" s="385"/>
      <c r="U719" s="385"/>
      <c r="V719" s="385"/>
      <c r="W719" s="385"/>
      <c r="X719" s="385"/>
      <c r="Y719" s="385"/>
      <c r="Z719" s="385"/>
      <c r="AA719" s="385"/>
      <c r="AB719" s="385"/>
      <c r="AC719" s="385"/>
      <c r="AD719" s="385"/>
      <c r="AE719" s="385"/>
      <c r="AF719" s="385"/>
      <c r="AG719" s="385"/>
      <c r="AH719" s="385"/>
      <c r="AI719" s="385"/>
      <c r="AJ719" s="385"/>
      <c r="AK719" s="385"/>
      <c r="AL719" s="385"/>
      <c r="AM719" s="385"/>
      <c r="AN719" s="385"/>
      <c r="AO719" s="385"/>
      <c r="AP719" s="385"/>
      <c r="AQ719" s="385"/>
      <c r="AR719" s="385"/>
      <c r="AS719" s="385"/>
      <c r="AT719" s="385"/>
      <c r="AU719" s="385"/>
      <c r="AV719" s="385"/>
      <c r="AW719" s="385"/>
      <c r="AX719" s="385"/>
    </row>
    <row r="720" spans="1:50" ht="10.8" hidden="1" thickTop="1" x14ac:dyDescent="0.2">
      <c r="A720" s="385"/>
      <c r="B720" s="385"/>
      <c r="C720" s="385"/>
      <c r="D720" s="385"/>
      <c r="E720" s="385"/>
      <c r="F720" s="385"/>
      <c r="G720" s="385"/>
      <c r="H720" s="385"/>
      <c r="I720" s="442"/>
      <c r="J720" s="442"/>
      <c r="K720" s="442"/>
      <c r="L720" s="442"/>
      <c r="M720" s="442"/>
      <c r="N720" s="442"/>
      <c r="O720" s="443"/>
      <c r="P720" s="385"/>
      <c r="Q720" s="385"/>
      <c r="R720" s="385"/>
      <c r="S720" s="385"/>
      <c r="T720" s="385"/>
      <c r="U720" s="385"/>
      <c r="V720" s="385"/>
      <c r="W720" s="385"/>
      <c r="X720" s="385"/>
      <c r="Y720" s="385"/>
      <c r="Z720" s="385"/>
      <c r="AA720" s="385"/>
      <c r="AB720" s="385"/>
      <c r="AC720" s="385"/>
      <c r="AD720" s="385"/>
      <c r="AE720" s="385"/>
      <c r="AF720" s="385"/>
      <c r="AG720" s="385"/>
      <c r="AH720" s="385"/>
      <c r="AI720" s="385"/>
      <c r="AJ720" s="385"/>
      <c r="AK720" s="385"/>
      <c r="AL720" s="385"/>
      <c r="AM720" s="385"/>
      <c r="AN720" s="385"/>
      <c r="AO720" s="385"/>
      <c r="AP720" s="385"/>
      <c r="AQ720" s="385"/>
      <c r="AR720" s="385"/>
      <c r="AS720" s="385"/>
      <c r="AT720" s="385"/>
      <c r="AU720" s="385"/>
      <c r="AV720" s="385"/>
      <c r="AW720" s="385"/>
      <c r="AX720" s="385"/>
    </row>
    <row r="721" spans="1:50" ht="10.8" hidden="1" thickTop="1" x14ac:dyDescent="0.2">
      <c r="A721" s="385"/>
      <c r="B721" s="385"/>
      <c r="C721" s="385"/>
      <c r="D721" s="385"/>
      <c r="E721" s="385"/>
      <c r="F721" s="385"/>
      <c r="G721" s="385"/>
      <c r="H721" s="385"/>
      <c r="I721" s="442"/>
      <c r="J721" s="442"/>
      <c r="K721" s="442"/>
      <c r="L721" s="442"/>
      <c r="M721" s="442"/>
      <c r="N721" s="442"/>
      <c r="O721" s="443"/>
      <c r="P721" s="385"/>
      <c r="Q721" s="385"/>
      <c r="R721" s="385"/>
      <c r="S721" s="385"/>
      <c r="T721" s="385"/>
      <c r="U721" s="385"/>
      <c r="V721" s="385"/>
      <c r="W721" s="385"/>
      <c r="X721" s="385"/>
      <c r="Y721" s="385"/>
      <c r="Z721" s="385"/>
      <c r="AA721" s="385"/>
      <c r="AB721" s="385"/>
      <c r="AC721" s="385"/>
      <c r="AD721" s="385"/>
      <c r="AE721" s="385"/>
      <c r="AF721" s="385"/>
      <c r="AG721" s="385"/>
      <c r="AH721" s="385"/>
      <c r="AI721" s="385"/>
      <c r="AJ721" s="385"/>
      <c r="AK721" s="385"/>
      <c r="AL721" s="385"/>
      <c r="AM721" s="385"/>
      <c r="AN721" s="385"/>
      <c r="AO721" s="385"/>
      <c r="AP721" s="385"/>
      <c r="AQ721" s="385"/>
      <c r="AR721" s="385"/>
      <c r="AS721" s="385"/>
      <c r="AT721" s="385"/>
      <c r="AU721" s="385"/>
      <c r="AV721" s="385"/>
      <c r="AW721" s="385"/>
      <c r="AX721" s="385"/>
    </row>
    <row r="722" spans="1:50" ht="10.8" hidden="1" thickTop="1" x14ac:dyDescent="0.2">
      <c r="A722" s="385"/>
      <c r="B722" s="385"/>
      <c r="C722" s="385"/>
      <c r="D722" s="385"/>
      <c r="E722" s="385"/>
      <c r="F722" s="385"/>
      <c r="G722" s="385"/>
      <c r="H722" s="385"/>
      <c r="I722" s="442"/>
      <c r="J722" s="442"/>
      <c r="K722" s="442"/>
      <c r="L722" s="442"/>
      <c r="M722" s="442"/>
      <c r="N722" s="442"/>
      <c r="O722" s="443"/>
      <c r="P722" s="385"/>
      <c r="Q722" s="385"/>
      <c r="R722" s="385"/>
      <c r="S722" s="385"/>
      <c r="T722" s="385"/>
      <c r="U722" s="385"/>
      <c r="V722" s="385"/>
      <c r="W722" s="385"/>
      <c r="X722" s="385"/>
      <c r="Y722" s="385"/>
      <c r="Z722" s="385"/>
      <c r="AA722" s="385"/>
      <c r="AB722" s="385"/>
      <c r="AC722" s="385"/>
      <c r="AD722" s="385"/>
      <c r="AE722" s="385"/>
      <c r="AF722" s="385"/>
      <c r="AG722" s="385"/>
      <c r="AH722" s="385"/>
      <c r="AI722" s="385"/>
      <c r="AJ722" s="385"/>
      <c r="AK722" s="385"/>
      <c r="AL722" s="385"/>
      <c r="AM722" s="385"/>
      <c r="AN722" s="385"/>
      <c r="AO722" s="385"/>
      <c r="AP722" s="385"/>
      <c r="AQ722" s="385"/>
      <c r="AR722" s="385"/>
      <c r="AS722" s="385"/>
      <c r="AT722" s="385"/>
      <c r="AU722" s="385"/>
      <c r="AV722" s="385"/>
      <c r="AW722" s="385"/>
      <c r="AX722" s="385"/>
    </row>
    <row r="723" spans="1:50" ht="10.8" hidden="1" thickTop="1" x14ac:dyDescent="0.2">
      <c r="A723" s="385"/>
      <c r="B723" s="385"/>
      <c r="C723" s="385"/>
      <c r="D723" s="385"/>
      <c r="E723" s="385"/>
      <c r="F723" s="385"/>
      <c r="G723" s="385"/>
      <c r="H723" s="385"/>
      <c r="I723" s="442"/>
      <c r="J723" s="442"/>
      <c r="K723" s="442"/>
      <c r="L723" s="442"/>
      <c r="M723" s="442"/>
      <c r="N723" s="442"/>
      <c r="O723" s="443"/>
      <c r="P723" s="385"/>
      <c r="Q723" s="385"/>
      <c r="R723" s="385"/>
      <c r="S723" s="385"/>
      <c r="T723" s="385"/>
      <c r="U723" s="385"/>
      <c r="V723" s="385"/>
      <c r="W723" s="385"/>
      <c r="X723" s="385"/>
      <c r="Y723" s="385"/>
      <c r="Z723" s="385"/>
      <c r="AA723" s="385"/>
      <c r="AB723" s="385"/>
      <c r="AC723" s="385"/>
      <c r="AD723" s="385"/>
      <c r="AE723" s="385"/>
      <c r="AF723" s="385"/>
      <c r="AG723" s="385"/>
      <c r="AH723" s="385"/>
      <c r="AI723" s="385"/>
      <c r="AJ723" s="385"/>
      <c r="AK723" s="385"/>
      <c r="AL723" s="385"/>
      <c r="AM723" s="385"/>
      <c r="AN723" s="385"/>
      <c r="AO723" s="385"/>
      <c r="AP723" s="385"/>
      <c r="AQ723" s="385"/>
      <c r="AR723" s="385"/>
      <c r="AS723" s="385"/>
      <c r="AT723" s="385"/>
      <c r="AU723" s="385"/>
      <c r="AV723" s="385"/>
      <c r="AW723" s="385"/>
      <c r="AX723" s="385"/>
    </row>
    <row r="724" spans="1:50" ht="10.8" hidden="1" thickTop="1" x14ac:dyDescent="0.2">
      <c r="A724" s="385"/>
      <c r="B724" s="385"/>
      <c r="C724" s="385"/>
      <c r="D724" s="385"/>
      <c r="E724" s="385"/>
      <c r="F724" s="385"/>
      <c r="G724" s="385"/>
      <c r="H724" s="385"/>
      <c r="I724" s="442"/>
      <c r="J724" s="442"/>
      <c r="K724" s="442"/>
      <c r="L724" s="442"/>
      <c r="M724" s="442"/>
      <c r="N724" s="442"/>
      <c r="O724" s="443"/>
      <c r="P724" s="385"/>
      <c r="Q724" s="385"/>
      <c r="R724" s="385"/>
      <c r="S724" s="385"/>
      <c r="T724" s="385"/>
      <c r="U724" s="385"/>
      <c r="V724" s="385"/>
      <c r="W724" s="385"/>
      <c r="X724" s="385"/>
      <c r="Y724" s="385"/>
      <c r="Z724" s="385"/>
      <c r="AA724" s="385"/>
      <c r="AB724" s="385"/>
      <c r="AC724" s="385"/>
      <c r="AD724" s="385"/>
      <c r="AE724" s="385"/>
      <c r="AF724" s="385"/>
      <c r="AG724" s="385"/>
      <c r="AH724" s="385"/>
      <c r="AI724" s="385"/>
      <c r="AJ724" s="385"/>
      <c r="AK724" s="385"/>
      <c r="AL724" s="385"/>
      <c r="AM724" s="385"/>
      <c r="AN724" s="385"/>
      <c r="AO724" s="385"/>
      <c r="AP724" s="385"/>
      <c r="AQ724" s="385"/>
      <c r="AR724" s="385"/>
      <c r="AS724" s="385"/>
      <c r="AT724" s="385"/>
      <c r="AU724" s="385"/>
      <c r="AV724" s="385"/>
      <c r="AW724" s="385"/>
      <c r="AX724" s="385"/>
    </row>
    <row r="725" spans="1:50" ht="10.8" hidden="1" thickTop="1" x14ac:dyDescent="0.2">
      <c r="A725" s="385"/>
      <c r="B725" s="385"/>
      <c r="C725" s="385"/>
      <c r="D725" s="385"/>
      <c r="E725" s="385"/>
      <c r="F725" s="385"/>
      <c r="G725" s="385"/>
      <c r="H725" s="385"/>
      <c r="I725" s="442"/>
      <c r="J725" s="442"/>
      <c r="K725" s="442"/>
      <c r="L725" s="442"/>
      <c r="M725" s="442"/>
      <c r="N725" s="442"/>
      <c r="O725" s="443"/>
      <c r="P725" s="385"/>
      <c r="Q725" s="385"/>
      <c r="R725" s="385"/>
      <c r="S725" s="385"/>
      <c r="T725" s="385"/>
      <c r="U725" s="385"/>
      <c r="V725" s="385"/>
      <c r="W725" s="385"/>
      <c r="X725" s="385"/>
      <c r="Y725" s="385"/>
      <c r="Z725" s="385"/>
      <c r="AA725" s="385"/>
      <c r="AB725" s="385"/>
      <c r="AC725" s="385"/>
      <c r="AD725" s="385"/>
      <c r="AE725" s="385"/>
      <c r="AF725" s="385"/>
      <c r="AG725" s="385"/>
      <c r="AH725" s="385"/>
      <c r="AI725" s="385"/>
      <c r="AJ725" s="385"/>
      <c r="AK725" s="385"/>
      <c r="AL725" s="385"/>
      <c r="AM725" s="385"/>
      <c r="AN725" s="385"/>
      <c r="AO725" s="385"/>
      <c r="AP725" s="385"/>
      <c r="AQ725" s="385"/>
      <c r="AR725" s="385"/>
      <c r="AS725" s="385"/>
      <c r="AT725" s="385"/>
      <c r="AU725" s="385"/>
      <c r="AV725" s="385"/>
      <c r="AW725" s="385"/>
      <c r="AX725" s="385"/>
    </row>
    <row r="726" spans="1:50" ht="10.8" hidden="1" thickTop="1" x14ac:dyDescent="0.2">
      <c r="A726" s="385"/>
      <c r="B726" s="385"/>
      <c r="C726" s="385"/>
      <c r="D726" s="385"/>
      <c r="E726" s="385"/>
      <c r="F726" s="385"/>
      <c r="G726" s="385"/>
      <c r="H726" s="385"/>
      <c r="I726" s="442"/>
      <c r="J726" s="442"/>
      <c r="K726" s="442"/>
      <c r="L726" s="442"/>
      <c r="M726" s="442"/>
      <c r="N726" s="442"/>
      <c r="O726" s="443"/>
      <c r="P726" s="385"/>
      <c r="Q726" s="385"/>
      <c r="R726" s="385"/>
      <c r="S726" s="385"/>
      <c r="T726" s="385"/>
      <c r="U726" s="385"/>
      <c r="V726" s="385"/>
      <c r="W726" s="385"/>
      <c r="X726" s="385"/>
      <c r="Y726" s="385"/>
      <c r="Z726" s="385"/>
      <c r="AA726" s="385"/>
      <c r="AB726" s="385"/>
      <c r="AC726" s="385"/>
      <c r="AD726" s="385"/>
      <c r="AE726" s="385"/>
      <c r="AF726" s="385"/>
      <c r="AG726" s="385"/>
      <c r="AH726" s="385"/>
      <c r="AI726" s="385"/>
      <c r="AJ726" s="385"/>
      <c r="AK726" s="385"/>
      <c r="AL726" s="385"/>
      <c r="AM726" s="385"/>
      <c r="AN726" s="385"/>
      <c r="AO726" s="385"/>
      <c r="AP726" s="385"/>
      <c r="AQ726" s="385"/>
      <c r="AR726" s="385"/>
      <c r="AS726" s="385"/>
      <c r="AT726" s="385"/>
      <c r="AU726" s="385"/>
      <c r="AV726" s="385"/>
      <c r="AW726" s="385"/>
      <c r="AX726" s="385"/>
    </row>
    <row r="727" spans="1:50" ht="10.8" hidden="1" thickTop="1" x14ac:dyDescent="0.2">
      <c r="A727" s="385"/>
      <c r="B727" s="385"/>
      <c r="C727" s="385"/>
      <c r="D727" s="385"/>
      <c r="E727" s="385"/>
      <c r="F727" s="385"/>
      <c r="G727" s="385"/>
      <c r="H727" s="385"/>
      <c r="I727" s="442"/>
      <c r="J727" s="442"/>
      <c r="K727" s="442"/>
      <c r="L727" s="442"/>
      <c r="M727" s="442"/>
      <c r="N727" s="442"/>
      <c r="O727" s="443"/>
      <c r="P727" s="385"/>
      <c r="Q727" s="385"/>
      <c r="R727" s="385"/>
      <c r="S727" s="385"/>
      <c r="T727" s="385"/>
      <c r="U727" s="385"/>
      <c r="V727" s="385"/>
      <c r="W727" s="385"/>
      <c r="X727" s="385"/>
      <c r="Y727" s="385"/>
      <c r="Z727" s="385"/>
      <c r="AA727" s="385"/>
      <c r="AB727" s="385"/>
      <c r="AC727" s="385"/>
      <c r="AD727" s="385"/>
      <c r="AE727" s="385"/>
      <c r="AF727" s="385"/>
      <c r="AG727" s="385"/>
      <c r="AH727" s="385"/>
      <c r="AI727" s="385"/>
      <c r="AJ727" s="385"/>
      <c r="AK727" s="385"/>
      <c r="AL727" s="385"/>
      <c r="AM727" s="385"/>
      <c r="AN727" s="385"/>
      <c r="AO727" s="385"/>
      <c r="AP727" s="385"/>
      <c r="AQ727" s="385"/>
      <c r="AR727" s="385"/>
      <c r="AS727" s="385"/>
      <c r="AT727" s="385"/>
      <c r="AU727" s="385"/>
      <c r="AV727" s="385"/>
      <c r="AW727" s="385"/>
      <c r="AX727" s="385"/>
    </row>
    <row r="728" spans="1:50" ht="10.8" hidden="1" thickTop="1" x14ac:dyDescent="0.2">
      <c r="A728" s="385"/>
      <c r="B728" s="385"/>
      <c r="C728" s="385"/>
      <c r="D728" s="385"/>
      <c r="E728" s="385"/>
      <c r="F728" s="385"/>
      <c r="G728" s="385"/>
      <c r="H728" s="385"/>
      <c r="I728" s="442"/>
      <c r="J728" s="442"/>
      <c r="K728" s="442"/>
      <c r="L728" s="442"/>
      <c r="M728" s="442"/>
      <c r="N728" s="442"/>
      <c r="O728" s="443"/>
      <c r="P728" s="385"/>
      <c r="Q728" s="385"/>
      <c r="R728" s="385"/>
      <c r="S728" s="385"/>
      <c r="T728" s="385"/>
      <c r="U728" s="385"/>
      <c r="V728" s="385"/>
      <c r="W728" s="385"/>
      <c r="X728" s="385"/>
      <c r="Y728" s="385"/>
      <c r="Z728" s="385"/>
      <c r="AA728" s="385"/>
      <c r="AB728" s="385"/>
      <c r="AC728" s="385"/>
      <c r="AD728" s="385"/>
      <c r="AE728" s="385"/>
      <c r="AF728" s="385"/>
      <c r="AG728" s="385"/>
      <c r="AH728" s="385"/>
      <c r="AI728" s="385"/>
      <c r="AJ728" s="385"/>
      <c r="AK728" s="385"/>
      <c r="AL728" s="385"/>
      <c r="AM728" s="385"/>
      <c r="AN728" s="385"/>
      <c r="AO728" s="385"/>
      <c r="AP728" s="385"/>
      <c r="AQ728" s="385"/>
      <c r="AR728" s="385"/>
      <c r="AS728" s="385"/>
      <c r="AT728" s="385"/>
      <c r="AU728" s="385"/>
      <c r="AV728" s="385"/>
      <c r="AW728" s="385"/>
      <c r="AX728" s="385"/>
    </row>
    <row r="729" spans="1:50" ht="10.8" hidden="1" thickTop="1" x14ac:dyDescent="0.2">
      <c r="A729" s="385"/>
      <c r="B729" s="385"/>
      <c r="C729" s="385"/>
      <c r="D729" s="385"/>
      <c r="E729" s="385"/>
      <c r="F729" s="385"/>
      <c r="G729" s="385"/>
      <c r="H729" s="385"/>
      <c r="I729" s="442"/>
      <c r="J729" s="442"/>
      <c r="K729" s="442"/>
      <c r="L729" s="442"/>
      <c r="M729" s="442"/>
      <c r="N729" s="442"/>
      <c r="O729" s="443"/>
      <c r="P729" s="385"/>
      <c r="Q729" s="385"/>
      <c r="R729" s="385"/>
      <c r="S729" s="385"/>
      <c r="T729" s="385"/>
      <c r="U729" s="385"/>
      <c r="V729" s="385"/>
      <c r="W729" s="385"/>
      <c r="X729" s="385"/>
      <c r="Y729" s="385"/>
      <c r="Z729" s="385"/>
      <c r="AA729" s="385"/>
      <c r="AB729" s="385"/>
      <c r="AC729" s="385"/>
      <c r="AD729" s="385"/>
      <c r="AE729" s="385"/>
      <c r="AF729" s="385"/>
      <c r="AG729" s="385"/>
      <c r="AH729" s="385"/>
      <c r="AI729" s="385"/>
      <c r="AJ729" s="385"/>
      <c r="AK729" s="385"/>
      <c r="AL729" s="385"/>
      <c r="AM729" s="385"/>
      <c r="AN729" s="385"/>
      <c r="AO729" s="385"/>
      <c r="AP729" s="385"/>
      <c r="AQ729" s="385"/>
      <c r="AR729" s="385"/>
      <c r="AS729" s="385"/>
      <c r="AT729" s="385"/>
      <c r="AU729" s="385"/>
      <c r="AV729" s="385"/>
      <c r="AW729" s="385"/>
      <c r="AX729" s="385"/>
    </row>
    <row r="730" spans="1:50" ht="10.8" hidden="1" thickTop="1" x14ac:dyDescent="0.2">
      <c r="A730" s="385"/>
      <c r="B730" s="385"/>
      <c r="C730" s="385"/>
      <c r="D730" s="385"/>
      <c r="E730" s="385"/>
      <c r="F730" s="385"/>
      <c r="G730" s="385"/>
      <c r="H730" s="385"/>
      <c r="I730" s="442"/>
      <c r="J730" s="442"/>
      <c r="K730" s="442"/>
      <c r="L730" s="442"/>
      <c r="M730" s="442"/>
      <c r="N730" s="442"/>
      <c r="O730" s="443"/>
      <c r="P730" s="385"/>
      <c r="Q730" s="385"/>
      <c r="R730" s="385"/>
      <c r="S730" s="385"/>
      <c r="T730" s="385"/>
      <c r="U730" s="385"/>
      <c r="V730" s="385"/>
      <c r="W730" s="385"/>
      <c r="X730" s="385"/>
      <c r="Y730" s="385"/>
      <c r="Z730" s="385"/>
      <c r="AA730" s="385"/>
      <c r="AB730" s="385"/>
      <c r="AC730" s="385"/>
      <c r="AD730" s="385"/>
      <c r="AE730" s="385"/>
      <c r="AF730" s="385"/>
      <c r="AG730" s="385"/>
      <c r="AH730" s="385"/>
      <c r="AI730" s="385"/>
      <c r="AJ730" s="385"/>
      <c r="AK730" s="385"/>
      <c r="AL730" s="385"/>
      <c r="AM730" s="385"/>
      <c r="AN730" s="385"/>
      <c r="AO730" s="385"/>
      <c r="AP730" s="385"/>
      <c r="AQ730" s="385"/>
      <c r="AR730" s="385"/>
      <c r="AS730" s="385"/>
      <c r="AT730" s="385"/>
      <c r="AU730" s="385"/>
      <c r="AV730" s="385"/>
      <c r="AW730" s="385"/>
      <c r="AX730" s="385"/>
    </row>
    <row r="731" spans="1:50" ht="10.8" hidden="1" thickTop="1" x14ac:dyDescent="0.2">
      <c r="A731" s="385"/>
      <c r="B731" s="385"/>
      <c r="C731" s="385"/>
      <c r="D731" s="385"/>
      <c r="E731" s="385"/>
      <c r="F731" s="385"/>
      <c r="G731" s="385"/>
      <c r="H731" s="385"/>
      <c r="I731" s="442"/>
      <c r="J731" s="442"/>
      <c r="K731" s="442"/>
      <c r="L731" s="442"/>
      <c r="M731" s="442"/>
      <c r="N731" s="442"/>
      <c r="O731" s="443"/>
      <c r="P731" s="385"/>
      <c r="Q731" s="385"/>
      <c r="R731" s="385"/>
      <c r="S731" s="385"/>
      <c r="T731" s="385"/>
      <c r="U731" s="385"/>
      <c r="V731" s="385"/>
      <c r="W731" s="385"/>
      <c r="X731" s="385"/>
      <c r="Y731" s="385"/>
      <c r="Z731" s="385"/>
      <c r="AA731" s="385"/>
      <c r="AB731" s="385"/>
      <c r="AC731" s="385"/>
      <c r="AD731" s="385"/>
      <c r="AE731" s="385"/>
      <c r="AF731" s="385"/>
      <c r="AG731" s="385"/>
      <c r="AH731" s="385"/>
      <c r="AI731" s="385"/>
      <c r="AJ731" s="385"/>
      <c r="AK731" s="385"/>
      <c r="AL731" s="385"/>
      <c r="AM731" s="385"/>
      <c r="AN731" s="385"/>
      <c r="AO731" s="385"/>
      <c r="AP731" s="385"/>
      <c r="AQ731" s="385"/>
      <c r="AR731" s="385"/>
      <c r="AS731" s="385"/>
      <c r="AT731" s="385"/>
      <c r="AU731" s="385"/>
      <c r="AV731" s="385"/>
      <c r="AW731" s="385"/>
      <c r="AX731" s="385"/>
    </row>
    <row r="732" spans="1:50" ht="10.8" hidden="1" thickTop="1" x14ac:dyDescent="0.2">
      <c r="A732" s="385"/>
      <c r="B732" s="385"/>
      <c r="C732" s="385"/>
      <c r="D732" s="385"/>
      <c r="E732" s="385"/>
      <c r="F732" s="385"/>
      <c r="G732" s="385"/>
      <c r="H732" s="385"/>
      <c r="I732" s="442"/>
      <c r="J732" s="442"/>
      <c r="K732" s="442"/>
      <c r="L732" s="442"/>
      <c r="M732" s="442"/>
      <c r="N732" s="442"/>
      <c r="O732" s="443"/>
      <c r="P732" s="385"/>
      <c r="Q732" s="385"/>
      <c r="R732" s="385"/>
      <c r="S732" s="385"/>
      <c r="T732" s="385"/>
      <c r="U732" s="385"/>
      <c r="V732" s="385"/>
      <c r="W732" s="385"/>
      <c r="X732" s="385"/>
      <c r="Y732" s="385"/>
      <c r="Z732" s="385"/>
      <c r="AA732" s="385"/>
      <c r="AB732" s="385"/>
      <c r="AC732" s="385"/>
      <c r="AD732" s="385"/>
      <c r="AE732" s="385"/>
      <c r="AF732" s="385"/>
      <c r="AG732" s="385"/>
      <c r="AH732" s="385"/>
      <c r="AI732" s="385"/>
      <c r="AJ732" s="385"/>
      <c r="AK732" s="385"/>
      <c r="AL732" s="385"/>
      <c r="AM732" s="385"/>
      <c r="AN732" s="385"/>
      <c r="AO732" s="385"/>
      <c r="AP732" s="385"/>
      <c r="AQ732" s="385"/>
      <c r="AR732" s="385"/>
      <c r="AS732" s="385"/>
      <c r="AT732" s="385"/>
      <c r="AU732" s="385"/>
      <c r="AV732" s="385"/>
      <c r="AW732" s="385"/>
      <c r="AX732" s="385"/>
    </row>
    <row r="733" spans="1:50" ht="10.8" hidden="1" thickTop="1" x14ac:dyDescent="0.2">
      <c r="A733" s="385"/>
      <c r="B733" s="385"/>
      <c r="C733" s="385"/>
      <c r="D733" s="385"/>
      <c r="E733" s="385"/>
      <c r="F733" s="385"/>
      <c r="G733" s="385"/>
      <c r="H733" s="385"/>
      <c r="I733" s="442"/>
      <c r="J733" s="442"/>
      <c r="K733" s="442"/>
      <c r="L733" s="442"/>
      <c r="M733" s="442"/>
      <c r="N733" s="442"/>
      <c r="O733" s="443"/>
      <c r="P733" s="385"/>
      <c r="Q733" s="385"/>
      <c r="R733" s="385"/>
      <c r="S733" s="385"/>
      <c r="T733" s="385"/>
      <c r="U733" s="385"/>
      <c r="V733" s="385"/>
      <c r="W733" s="385"/>
      <c r="X733" s="385"/>
      <c r="Y733" s="385"/>
      <c r="Z733" s="385"/>
      <c r="AA733" s="385"/>
      <c r="AB733" s="385"/>
      <c r="AC733" s="385"/>
      <c r="AD733" s="385"/>
      <c r="AE733" s="385"/>
      <c r="AF733" s="385"/>
      <c r="AG733" s="385"/>
      <c r="AH733" s="385"/>
      <c r="AI733" s="385"/>
      <c r="AJ733" s="385"/>
      <c r="AK733" s="385"/>
      <c r="AL733" s="385"/>
      <c r="AM733" s="385"/>
      <c r="AN733" s="385"/>
      <c r="AO733" s="385"/>
      <c r="AP733" s="385"/>
      <c r="AQ733" s="385"/>
      <c r="AR733" s="385"/>
      <c r="AS733" s="385"/>
      <c r="AT733" s="385"/>
      <c r="AU733" s="385"/>
      <c r="AV733" s="385"/>
      <c r="AW733" s="385"/>
      <c r="AX733" s="385"/>
    </row>
    <row r="734" spans="1:50" ht="10.8" hidden="1" thickTop="1" x14ac:dyDescent="0.2">
      <c r="A734" s="385"/>
      <c r="B734" s="385"/>
      <c r="C734" s="385"/>
      <c r="D734" s="385"/>
      <c r="E734" s="385"/>
      <c r="F734" s="385"/>
      <c r="G734" s="385"/>
      <c r="H734" s="385"/>
      <c r="I734" s="442"/>
      <c r="J734" s="442"/>
      <c r="K734" s="442"/>
      <c r="L734" s="442"/>
      <c r="M734" s="442"/>
      <c r="N734" s="442"/>
      <c r="O734" s="443"/>
      <c r="P734" s="385"/>
      <c r="Q734" s="385"/>
      <c r="R734" s="385"/>
      <c r="S734" s="385"/>
      <c r="T734" s="385"/>
      <c r="U734" s="385"/>
      <c r="V734" s="385"/>
      <c r="W734" s="385"/>
      <c r="X734" s="385"/>
      <c r="Y734" s="385"/>
      <c r="Z734" s="385"/>
      <c r="AA734" s="385"/>
      <c r="AB734" s="385"/>
      <c r="AC734" s="385"/>
      <c r="AD734" s="385"/>
      <c r="AE734" s="385"/>
      <c r="AF734" s="385"/>
      <c r="AG734" s="385"/>
      <c r="AH734" s="385"/>
      <c r="AI734" s="385"/>
      <c r="AJ734" s="385"/>
      <c r="AK734" s="385"/>
      <c r="AL734" s="385"/>
      <c r="AM734" s="385"/>
      <c r="AN734" s="385"/>
      <c r="AO734" s="385"/>
      <c r="AP734" s="385"/>
      <c r="AQ734" s="385"/>
      <c r="AR734" s="385"/>
      <c r="AS734" s="385"/>
      <c r="AT734" s="385"/>
      <c r="AU734" s="385"/>
      <c r="AV734" s="385"/>
      <c r="AW734" s="385"/>
      <c r="AX734" s="385"/>
    </row>
    <row r="735" spans="1:50" ht="10.8" hidden="1" thickTop="1" x14ac:dyDescent="0.2">
      <c r="A735" s="385"/>
      <c r="B735" s="385"/>
      <c r="C735" s="385"/>
      <c r="D735" s="385"/>
      <c r="E735" s="385"/>
      <c r="F735" s="385"/>
      <c r="G735" s="385"/>
      <c r="H735" s="385"/>
      <c r="I735" s="442"/>
      <c r="J735" s="442"/>
      <c r="K735" s="442"/>
      <c r="L735" s="442"/>
      <c r="M735" s="442"/>
      <c r="N735" s="442"/>
      <c r="O735" s="443"/>
      <c r="P735" s="385"/>
      <c r="Q735" s="385"/>
      <c r="R735" s="385"/>
      <c r="S735" s="385"/>
      <c r="T735" s="385"/>
      <c r="U735" s="385"/>
      <c r="V735" s="385"/>
      <c r="W735" s="385"/>
      <c r="X735" s="385"/>
      <c r="Y735" s="385"/>
      <c r="Z735" s="385"/>
      <c r="AA735" s="385"/>
      <c r="AB735" s="385"/>
      <c r="AC735" s="385"/>
      <c r="AD735" s="385"/>
      <c r="AE735" s="385"/>
      <c r="AF735" s="385"/>
      <c r="AG735" s="385"/>
      <c r="AH735" s="385"/>
      <c r="AI735" s="385"/>
      <c r="AJ735" s="385"/>
      <c r="AK735" s="385"/>
      <c r="AL735" s="385"/>
      <c r="AM735" s="385"/>
      <c r="AN735" s="385"/>
      <c r="AO735" s="385"/>
      <c r="AP735" s="385"/>
      <c r="AQ735" s="385"/>
      <c r="AR735" s="385"/>
      <c r="AS735" s="385"/>
      <c r="AT735" s="385"/>
      <c r="AU735" s="385"/>
      <c r="AV735" s="385"/>
      <c r="AW735" s="385"/>
      <c r="AX735" s="385"/>
    </row>
    <row r="736" spans="1:50" ht="10.8" hidden="1" thickTop="1" x14ac:dyDescent="0.2">
      <c r="A736" s="385"/>
      <c r="B736" s="385"/>
      <c r="C736" s="385"/>
      <c r="D736" s="385"/>
      <c r="E736" s="385"/>
      <c r="F736" s="385"/>
      <c r="G736" s="385"/>
      <c r="H736" s="385"/>
      <c r="I736" s="442"/>
      <c r="J736" s="442"/>
      <c r="K736" s="442"/>
      <c r="L736" s="442"/>
      <c r="M736" s="442"/>
      <c r="N736" s="442"/>
      <c r="O736" s="443"/>
      <c r="P736" s="385"/>
      <c r="Q736" s="385"/>
      <c r="R736" s="385"/>
      <c r="S736" s="385"/>
      <c r="T736" s="385"/>
      <c r="U736" s="385"/>
      <c r="V736" s="385"/>
      <c r="W736" s="385"/>
      <c r="X736" s="385"/>
      <c r="Y736" s="385"/>
      <c r="Z736" s="385"/>
      <c r="AA736" s="385"/>
      <c r="AB736" s="385"/>
      <c r="AC736" s="385"/>
      <c r="AD736" s="385"/>
      <c r="AE736" s="385"/>
      <c r="AF736" s="385"/>
      <c r="AG736" s="385"/>
      <c r="AH736" s="385"/>
      <c r="AI736" s="385"/>
      <c r="AJ736" s="385"/>
      <c r="AK736" s="385"/>
      <c r="AL736" s="385"/>
      <c r="AM736" s="385"/>
      <c r="AN736" s="385"/>
      <c r="AO736" s="385"/>
      <c r="AP736" s="385"/>
      <c r="AQ736" s="385"/>
      <c r="AR736" s="385"/>
      <c r="AS736" s="385"/>
      <c r="AT736" s="385"/>
      <c r="AU736" s="385"/>
      <c r="AV736" s="385"/>
      <c r="AW736" s="385"/>
      <c r="AX736" s="385"/>
    </row>
    <row r="737" spans="1:50" ht="10.8" hidden="1" thickTop="1" x14ac:dyDescent="0.2">
      <c r="A737" s="385"/>
      <c r="B737" s="385"/>
      <c r="C737" s="385"/>
      <c r="D737" s="385"/>
      <c r="E737" s="385"/>
      <c r="F737" s="385"/>
      <c r="G737" s="385"/>
      <c r="H737" s="385"/>
      <c r="I737" s="442"/>
      <c r="J737" s="442"/>
      <c r="K737" s="442"/>
      <c r="L737" s="442"/>
      <c r="M737" s="442"/>
      <c r="N737" s="442"/>
      <c r="O737" s="443"/>
      <c r="P737" s="385"/>
      <c r="Q737" s="385"/>
      <c r="R737" s="385"/>
      <c r="S737" s="385"/>
      <c r="T737" s="385"/>
      <c r="U737" s="385"/>
      <c r="V737" s="385"/>
      <c r="W737" s="385"/>
      <c r="X737" s="385"/>
      <c r="Y737" s="385"/>
      <c r="Z737" s="385"/>
      <c r="AA737" s="385"/>
      <c r="AB737" s="385"/>
      <c r="AC737" s="385"/>
      <c r="AD737" s="385"/>
      <c r="AE737" s="385"/>
      <c r="AF737" s="385"/>
      <c r="AG737" s="385"/>
      <c r="AH737" s="385"/>
      <c r="AI737" s="385"/>
      <c r="AJ737" s="385"/>
      <c r="AK737" s="385"/>
      <c r="AL737" s="385"/>
      <c r="AM737" s="385"/>
      <c r="AN737" s="385"/>
      <c r="AO737" s="385"/>
      <c r="AP737" s="385"/>
      <c r="AQ737" s="385"/>
      <c r="AR737" s="385"/>
      <c r="AS737" s="385"/>
      <c r="AT737" s="385"/>
      <c r="AU737" s="385"/>
      <c r="AV737" s="385"/>
      <c r="AW737" s="385"/>
      <c r="AX737" s="385"/>
    </row>
    <row r="738" spans="1:50" ht="10.8" hidden="1" thickTop="1" x14ac:dyDescent="0.2">
      <c r="A738" s="385"/>
      <c r="B738" s="385"/>
      <c r="C738" s="385"/>
      <c r="D738" s="385"/>
      <c r="E738" s="385"/>
      <c r="F738" s="385"/>
      <c r="G738" s="385"/>
      <c r="H738" s="385"/>
      <c r="I738" s="442"/>
      <c r="J738" s="442"/>
      <c r="K738" s="442"/>
      <c r="L738" s="442"/>
      <c r="M738" s="442"/>
      <c r="N738" s="442"/>
      <c r="O738" s="443"/>
      <c r="P738" s="385"/>
      <c r="Q738" s="385"/>
      <c r="R738" s="385"/>
      <c r="S738" s="385"/>
      <c r="T738" s="385"/>
      <c r="U738" s="385"/>
      <c r="V738" s="385"/>
      <c r="W738" s="385"/>
      <c r="X738" s="385"/>
      <c r="Y738" s="385"/>
      <c r="Z738" s="385"/>
      <c r="AA738" s="385"/>
      <c r="AB738" s="385"/>
      <c r="AC738" s="385"/>
      <c r="AD738" s="385"/>
      <c r="AE738" s="385"/>
      <c r="AF738" s="385"/>
      <c r="AG738" s="385"/>
      <c r="AH738" s="385"/>
      <c r="AI738" s="385"/>
      <c r="AJ738" s="385"/>
      <c r="AK738" s="385"/>
      <c r="AL738" s="385"/>
      <c r="AM738" s="385"/>
      <c r="AN738" s="385"/>
      <c r="AO738" s="385"/>
      <c r="AP738" s="385"/>
      <c r="AQ738" s="385"/>
      <c r="AR738" s="385"/>
      <c r="AS738" s="385"/>
      <c r="AT738" s="385"/>
      <c r="AU738" s="385"/>
      <c r="AV738" s="385"/>
      <c r="AW738" s="385"/>
      <c r="AX738" s="385"/>
    </row>
    <row r="739" spans="1:50" ht="10.8" hidden="1" thickTop="1" x14ac:dyDescent="0.2">
      <c r="A739" s="385"/>
      <c r="B739" s="385"/>
      <c r="C739" s="385"/>
      <c r="D739" s="385"/>
      <c r="E739" s="385"/>
      <c r="F739" s="385"/>
      <c r="G739" s="385"/>
      <c r="H739" s="385"/>
      <c r="I739" s="442"/>
      <c r="J739" s="442"/>
      <c r="K739" s="442"/>
      <c r="L739" s="442"/>
      <c r="M739" s="442"/>
      <c r="N739" s="442"/>
      <c r="O739" s="443"/>
      <c r="P739" s="385"/>
      <c r="Q739" s="385"/>
      <c r="R739" s="385"/>
      <c r="S739" s="385"/>
      <c r="T739" s="385"/>
      <c r="U739" s="385"/>
      <c r="V739" s="385"/>
      <c r="W739" s="385"/>
      <c r="X739" s="385"/>
      <c r="Y739" s="385"/>
      <c r="Z739" s="385"/>
      <c r="AA739" s="385"/>
      <c r="AB739" s="385"/>
      <c r="AC739" s="385"/>
      <c r="AD739" s="385"/>
      <c r="AE739" s="385"/>
      <c r="AF739" s="385"/>
      <c r="AG739" s="385"/>
      <c r="AH739" s="385"/>
      <c r="AI739" s="385"/>
      <c r="AJ739" s="385"/>
      <c r="AK739" s="385"/>
      <c r="AL739" s="385"/>
      <c r="AM739" s="385"/>
      <c r="AN739" s="385"/>
      <c r="AO739" s="385"/>
      <c r="AP739" s="385"/>
      <c r="AQ739" s="385"/>
      <c r="AR739" s="385"/>
      <c r="AS739" s="385"/>
      <c r="AT739" s="385"/>
      <c r="AU739" s="385"/>
      <c r="AV739" s="385"/>
      <c r="AW739" s="385"/>
      <c r="AX739" s="385"/>
    </row>
    <row r="740" spans="1:50" ht="10.8" hidden="1" thickTop="1" x14ac:dyDescent="0.2">
      <c r="A740" s="385"/>
      <c r="B740" s="385"/>
      <c r="C740" s="385"/>
      <c r="D740" s="385"/>
      <c r="E740" s="385"/>
      <c r="F740" s="385"/>
      <c r="G740" s="385"/>
      <c r="H740" s="385"/>
      <c r="I740" s="442"/>
      <c r="J740" s="442"/>
      <c r="K740" s="442"/>
      <c r="L740" s="442"/>
      <c r="M740" s="442"/>
      <c r="N740" s="442"/>
      <c r="O740" s="443"/>
      <c r="P740" s="385"/>
      <c r="Q740" s="385"/>
      <c r="R740" s="385"/>
      <c r="S740" s="385"/>
      <c r="T740" s="385"/>
      <c r="U740" s="385"/>
      <c r="V740" s="385"/>
      <c r="W740" s="385"/>
      <c r="X740" s="385"/>
      <c r="Y740" s="385"/>
      <c r="Z740" s="385"/>
      <c r="AA740" s="385"/>
      <c r="AB740" s="385"/>
      <c r="AC740" s="385"/>
      <c r="AD740" s="385"/>
      <c r="AE740" s="385"/>
      <c r="AF740" s="385"/>
      <c r="AG740" s="385"/>
      <c r="AH740" s="385"/>
      <c r="AI740" s="385"/>
      <c r="AJ740" s="385"/>
      <c r="AK740" s="385"/>
      <c r="AL740" s="385"/>
      <c r="AM740" s="385"/>
      <c r="AN740" s="385"/>
      <c r="AO740" s="385"/>
      <c r="AP740" s="385"/>
      <c r="AQ740" s="385"/>
      <c r="AR740" s="385"/>
      <c r="AS740" s="385"/>
      <c r="AT740" s="385"/>
      <c r="AU740" s="385"/>
      <c r="AV740" s="385"/>
      <c r="AW740" s="385"/>
      <c r="AX740" s="385"/>
    </row>
    <row r="741" spans="1:50" ht="10.8" hidden="1" thickTop="1" x14ac:dyDescent="0.2">
      <c r="A741" s="385"/>
      <c r="B741" s="385"/>
      <c r="C741" s="385"/>
      <c r="D741" s="385"/>
      <c r="E741" s="385"/>
      <c r="F741" s="385"/>
      <c r="G741" s="385"/>
      <c r="H741" s="385"/>
      <c r="I741" s="442"/>
      <c r="J741" s="442"/>
      <c r="K741" s="442"/>
      <c r="L741" s="442"/>
      <c r="M741" s="442"/>
      <c r="N741" s="442"/>
      <c r="O741" s="443"/>
      <c r="P741" s="385"/>
      <c r="Q741" s="385"/>
      <c r="R741" s="385"/>
      <c r="S741" s="385"/>
      <c r="T741" s="385"/>
      <c r="U741" s="385"/>
      <c r="V741" s="385"/>
      <c r="W741" s="385"/>
      <c r="X741" s="385"/>
      <c r="Y741" s="385"/>
      <c r="Z741" s="385"/>
      <c r="AA741" s="385"/>
      <c r="AB741" s="385"/>
      <c r="AC741" s="385"/>
      <c r="AD741" s="385"/>
      <c r="AE741" s="385"/>
      <c r="AF741" s="385"/>
      <c r="AG741" s="385"/>
      <c r="AH741" s="385"/>
      <c r="AI741" s="385"/>
      <c r="AJ741" s="385"/>
      <c r="AK741" s="385"/>
      <c r="AL741" s="385"/>
      <c r="AM741" s="385"/>
      <c r="AN741" s="385"/>
      <c r="AO741" s="385"/>
      <c r="AP741" s="385"/>
      <c r="AQ741" s="385"/>
      <c r="AR741" s="385"/>
      <c r="AS741" s="385"/>
      <c r="AT741" s="385"/>
      <c r="AU741" s="385"/>
      <c r="AV741" s="385"/>
      <c r="AW741" s="385"/>
      <c r="AX741" s="385"/>
    </row>
    <row r="742" spans="1:50" ht="10.8" hidden="1" thickTop="1" x14ac:dyDescent="0.2">
      <c r="A742" s="385"/>
      <c r="B742" s="385"/>
      <c r="C742" s="385"/>
      <c r="D742" s="385"/>
      <c r="E742" s="385"/>
      <c r="F742" s="385"/>
      <c r="G742" s="385"/>
      <c r="H742" s="385"/>
      <c r="I742" s="442"/>
      <c r="J742" s="442"/>
      <c r="K742" s="442"/>
      <c r="L742" s="442"/>
      <c r="M742" s="442"/>
      <c r="N742" s="442"/>
      <c r="O742" s="443"/>
      <c r="P742" s="385"/>
      <c r="Q742" s="385"/>
      <c r="R742" s="385"/>
      <c r="S742" s="385"/>
      <c r="T742" s="385"/>
      <c r="U742" s="385"/>
      <c r="V742" s="385"/>
      <c r="W742" s="385"/>
      <c r="X742" s="385"/>
      <c r="Y742" s="385"/>
      <c r="Z742" s="385"/>
      <c r="AA742" s="385"/>
      <c r="AB742" s="385"/>
      <c r="AC742" s="385"/>
      <c r="AD742" s="385"/>
      <c r="AE742" s="385"/>
      <c r="AF742" s="385"/>
      <c r="AG742" s="385"/>
      <c r="AH742" s="385"/>
      <c r="AI742" s="385"/>
      <c r="AJ742" s="385"/>
      <c r="AK742" s="385"/>
      <c r="AL742" s="385"/>
      <c r="AM742" s="385"/>
      <c r="AN742" s="385"/>
      <c r="AO742" s="385"/>
      <c r="AP742" s="385"/>
      <c r="AQ742" s="385"/>
      <c r="AR742" s="385"/>
      <c r="AS742" s="385"/>
      <c r="AT742" s="385"/>
      <c r="AU742" s="385"/>
      <c r="AV742" s="385"/>
      <c r="AW742" s="385"/>
      <c r="AX742" s="385"/>
    </row>
    <row r="743" spans="1:50" ht="10.8" hidden="1" thickTop="1" x14ac:dyDescent="0.2">
      <c r="A743" s="385"/>
      <c r="B743" s="385"/>
      <c r="C743" s="385"/>
      <c r="D743" s="385"/>
      <c r="E743" s="385"/>
      <c r="F743" s="385"/>
      <c r="G743" s="385"/>
      <c r="H743" s="385"/>
      <c r="I743" s="442"/>
      <c r="J743" s="442"/>
      <c r="K743" s="442"/>
      <c r="L743" s="442"/>
      <c r="M743" s="442"/>
      <c r="N743" s="442"/>
      <c r="O743" s="443"/>
      <c r="P743" s="385"/>
      <c r="Q743" s="385"/>
      <c r="R743" s="385"/>
      <c r="S743" s="385"/>
      <c r="T743" s="385"/>
      <c r="U743" s="385"/>
      <c r="V743" s="385"/>
      <c r="W743" s="385"/>
      <c r="X743" s="385"/>
      <c r="Y743" s="385"/>
      <c r="Z743" s="385"/>
      <c r="AA743" s="385"/>
      <c r="AB743" s="385"/>
      <c r="AC743" s="385"/>
      <c r="AD743" s="385"/>
      <c r="AE743" s="385"/>
      <c r="AF743" s="385"/>
      <c r="AG743" s="385"/>
      <c r="AH743" s="385"/>
      <c r="AI743" s="385"/>
      <c r="AJ743" s="385"/>
      <c r="AK743" s="385"/>
      <c r="AL743" s="385"/>
      <c r="AM743" s="385"/>
      <c r="AN743" s="385"/>
      <c r="AO743" s="385"/>
      <c r="AP743" s="385"/>
      <c r="AQ743" s="385"/>
      <c r="AR743" s="385"/>
      <c r="AS743" s="385"/>
      <c r="AT743" s="385"/>
      <c r="AU743" s="385"/>
      <c r="AV743" s="385"/>
      <c r="AW743" s="385"/>
      <c r="AX743" s="385"/>
    </row>
    <row r="744" spans="1:50" ht="10.8" hidden="1" thickTop="1" x14ac:dyDescent="0.2">
      <c r="A744" s="385"/>
      <c r="B744" s="385"/>
      <c r="C744" s="385"/>
      <c r="D744" s="385"/>
      <c r="E744" s="385"/>
      <c r="F744" s="385"/>
      <c r="G744" s="385"/>
      <c r="H744" s="385"/>
      <c r="I744" s="442"/>
      <c r="J744" s="442"/>
      <c r="K744" s="442"/>
      <c r="L744" s="442"/>
      <c r="M744" s="442"/>
      <c r="N744" s="442"/>
      <c r="O744" s="443"/>
      <c r="P744" s="385"/>
      <c r="Q744" s="385"/>
      <c r="R744" s="385"/>
      <c r="S744" s="385"/>
      <c r="T744" s="385"/>
      <c r="U744" s="385"/>
      <c r="V744" s="385"/>
      <c r="W744" s="385"/>
      <c r="X744" s="385"/>
      <c r="Y744" s="385"/>
      <c r="Z744" s="385"/>
      <c r="AA744" s="385"/>
      <c r="AB744" s="385"/>
      <c r="AC744" s="385"/>
      <c r="AD744" s="385"/>
      <c r="AE744" s="385"/>
      <c r="AF744" s="385"/>
      <c r="AG744" s="385"/>
      <c r="AH744" s="385"/>
      <c r="AI744" s="385"/>
      <c r="AJ744" s="385"/>
      <c r="AK744" s="385"/>
      <c r="AL744" s="385"/>
      <c r="AM744" s="385"/>
      <c r="AN744" s="385"/>
      <c r="AO744" s="385"/>
      <c r="AP744" s="385"/>
      <c r="AQ744" s="385"/>
      <c r="AR744" s="385"/>
      <c r="AS744" s="385"/>
      <c r="AT744" s="385"/>
      <c r="AU744" s="385"/>
      <c r="AV744" s="385"/>
      <c r="AW744" s="385"/>
      <c r="AX744" s="385"/>
    </row>
    <row r="745" spans="1:50" ht="10.8" hidden="1" thickTop="1" x14ac:dyDescent="0.2">
      <c r="A745" s="385"/>
      <c r="B745" s="385"/>
      <c r="C745" s="385"/>
      <c r="D745" s="385"/>
      <c r="E745" s="385"/>
      <c r="F745" s="385"/>
      <c r="G745" s="385"/>
      <c r="H745" s="385"/>
      <c r="I745" s="442"/>
      <c r="J745" s="442"/>
      <c r="K745" s="442"/>
      <c r="L745" s="442"/>
      <c r="M745" s="442"/>
      <c r="N745" s="442"/>
      <c r="O745" s="443"/>
      <c r="P745" s="385"/>
      <c r="Q745" s="385"/>
      <c r="R745" s="385"/>
      <c r="S745" s="385"/>
      <c r="T745" s="385"/>
      <c r="U745" s="385"/>
      <c r="V745" s="385"/>
      <c r="W745" s="385"/>
      <c r="X745" s="385"/>
      <c r="Y745" s="385"/>
      <c r="Z745" s="385"/>
      <c r="AA745" s="385"/>
      <c r="AB745" s="385"/>
      <c r="AC745" s="385"/>
      <c r="AD745" s="385"/>
      <c r="AE745" s="385"/>
      <c r="AF745" s="385"/>
      <c r="AG745" s="385"/>
      <c r="AH745" s="385"/>
      <c r="AI745" s="385"/>
      <c r="AJ745" s="385"/>
      <c r="AK745" s="385"/>
      <c r="AL745" s="385"/>
      <c r="AM745" s="385"/>
      <c r="AN745" s="385"/>
      <c r="AO745" s="385"/>
      <c r="AP745" s="385"/>
      <c r="AQ745" s="385"/>
      <c r="AR745" s="385"/>
      <c r="AS745" s="385"/>
      <c r="AT745" s="385"/>
      <c r="AU745" s="385"/>
      <c r="AV745" s="385"/>
      <c r="AW745" s="385"/>
      <c r="AX745" s="385"/>
    </row>
    <row r="746" spans="1:50" ht="10.8" hidden="1" thickTop="1" x14ac:dyDescent="0.2">
      <c r="A746" s="385"/>
      <c r="B746" s="385"/>
      <c r="C746" s="385"/>
      <c r="D746" s="385"/>
      <c r="E746" s="385"/>
      <c r="F746" s="385"/>
      <c r="G746" s="385"/>
      <c r="H746" s="385"/>
      <c r="I746" s="442"/>
      <c r="J746" s="442"/>
      <c r="K746" s="442"/>
      <c r="L746" s="442"/>
      <c r="M746" s="442"/>
      <c r="N746" s="442"/>
      <c r="O746" s="443"/>
      <c r="P746" s="385"/>
      <c r="Q746" s="385"/>
      <c r="R746" s="385"/>
      <c r="S746" s="385"/>
      <c r="T746" s="385"/>
      <c r="U746" s="385"/>
      <c r="V746" s="385"/>
      <c r="W746" s="385"/>
      <c r="X746" s="385"/>
      <c r="Y746" s="385"/>
      <c r="Z746" s="385"/>
      <c r="AA746" s="385"/>
      <c r="AB746" s="385"/>
      <c r="AC746" s="385"/>
      <c r="AD746" s="385"/>
      <c r="AE746" s="385"/>
      <c r="AF746" s="385"/>
      <c r="AG746" s="385"/>
      <c r="AH746" s="385"/>
      <c r="AI746" s="385"/>
      <c r="AJ746" s="385"/>
      <c r="AK746" s="385"/>
      <c r="AL746" s="385"/>
      <c r="AM746" s="385"/>
      <c r="AN746" s="385"/>
      <c r="AO746" s="385"/>
      <c r="AP746" s="385"/>
      <c r="AQ746" s="385"/>
      <c r="AR746" s="385"/>
      <c r="AS746" s="385"/>
      <c r="AT746" s="385"/>
      <c r="AU746" s="385"/>
      <c r="AV746" s="385"/>
      <c r="AW746" s="385"/>
      <c r="AX746" s="385"/>
    </row>
    <row r="747" spans="1:50" ht="10.8" hidden="1" thickTop="1" x14ac:dyDescent="0.2">
      <c r="A747" s="385"/>
      <c r="B747" s="385"/>
      <c r="C747" s="385"/>
      <c r="D747" s="385"/>
      <c r="E747" s="385"/>
      <c r="F747" s="385"/>
      <c r="G747" s="385"/>
      <c r="H747" s="385"/>
      <c r="I747" s="442"/>
      <c r="J747" s="442"/>
      <c r="K747" s="442"/>
      <c r="L747" s="442"/>
      <c r="M747" s="442"/>
      <c r="N747" s="442"/>
      <c r="O747" s="443"/>
      <c r="P747" s="385"/>
      <c r="Q747" s="385"/>
      <c r="R747" s="385"/>
      <c r="S747" s="385"/>
      <c r="T747" s="385"/>
      <c r="U747" s="385"/>
      <c r="V747" s="385"/>
      <c r="W747" s="385"/>
      <c r="X747" s="385"/>
      <c r="Y747" s="385"/>
      <c r="Z747" s="385"/>
      <c r="AA747" s="385"/>
      <c r="AB747" s="385"/>
      <c r="AC747" s="385"/>
      <c r="AD747" s="385"/>
      <c r="AE747" s="385"/>
      <c r="AF747" s="385"/>
      <c r="AG747" s="385"/>
      <c r="AH747" s="385"/>
      <c r="AI747" s="385"/>
      <c r="AJ747" s="385"/>
      <c r="AK747" s="385"/>
      <c r="AL747" s="385"/>
      <c r="AM747" s="385"/>
      <c r="AN747" s="385"/>
      <c r="AO747" s="385"/>
      <c r="AP747" s="385"/>
      <c r="AQ747" s="385"/>
      <c r="AR747" s="385"/>
      <c r="AS747" s="385"/>
      <c r="AT747" s="385"/>
      <c r="AU747" s="385"/>
      <c r="AV747" s="385"/>
      <c r="AW747" s="385"/>
      <c r="AX747" s="385"/>
    </row>
    <row r="748" spans="1:50" ht="10.8" hidden="1" thickTop="1" x14ac:dyDescent="0.2">
      <c r="A748" s="385"/>
      <c r="B748" s="385"/>
      <c r="C748" s="385"/>
      <c r="D748" s="385"/>
      <c r="E748" s="385"/>
      <c r="F748" s="385"/>
      <c r="G748" s="385"/>
      <c r="H748" s="385"/>
      <c r="I748" s="442"/>
      <c r="J748" s="442"/>
      <c r="K748" s="442"/>
      <c r="L748" s="442"/>
      <c r="M748" s="442"/>
      <c r="N748" s="442"/>
      <c r="O748" s="443"/>
      <c r="P748" s="385"/>
      <c r="Q748" s="385"/>
      <c r="R748" s="385"/>
      <c r="S748" s="385"/>
      <c r="T748" s="385"/>
      <c r="U748" s="385"/>
      <c r="V748" s="385"/>
      <c r="W748" s="385"/>
      <c r="X748" s="385"/>
      <c r="Y748" s="385"/>
      <c r="Z748" s="385"/>
      <c r="AA748" s="385"/>
      <c r="AB748" s="385"/>
      <c r="AC748" s="385"/>
      <c r="AD748" s="385"/>
      <c r="AE748" s="385"/>
      <c r="AF748" s="385"/>
      <c r="AG748" s="385"/>
      <c r="AH748" s="385"/>
      <c r="AI748" s="385"/>
      <c r="AJ748" s="385"/>
      <c r="AK748" s="385"/>
      <c r="AL748" s="385"/>
      <c r="AM748" s="385"/>
      <c r="AN748" s="385"/>
      <c r="AO748" s="385"/>
      <c r="AP748" s="385"/>
      <c r="AQ748" s="385"/>
      <c r="AR748" s="385"/>
      <c r="AS748" s="385"/>
      <c r="AT748" s="385"/>
      <c r="AU748" s="385"/>
      <c r="AV748" s="385"/>
      <c r="AW748" s="385"/>
      <c r="AX748" s="385"/>
    </row>
    <row r="749" spans="1:50" ht="10.8" hidden="1" thickTop="1" x14ac:dyDescent="0.2"/>
    <row r="750" spans="1:50" ht="10.8" hidden="1" thickTop="1" x14ac:dyDescent="0.2"/>
  </sheetData>
  <sheetProtection algorithmName="SHA-512" hashValue="b0dQqSoWkh68i1sRIVcfOStoA5mAt8+IyFW8/Tr7aQOQ+bbCHAEPJiI0cEvkNrPd1UKqsyDnnoSW+417JLwX1g==" saltValue="qZHnCwWoryfeckONNrDtVQ==" spinCount="100000" sheet="1" objects="1" scenarios="1"/>
  <mergeCells count="3">
    <mergeCell ref="M2:O2"/>
    <mergeCell ref="M3:O3"/>
    <mergeCell ref="I24:L25"/>
  </mergeCells>
  <printOptions horizontalCentered="1"/>
  <pageMargins left="0.25" right="0.25" top="0.25" bottom="0.5" header="0.25" footer="0.25"/>
  <pageSetup scale="83" orientation="landscape" blackAndWhite="1" r:id="rId1"/>
  <headerFooter alignWithMargins="0">
    <oddFooter>&amp;RComparison of Alternatives,  Page &amp;P of &amp;N,  (Printed:  &amp;D,   &amp;T ) Using ver 1.04r6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8C6C7-F72A-46E8-8AAE-402F9771B75B}">
  <dimension ref="A1:M60"/>
  <sheetViews>
    <sheetView showGridLines="0" showRowColHeaders="0" workbookViewId="0">
      <selection activeCell="A2" sqref="A2"/>
    </sheetView>
  </sheetViews>
  <sheetFormatPr defaultRowHeight="14.4" x14ac:dyDescent="0.3"/>
  <cols>
    <col min="3" max="3" width="9.88671875" bestFit="1" customWidth="1"/>
    <col min="6" max="6" width="9.88671875" bestFit="1" customWidth="1"/>
    <col min="9" max="9" width="9.88671875" bestFit="1" customWidth="1"/>
    <col min="12" max="12" width="9.88671875" bestFit="1" customWidth="1"/>
  </cols>
  <sheetData>
    <row r="1" spans="1:13" x14ac:dyDescent="0.3">
      <c r="A1" s="586"/>
      <c r="B1" s="586"/>
      <c r="C1" s="586"/>
      <c r="D1" s="586"/>
      <c r="E1" s="586"/>
      <c r="F1" s="617" t="s">
        <v>1078</v>
      </c>
      <c r="G1" s="618"/>
      <c r="H1" s="618"/>
      <c r="I1" s="586"/>
      <c r="J1" s="586"/>
      <c r="K1" s="586"/>
      <c r="L1" s="586"/>
      <c r="M1" s="586"/>
    </row>
    <row r="2" spans="1:13" x14ac:dyDescent="0.3">
      <c r="A2" s="586"/>
      <c r="B2" s="586"/>
      <c r="C2" s="586"/>
      <c r="D2" s="586"/>
      <c r="E2" s="586"/>
      <c r="F2" s="618"/>
      <c r="G2" s="618"/>
      <c r="H2" s="618"/>
      <c r="I2" s="586"/>
      <c r="J2" s="586"/>
      <c r="K2" s="586"/>
      <c r="L2" s="586"/>
      <c r="M2" s="586"/>
    </row>
    <row r="3" spans="1:13" x14ac:dyDescent="0.3">
      <c r="A3" s="587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587"/>
    </row>
    <row r="4" spans="1:13" x14ac:dyDescent="0.3">
      <c r="A4" s="587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587"/>
    </row>
    <row r="5" spans="1:13" x14ac:dyDescent="0.3">
      <c r="A5" s="587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587"/>
    </row>
    <row r="6" spans="1:13" x14ac:dyDescent="0.3">
      <c r="A6" s="587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587"/>
    </row>
    <row r="7" spans="1:13" x14ac:dyDescent="0.3">
      <c r="A7" s="587"/>
      <c r="B7" s="619" t="s">
        <v>270</v>
      </c>
      <c r="C7" s="619"/>
      <c r="D7" s="150"/>
      <c r="E7" s="619" t="s">
        <v>271</v>
      </c>
      <c r="F7" s="619"/>
      <c r="G7" s="150"/>
      <c r="H7" s="619" t="s">
        <v>277</v>
      </c>
      <c r="I7" s="619"/>
      <c r="J7" s="150"/>
      <c r="K7" s="619" t="s">
        <v>278</v>
      </c>
      <c r="L7" s="619"/>
      <c r="M7" s="587"/>
    </row>
    <row r="8" spans="1:13" x14ac:dyDescent="0.3">
      <c r="A8" s="587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587"/>
    </row>
    <row r="9" spans="1:13" ht="24.6" x14ac:dyDescent="0.3">
      <c r="A9" s="587"/>
      <c r="B9" s="581" t="s">
        <v>306</v>
      </c>
      <c r="C9" s="581" t="s">
        <v>1076</v>
      </c>
      <c r="D9" s="150"/>
      <c r="E9" s="581" t="s">
        <v>306</v>
      </c>
      <c r="F9" s="581" t="s">
        <v>1076</v>
      </c>
      <c r="G9" s="150"/>
      <c r="H9" s="581" t="s">
        <v>306</v>
      </c>
      <c r="I9" s="581" t="s">
        <v>1076</v>
      </c>
      <c r="J9" s="150"/>
      <c r="K9" s="581" t="s">
        <v>306</v>
      </c>
      <c r="L9" s="581" t="s">
        <v>1076</v>
      </c>
      <c r="M9" s="587"/>
    </row>
    <row r="10" spans="1:13" x14ac:dyDescent="0.3">
      <c r="A10" s="588"/>
      <c r="B10" s="589">
        <f>IF(OR(Sheet1!D$192=1,Sheet1!D$193=1),VLOOKUP(1,Sheet1!A148:B197,2),NA())</f>
        <v>1</v>
      </c>
      <c r="C10" s="590">
        <f>0-AlternativeA!L67</f>
        <v>0</v>
      </c>
      <c r="D10" s="150"/>
      <c r="E10" s="591">
        <f>IF(OR(Sheet1!D$192=1,Sheet1!D$194=1),VLOOKUP(1,Sheet1!A148:B197,2),NA())</f>
        <v>1</v>
      </c>
      <c r="F10" s="590">
        <f>0-AlternativeB!L67</f>
        <v>0</v>
      </c>
      <c r="G10" s="150"/>
      <c r="H10" s="592">
        <f>IF(OR(Sheet1!D$192=1,Sheet1!D$195=1),VLOOKUP(1,Sheet1!A148:B197,2),NA())</f>
        <v>1</v>
      </c>
      <c r="I10" s="590">
        <f>0-AlternativeC!L67</f>
        <v>0</v>
      </c>
      <c r="J10" s="150"/>
      <c r="K10" s="592">
        <f>IF(OR(Sheet1!D$192=1,Sheet1!D$196=1),VLOOKUP(1,Sheet1!A148:B197,2),NA())</f>
        <v>1</v>
      </c>
      <c r="L10" s="590">
        <f>0-AlternativeD!L67</f>
        <v>0</v>
      </c>
      <c r="M10" s="587"/>
    </row>
    <row r="11" spans="1:13" x14ac:dyDescent="0.3">
      <c r="A11" s="587"/>
      <c r="B11" s="271" t="str">
        <f>IF(OR(Sheet1!D$192=1,Sheet1!D$193=1),IF(OR((B10&gt;=(Sheet1!D$148+$B$10)-1),AND(Sheet1!D$8=3,B10&gt;=6))," ",B10+1),NA())</f>
        <v xml:space="preserve"> </v>
      </c>
      <c r="C11" s="593" t="str">
        <f>CostDisplayA!F12</f>
        <v xml:space="preserve"> </v>
      </c>
      <c r="D11" s="150"/>
      <c r="E11" s="594" t="str">
        <f>IF(OR(Sheet1!D$192=1,Sheet1!D$194=1),IF(OR((B10&gt;=(Sheet1!D$148+$B$10)-1),AND(Sheet1!D$8=3,B10&gt;=6))," ",B10+1),NA())</f>
        <v xml:space="preserve"> </v>
      </c>
      <c r="F11" s="593" t="str">
        <f>CostDisplayB!F12</f>
        <v xml:space="preserve"> </v>
      </c>
      <c r="G11" s="150"/>
      <c r="H11" s="595" t="str">
        <f>IF(OR(Sheet1!D$192=1,Sheet1!D$195=1),IF(OR((B10&gt;=(Sheet1!D$148+$B$10)-1),AND(Sheet1!D$8=3,B10&gt;=6))," ",B10+1),NA())</f>
        <v xml:space="preserve"> </v>
      </c>
      <c r="I11" s="593" t="str">
        <f>CostDisplayC!F12</f>
        <v xml:space="preserve"> </v>
      </c>
      <c r="J11" s="150"/>
      <c r="K11" s="595" t="str">
        <f>IF(OR(Sheet1!D$192=1,Sheet1!D$196=1),IF(OR((B10&gt;=(Sheet1!D$148+$B$10)-1),AND(Sheet1!D$8=3,B10&gt;=6))," ",B10+1),NA())</f>
        <v xml:space="preserve"> </v>
      </c>
      <c r="L11" s="593" t="str">
        <f>CostDisplayD!F12</f>
        <v xml:space="preserve"> </v>
      </c>
      <c r="M11" s="587"/>
    </row>
    <row r="12" spans="1:13" x14ac:dyDescent="0.3">
      <c r="A12" s="587"/>
      <c r="B12" s="271" t="str">
        <f>IF(OR(Sheet1!D$192=1,Sheet1!D$193=1),IF(OR((B11&gt;=(Sheet1!D$148+$B$10)-1),AND(Sheet1!D$8=3,B11&gt;=6))," ",B11+1),NA())</f>
        <v xml:space="preserve"> </v>
      </c>
      <c r="C12" s="593" t="str">
        <f>CostDisplayA!F13</f>
        <v xml:space="preserve"> </v>
      </c>
      <c r="D12" s="150"/>
      <c r="E12" s="594" t="str">
        <f>IF(OR(Sheet1!D$192=1,Sheet1!D$194=1),IF(OR((B11&gt;=(Sheet1!D$148+$B$10)-1),AND(Sheet1!D$8=3,B11&gt;=6))," ",B11+1),NA())</f>
        <v xml:space="preserve"> </v>
      </c>
      <c r="F12" s="593" t="str">
        <f>CostDisplayB!F13</f>
        <v xml:space="preserve"> </v>
      </c>
      <c r="G12" s="150"/>
      <c r="H12" s="595" t="str">
        <f>IF(OR(Sheet1!D$192=1,Sheet1!D$195=1),IF(OR((B11&gt;=(Sheet1!D$148+$B$10)-1),AND(Sheet1!D$8=3,B11&gt;=6))," ",B11+1),NA())</f>
        <v xml:space="preserve"> </v>
      </c>
      <c r="I12" s="593" t="str">
        <f>CostDisplayC!F13</f>
        <v xml:space="preserve"> </v>
      </c>
      <c r="J12" s="150"/>
      <c r="K12" s="595" t="str">
        <f>IF(OR(Sheet1!D$192=1,Sheet1!D$196=1),IF(OR((B11&gt;=(Sheet1!D$148+$B$10)-1),AND(Sheet1!D$8=3,B11&gt;=6))," ",B11+1),NA())</f>
        <v xml:space="preserve"> </v>
      </c>
      <c r="L12" s="593" t="str">
        <f>CostDisplayD!F13</f>
        <v xml:space="preserve"> </v>
      </c>
      <c r="M12" s="587"/>
    </row>
    <row r="13" spans="1:13" x14ac:dyDescent="0.3">
      <c r="A13" s="587"/>
      <c r="B13" s="271" t="str">
        <f>IF(OR(Sheet1!D$192=1,Sheet1!D$193=1),IF(OR((B12&gt;=(Sheet1!D$148+$B$10)-1),AND(Sheet1!D$8=3,B12&gt;=6))," ",B12+1),NA())</f>
        <v xml:space="preserve"> </v>
      </c>
      <c r="C13" s="593" t="str">
        <f>CostDisplayA!F14</f>
        <v xml:space="preserve"> </v>
      </c>
      <c r="D13" s="150"/>
      <c r="E13" s="594" t="str">
        <f>IF(OR(Sheet1!D$192=1,Sheet1!D$194=1),IF(OR((B12&gt;=(Sheet1!D$148+$B$10)-1),AND(Sheet1!D$8=3,B12&gt;=6))," ",B12+1),NA())</f>
        <v xml:space="preserve"> </v>
      </c>
      <c r="F13" s="593" t="str">
        <f>CostDisplayB!F14</f>
        <v xml:space="preserve"> </v>
      </c>
      <c r="G13" s="150"/>
      <c r="H13" s="595" t="str">
        <f>IF(OR(Sheet1!D$192=1,Sheet1!D$195=1),IF(OR((B12&gt;=(Sheet1!D$148+$B$10)-1),AND(Sheet1!D$8=3,B12&gt;=6))," ",B12+1),NA())</f>
        <v xml:space="preserve"> </v>
      </c>
      <c r="I13" s="593" t="str">
        <f>CostDisplayC!F14</f>
        <v xml:space="preserve"> </v>
      </c>
      <c r="J13" s="150"/>
      <c r="K13" s="595" t="str">
        <f>IF(OR(Sheet1!D$192=1,Sheet1!D$196=1),IF(OR((B12&gt;=(Sheet1!D$148+$B$10)-1),AND(Sheet1!D$8=3,B12&gt;=6))," ",B12+1),NA())</f>
        <v xml:space="preserve"> </v>
      </c>
      <c r="L13" s="593" t="str">
        <f>CostDisplayD!F14</f>
        <v xml:space="preserve"> </v>
      </c>
      <c r="M13" s="587"/>
    </row>
    <row r="14" spans="1:13" x14ac:dyDescent="0.3">
      <c r="A14" s="587"/>
      <c r="B14" s="271" t="str">
        <f>IF(OR(Sheet1!D$192=1,Sheet1!D$193=1),IF(OR((B13&gt;=(Sheet1!D$148+$B$10)-1),AND(Sheet1!D$8=3,B13&gt;=6))," ",B13+1),NA())</f>
        <v xml:space="preserve"> </v>
      </c>
      <c r="C14" s="593" t="str">
        <f>CostDisplayA!F15</f>
        <v xml:space="preserve"> </v>
      </c>
      <c r="D14" s="150"/>
      <c r="E14" s="594" t="str">
        <f>IF(OR(Sheet1!D$192=1,Sheet1!D$194=1),IF(OR((B13&gt;=(Sheet1!D$148+$B$10)-1),AND(Sheet1!D$8=3,B13&gt;=6))," ",B13+1),NA())</f>
        <v xml:space="preserve"> </v>
      </c>
      <c r="F14" s="593" t="str">
        <f>CostDisplayB!F15</f>
        <v xml:space="preserve"> </v>
      </c>
      <c r="G14" s="150"/>
      <c r="H14" s="595" t="str">
        <f>IF(OR(Sheet1!D$192=1,Sheet1!D$195=1),IF(OR((B13&gt;=(Sheet1!D$148+$B$10)-1),AND(Sheet1!D$8=3,B13&gt;=6))," ",B13+1),NA())</f>
        <v xml:space="preserve"> </v>
      </c>
      <c r="I14" s="593" t="str">
        <f>CostDisplayC!F15</f>
        <v xml:space="preserve"> </v>
      </c>
      <c r="J14" s="150"/>
      <c r="K14" s="595" t="str">
        <f>IF(OR(Sheet1!D$192=1,Sheet1!D$196=1),IF(OR((B13&gt;=(Sheet1!D$148+$B$10)-1),AND(Sheet1!D$8=3,B13&gt;=6))," ",B13+1),NA())</f>
        <v xml:space="preserve"> </v>
      </c>
      <c r="L14" s="593" t="str">
        <f>CostDisplayD!F15</f>
        <v xml:space="preserve"> </v>
      </c>
      <c r="M14" s="587"/>
    </row>
    <row r="15" spans="1:13" x14ac:dyDescent="0.3">
      <c r="A15" s="587"/>
      <c r="B15" s="271" t="str">
        <f>IF(OR(Sheet1!D$192=1,Sheet1!D$193=1),IF(OR((B14&gt;=(Sheet1!D$148+$B$10)-1),AND(Sheet1!D$8=3,B14&gt;=6))," ",B14+1),NA())</f>
        <v xml:space="preserve"> </v>
      </c>
      <c r="C15" s="593" t="str">
        <f>CostDisplayA!F16</f>
        <v xml:space="preserve"> </v>
      </c>
      <c r="D15" s="150"/>
      <c r="E15" s="594" t="str">
        <f>IF(OR(Sheet1!D$192=1,Sheet1!D$194=1),IF(OR((B14&gt;=(Sheet1!D$148+$B$10)-1),AND(Sheet1!D$8=3,B14&gt;=6))," ",B14+1),NA())</f>
        <v xml:space="preserve"> </v>
      </c>
      <c r="F15" s="593" t="str">
        <f>CostDisplayB!F16</f>
        <v xml:space="preserve"> </v>
      </c>
      <c r="G15" s="150"/>
      <c r="H15" s="595" t="str">
        <f>IF(OR(Sheet1!D$192=1,Sheet1!D$195=1),IF(OR((B14&gt;=(Sheet1!D$148+$B$10)-1),AND(Sheet1!D$8=3,B14&gt;=6))," ",B14+1),NA())</f>
        <v xml:space="preserve"> </v>
      </c>
      <c r="I15" s="593" t="str">
        <f>CostDisplayC!F16</f>
        <v xml:space="preserve"> </v>
      </c>
      <c r="J15" s="150"/>
      <c r="K15" s="595" t="str">
        <f>IF(OR(Sheet1!D$192=1,Sheet1!D$196=1),IF(OR((B14&gt;=(Sheet1!D$148+$B$10)-1),AND(Sheet1!D$8=3,B14&gt;=6))," ",B14+1),NA())</f>
        <v xml:space="preserve"> </v>
      </c>
      <c r="L15" s="593" t="str">
        <f>CostDisplayD!F16</f>
        <v xml:space="preserve"> </v>
      </c>
      <c r="M15" s="587"/>
    </row>
    <row r="16" spans="1:13" x14ac:dyDescent="0.3">
      <c r="A16" s="587"/>
      <c r="B16" s="271" t="str">
        <f>IF(OR(Sheet1!D$192=1,Sheet1!D$193=1),IF(OR((B15&gt;=(Sheet1!D$148+$B$10)-1),AND(Sheet1!D$8=3,B15&gt;=6))," ",B15+1),NA())</f>
        <v xml:space="preserve"> </v>
      </c>
      <c r="C16" s="593" t="str">
        <f>CostDisplayA!F17</f>
        <v xml:space="preserve"> </v>
      </c>
      <c r="D16" s="150"/>
      <c r="E16" s="594" t="str">
        <f>IF(OR(Sheet1!D$192=1,Sheet1!D$194=1),IF(OR((B15&gt;=(Sheet1!D$148+$B$10)-1),AND(Sheet1!D$8=3,B15&gt;=6))," ",B15+1),NA())</f>
        <v xml:space="preserve"> </v>
      </c>
      <c r="F16" s="593" t="str">
        <f>CostDisplayB!F17</f>
        <v xml:space="preserve"> </v>
      </c>
      <c r="G16" s="150"/>
      <c r="H16" s="595" t="str">
        <f>IF(OR(Sheet1!D$192=1,Sheet1!D$195=1),IF(OR((B15&gt;=(Sheet1!D$148+$B$10)-1),AND(Sheet1!D$8=3,B15&gt;=6))," ",B15+1),NA())</f>
        <v xml:space="preserve"> </v>
      </c>
      <c r="I16" s="593" t="str">
        <f>CostDisplayC!F17</f>
        <v xml:space="preserve"> </v>
      </c>
      <c r="J16" s="150"/>
      <c r="K16" s="595" t="str">
        <f>IF(OR(Sheet1!D$192=1,Sheet1!D$196=1),IF(OR((B15&gt;=(Sheet1!D$148+$B$10)-1),AND(Sheet1!D$8=3,B15&gt;=6))," ",B15+1),NA())</f>
        <v xml:space="preserve"> </v>
      </c>
      <c r="L16" s="593" t="str">
        <f>CostDisplayD!F17</f>
        <v xml:space="preserve"> </v>
      </c>
      <c r="M16" s="587"/>
    </row>
    <row r="17" spans="1:13" x14ac:dyDescent="0.3">
      <c r="A17" s="587"/>
      <c r="B17" s="271" t="str">
        <f>IF(OR(Sheet1!D$192=1,Sheet1!D$193=1),IF(OR((B16&gt;=(Sheet1!D$148+$B$10)-1),AND(Sheet1!D$8=3,B16&gt;=6))," ",B16+1),NA())</f>
        <v xml:space="preserve"> </v>
      </c>
      <c r="C17" s="593" t="str">
        <f>CostDisplayA!F18</f>
        <v xml:space="preserve"> </v>
      </c>
      <c r="D17" s="150"/>
      <c r="E17" s="594" t="str">
        <f>IF(OR(Sheet1!D$192=1,Sheet1!D$194=1),IF(OR((B16&gt;=(Sheet1!D$148+$B$10)-1),AND(Sheet1!D$8=3,B16&gt;=6))," ",B16+1),NA())</f>
        <v xml:space="preserve"> </v>
      </c>
      <c r="F17" s="593" t="str">
        <f>CostDisplayB!F18</f>
        <v xml:space="preserve"> </v>
      </c>
      <c r="G17" s="150"/>
      <c r="H17" s="595" t="str">
        <f>IF(OR(Sheet1!D$192=1,Sheet1!D$195=1),IF(OR((B16&gt;=(Sheet1!D$148+$B$10)-1),AND(Sheet1!D$8=3,B16&gt;=6))," ",B16+1),NA())</f>
        <v xml:space="preserve"> </v>
      </c>
      <c r="I17" s="593" t="str">
        <f>CostDisplayC!F18</f>
        <v xml:space="preserve"> </v>
      </c>
      <c r="J17" s="150"/>
      <c r="K17" s="595" t="str">
        <f>IF(OR(Sheet1!D$192=1,Sheet1!D$196=1),IF(OR((B16&gt;=(Sheet1!D$148+$B$10)-1),AND(Sheet1!D$8=3,B16&gt;=6))," ",B16+1),NA())</f>
        <v xml:space="preserve"> </v>
      </c>
      <c r="L17" s="593" t="str">
        <f>CostDisplayD!F18</f>
        <v xml:space="preserve"> </v>
      </c>
      <c r="M17" s="587"/>
    </row>
    <row r="18" spans="1:13" x14ac:dyDescent="0.3">
      <c r="A18" s="587"/>
      <c r="B18" s="271" t="str">
        <f>IF(OR(Sheet1!D$192=1,Sheet1!D$193=1),IF(OR((B17&gt;=(Sheet1!D$148+$B$10)-1),AND(Sheet1!D$8=3,B17&gt;=6))," ",B17+1),NA())</f>
        <v xml:space="preserve"> </v>
      </c>
      <c r="C18" s="593" t="str">
        <f>CostDisplayA!F19</f>
        <v xml:space="preserve"> </v>
      </c>
      <c r="D18" s="150"/>
      <c r="E18" s="594" t="str">
        <f>IF(OR(Sheet1!D$192=1,Sheet1!D$194=1),IF(OR((B17&gt;=(Sheet1!D$148+$B$10)-1),AND(Sheet1!D$8=3,B17&gt;=6))," ",B17+1),NA())</f>
        <v xml:space="preserve"> </v>
      </c>
      <c r="F18" s="593" t="str">
        <f>CostDisplayB!F19</f>
        <v xml:space="preserve"> </v>
      </c>
      <c r="G18" s="150"/>
      <c r="H18" s="595" t="str">
        <f>IF(OR(Sheet1!D$192=1,Sheet1!D$195=1),IF(OR((B17&gt;=(Sheet1!D$148+$B$10)-1),AND(Sheet1!D$8=3,B17&gt;=6))," ",B17+1),NA())</f>
        <v xml:space="preserve"> </v>
      </c>
      <c r="I18" s="593" t="str">
        <f>CostDisplayC!F19</f>
        <v xml:space="preserve"> </v>
      </c>
      <c r="J18" s="150"/>
      <c r="K18" s="595" t="str">
        <f>IF(OR(Sheet1!D$192=1,Sheet1!D$196=1),IF(OR((B17&gt;=(Sheet1!D$148+$B$10)-1),AND(Sheet1!D$8=3,B17&gt;=6))," ",B17+1),NA())</f>
        <v xml:space="preserve"> </v>
      </c>
      <c r="L18" s="593" t="str">
        <f>CostDisplayD!F19</f>
        <v xml:space="preserve"> </v>
      </c>
      <c r="M18" s="587"/>
    </row>
    <row r="19" spans="1:13" x14ac:dyDescent="0.3">
      <c r="A19" s="587"/>
      <c r="B19" s="271" t="str">
        <f>IF(OR(Sheet1!D$192=1,Sheet1!D$193=1),IF(OR((B18&gt;=(Sheet1!D$148+$B$10)-1),AND(Sheet1!D$8=3,B18&gt;=6))," ",B18+1),NA())</f>
        <v xml:space="preserve"> </v>
      </c>
      <c r="C19" s="593" t="str">
        <f>CostDisplayA!F20</f>
        <v xml:space="preserve"> </v>
      </c>
      <c r="D19" s="150"/>
      <c r="E19" s="594" t="str">
        <f>IF(OR(Sheet1!D$192=1,Sheet1!D$194=1),IF(OR((B18&gt;=(Sheet1!D$148+$B$10)-1),AND(Sheet1!D$8=3,B18&gt;=6))," ",B18+1),NA())</f>
        <v xml:space="preserve"> </v>
      </c>
      <c r="F19" s="593" t="str">
        <f>CostDisplayB!F20</f>
        <v xml:space="preserve"> </v>
      </c>
      <c r="G19" s="150"/>
      <c r="H19" s="595" t="str">
        <f>IF(OR(Sheet1!D$192=1,Sheet1!D$195=1),IF(OR((B18&gt;=(Sheet1!D$148+$B$10)-1),AND(Sheet1!D$8=3,B18&gt;=6))," ",B18+1),NA())</f>
        <v xml:space="preserve"> </v>
      </c>
      <c r="I19" s="593" t="str">
        <f>CostDisplayC!F20</f>
        <v xml:space="preserve"> </v>
      </c>
      <c r="J19" s="150"/>
      <c r="K19" s="595" t="str">
        <f>IF(OR(Sheet1!D$192=1,Sheet1!D$196=1),IF(OR((B18&gt;=(Sheet1!D$148+$B$10)-1),AND(Sheet1!D$8=3,B18&gt;=6))," ",B18+1),NA())</f>
        <v xml:space="preserve"> </v>
      </c>
      <c r="L19" s="593" t="str">
        <f>CostDisplayD!F20</f>
        <v xml:space="preserve"> </v>
      </c>
      <c r="M19" s="587"/>
    </row>
    <row r="20" spans="1:13" x14ac:dyDescent="0.3">
      <c r="A20" s="587"/>
      <c r="B20" s="271" t="str">
        <f>IF(OR(Sheet1!D$192=1,Sheet1!D$193=1),IF(OR((B19&gt;=(Sheet1!D$148+$B$10)-1),AND(Sheet1!D$8=3,B19&gt;=6))," ",B19+1),NA())</f>
        <v xml:space="preserve"> </v>
      </c>
      <c r="C20" s="593" t="str">
        <f>CostDisplayA!F21</f>
        <v xml:space="preserve"> </v>
      </c>
      <c r="D20" s="150"/>
      <c r="E20" s="594" t="str">
        <f>IF(OR(Sheet1!D$192=1,Sheet1!D$194=1),IF(OR((B19&gt;=(Sheet1!D$148+$B$10)-1),AND(Sheet1!D$8=3,B19&gt;=6))," ",B19+1),NA())</f>
        <v xml:space="preserve"> </v>
      </c>
      <c r="F20" s="593" t="str">
        <f>CostDisplayB!F21</f>
        <v xml:space="preserve"> </v>
      </c>
      <c r="G20" s="150"/>
      <c r="H20" s="595" t="str">
        <f>IF(OR(Sheet1!D$192=1,Sheet1!D$195=1),IF(OR((B19&gt;=(Sheet1!D$148+$B$10)-1),AND(Sheet1!D$8=3,B19&gt;=6))," ",B19+1),NA())</f>
        <v xml:space="preserve"> </v>
      </c>
      <c r="I20" s="593" t="str">
        <f>CostDisplayC!F21</f>
        <v xml:space="preserve"> </v>
      </c>
      <c r="J20" s="150"/>
      <c r="K20" s="595" t="str">
        <f>IF(OR(Sheet1!D$192=1,Sheet1!D$196=1),IF(OR((B19&gt;=(Sheet1!D$148+$B$10)-1),AND(Sheet1!D$8=3,B19&gt;=6))," ",B19+1),NA())</f>
        <v xml:space="preserve"> </v>
      </c>
      <c r="L20" s="593" t="str">
        <f>CostDisplayD!F21</f>
        <v xml:space="preserve"> </v>
      </c>
      <c r="M20" s="587"/>
    </row>
    <row r="21" spans="1:13" x14ac:dyDescent="0.3">
      <c r="A21" s="587"/>
      <c r="B21" s="271" t="str">
        <f>IF(OR(Sheet1!D$192=1,Sheet1!D$193=1),IF(OR((B20&gt;=(Sheet1!D$148+$B$10)-1),AND(Sheet1!D$8=3,B20&gt;=6))," ",B20+1),NA())</f>
        <v xml:space="preserve"> </v>
      </c>
      <c r="C21" s="593" t="str">
        <f>CostDisplayA!F22</f>
        <v xml:space="preserve"> </v>
      </c>
      <c r="D21" s="150"/>
      <c r="E21" s="594" t="str">
        <f>IF(OR(Sheet1!D$192=1,Sheet1!D$194=1),IF(OR((B20&gt;=(Sheet1!D$148+$B$10)-1),AND(Sheet1!D$8=3,B20&gt;=6))," ",B20+1),NA())</f>
        <v xml:space="preserve"> </v>
      </c>
      <c r="F21" s="593" t="str">
        <f>CostDisplayB!F22</f>
        <v xml:space="preserve"> </v>
      </c>
      <c r="G21" s="150"/>
      <c r="H21" s="595" t="str">
        <f>IF(OR(Sheet1!D$192=1,Sheet1!D$195=1),IF(OR((B20&gt;=(Sheet1!D$148+$B$10)-1),AND(Sheet1!D$8=3,B20&gt;=6))," ",B20+1),NA())</f>
        <v xml:space="preserve"> </v>
      </c>
      <c r="I21" s="593" t="str">
        <f>CostDisplayC!F22</f>
        <v xml:space="preserve"> </v>
      </c>
      <c r="J21" s="150"/>
      <c r="K21" s="595" t="str">
        <f>IF(OR(Sheet1!D$192=1,Sheet1!D$196=1),IF(OR((B20&gt;=(Sheet1!D$148+$B$10)-1),AND(Sheet1!D$8=3,B20&gt;=6))," ",B20+1),NA())</f>
        <v xml:space="preserve"> </v>
      </c>
      <c r="L21" s="593" t="str">
        <f>CostDisplayD!F22</f>
        <v xml:space="preserve"> </v>
      </c>
      <c r="M21" s="587"/>
    </row>
    <row r="22" spans="1:13" x14ac:dyDescent="0.3">
      <c r="A22" s="587"/>
      <c r="B22" s="271" t="str">
        <f>IF(OR(Sheet1!D$192=1,Sheet1!D$193=1),IF(OR((B21&gt;=(Sheet1!D$148+$B$10)-1),AND(Sheet1!D$8=3,B21&gt;=6))," ",B21+1),NA())</f>
        <v xml:space="preserve"> </v>
      </c>
      <c r="C22" s="593" t="str">
        <f>CostDisplayA!F23</f>
        <v xml:space="preserve"> </v>
      </c>
      <c r="D22" s="150"/>
      <c r="E22" s="594" t="str">
        <f>IF(OR(Sheet1!D$192=1,Sheet1!D$194=1),IF(OR((B21&gt;=(Sheet1!D$148+$B$10)-1),AND(Sheet1!D$8=3,B21&gt;=6))," ",B21+1),NA())</f>
        <v xml:space="preserve"> </v>
      </c>
      <c r="F22" s="593" t="str">
        <f>CostDisplayB!F23</f>
        <v xml:space="preserve"> </v>
      </c>
      <c r="G22" s="150"/>
      <c r="H22" s="595" t="str">
        <f>IF(OR(Sheet1!D$192=1,Sheet1!D$195=1),IF(OR((B21&gt;=(Sheet1!D$148+$B$10)-1),AND(Sheet1!D$8=3,B21&gt;=6))," ",B21+1),NA())</f>
        <v xml:space="preserve"> </v>
      </c>
      <c r="I22" s="593" t="str">
        <f>CostDisplayC!F23</f>
        <v xml:space="preserve"> </v>
      </c>
      <c r="J22" s="150"/>
      <c r="K22" s="595" t="str">
        <f>IF(OR(Sheet1!D$192=1,Sheet1!D$196=1),IF(OR((B21&gt;=(Sheet1!D$148+$B$10)-1),AND(Sheet1!D$8=3,B21&gt;=6))," ",B21+1),NA())</f>
        <v xml:space="preserve"> </v>
      </c>
      <c r="L22" s="593" t="str">
        <f>CostDisplayD!F23</f>
        <v xml:space="preserve"> </v>
      </c>
      <c r="M22" s="587"/>
    </row>
    <row r="23" spans="1:13" x14ac:dyDescent="0.3">
      <c r="A23" s="587"/>
      <c r="B23" s="271" t="str">
        <f>IF(OR(Sheet1!D$192=1,Sheet1!D$193=1),IF(OR((B22&gt;=(Sheet1!D$148+$B$10)-1),AND(Sheet1!D$8=3,B22&gt;=6))," ",B22+1),NA())</f>
        <v xml:space="preserve"> </v>
      </c>
      <c r="C23" s="593" t="str">
        <f>CostDisplayA!F24</f>
        <v xml:space="preserve"> </v>
      </c>
      <c r="D23" s="150"/>
      <c r="E23" s="594" t="str">
        <f>IF(OR(Sheet1!D$192=1,Sheet1!D$194=1),IF(OR((B22&gt;=(Sheet1!D$148+$B$10)-1),AND(Sheet1!D$8=3,B22&gt;=6))," ",B22+1),NA())</f>
        <v xml:space="preserve"> </v>
      </c>
      <c r="F23" s="593" t="str">
        <f>CostDisplayB!F24</f>
        <v xml:space="preserve"> </v>
      </c>
      <c r="G23" s="150"/>
      <c r="H23" s="595" t="str">
        <f>IF(OR(Sheet1!D$192=1,Sheet1!D$195=1),IF(OR((B22&gt;=(Sheet1!D$148+$B$10)-1),AND(Sheet1!D$8=3,B22&gt;=6))," ",B22+1),NA())</f>
        <v xml:space="preserve"> </v>
      </c>
      <c r="I23" s="593" t="str">
        <f>CostDisplayC!F24</f>
        <v xml:space="preserve"> </v>
      </c>
      <c r="J23" s="150"/>
      <c r="K23" s="595" t="str">
        <f>IF(OR(Sheet1!D$192=1,Sheet1!D$196=1),IF(OR((B22&gt;=(Sheet1!D$148+$B$10)-1),AND(Sheet1!D$8=3,B22&gt;=6))," ",B22+1),NA())</f>
        <v xml:space="preserve"> </v>
      </c>
      <c r="L23" s="593" t="str">
        <f>CostDisplayD!F24</f>
        <v xml:space="preserve"> </v>
      </c>
      <c r="M23" s="587"/>
    </row>
    <row r="24" spans="1:13" x14ac:dyDescent="0.3">
      <c r="A24" s="587"/>
      <c r="B24" s="271" t="str">
        <f>IF(OR(Sheet1!D$192=1,Sheet1!D$193=1),IF(OR((B23&gt;=(Sheet1!D$148+$B$10)-1),AND(Sheet1!D$8=3,B23&gt;=6))," ",B23+1),NA())</f>
        <v xml:space="preserve"> </v>
      </c>
      <c r="C24" s="593" t="str">
        <f>CostDisplayA!F25</f>
        <v xml:space="preserve"> </v>
      </c>
      <c r="D24" s="150"/>
      <c r="E24" s="594" t="str">
        <f>IF(OR(Sheet1!D$192=1,Sheet1!D$194=1),IF(OR((B23&gt;=(Sheet1!D$148+$B$10)-1),AND(Sheet1!D$8=3,B23&gt;=6))," ",B23+1),NA())</f>
        <v xml:space="preserve"> </v>
      </c>
      <c r="F24" s="593" t="str">
        <f>CostDisplayB!F25</f>
        <v xml:space="preserve"> </v>
      </c>
      <c r="G24" s="150"/>
      <c r="H24" s="595" t="str">
        <f>IF(OR(Sheet1!D$192=1,Sheet1!D$195=1),IF(OR((B23&gt;=(Sheet1!D$148+$B$10)-1),AND(Sheet1!D$8=3,B23&gt;=6))," ",B23+1),NA())</f>
        <v xml:space="preserve"> </v>
      </c>
      <c r="I24" s="593" t="str">
        <f>CostDisplayC!F25</f>
        <v xml:space="preserve"> </v>
      </c>
      <c r="J24" s="150"/>
      <c r="K24" s="595" t="str">
        <f>IF(OR(Sheet1!D$192=1,Sheet1!D$196=1),IF(OR((B23&gt;=(Sheet1!D$148+$B$10)-1),AND(Sheet1!D$8=3,B23&gt;=6))," ",B23+1),NA())</f>
        <v xml:space="preserve"> </v>
      </c>
      <c r="L24" s="593" t="str">
        <f>CostDisplayD!F25</f>
        <v xml:space="preserve"> </v>
      </c>
      <c r="M24" s="587"/>
    </row>
    <row r="25" spans="1:13" x14ac:dyDescent="0.3">
      <c r="A25" s="587"/>
      <c r="B25" s="271" t="str">
        <f>IF(OR(Sheet1!D$192=1,Sheet1!D$193=1),IF(OR((B24&gt;=(Sheet1!D$148+$B$10)-1),AND(Sheet1!D$8=3,B24&gt;=6))," ",B24+1),NA())</f>
        <v xml:space="preserve"> </v>
      </c>
      <c r="C25" s="593" t="str">
        <f>CostDisplayA!F26</f>
        <v xml:space="preserve"> </v>
      </c>
      <c r="D25" s="150"/>
      <c r="E25" s="594" t="str">
        <f>IF(OR(Sheet1!D$192=1,Sheet1!D$194=1),IF(OR((B24&gt;=(Sheet1!D$148+$B$10)-1),AND(Sheet1!D$8=3,B24&gt;=6))," ",B24+1),NA())</f>
        <v xml:space="preserve"> </v>
      </c>
      <c r="F25" s="593" t="str">
        <f>CostDisplayB!F26</f>
        <v xml:space="preserve"> </v>
      </c>
      <c r="G25" s="150"/>
      <c r="H25" s="595" t="str">
        <f>IF(OR(Sheet1!D$192=1,Sheet1!D$195=1),IF(OR((B24&gt;=(Sheet1!D$148+$B$10)-1),AND(Sheet1!D$8=3,B24&gt;=6))," ",B24+1),NA())</f>
        <v xml:space="preserve"> </v>
      </c>
      <c r="I25" s="593" t="str">
        <f>CostDisplayC!F26</f>
        <v xml:space="preserve"> </v>
      </c>
      <c r="J25" s="150"/>
      <c r="K25" s="595" t="str">
        <f>IF(OR(Sheet1!D$192=1,Sheet1!D$196=1),IF(OR((B24&gt;=(Sheet1!D$148+$B$10)-1),AND(Sheet1!D$8=3,B24&gt;=6))," ",B24+1),NA())</f>
        <v xml:space="preserve"> </v>
      </c>
      <c r="L25" s="593" t="str">
        <f>CostDisplayD!F26</f>
        <v xml:space="preserve"> </v>
      </c>
      <c r="M25" s="587"/>
    </row>
    <row r="26" spans="1:13" x14ac:dyDescent="0.3">
      <c r="A26" s="587"/>
      <c r="B26" s="271" t="str">
        <f>IF(OR(Sheet1!D$192=1,Sheet1!D$193=1),IF(OR((B25&gt;=(Sheet1!D$148+$B$10)-1),AND(Sheet1!D$8=3,B25&gt;=6))," ",B25+1),NA())</f>
        <v xml:space="preserve"> </v>
      </c>
      <c r="C26" s="593" t="str">
        <f>CostDisplayA!F27</f>
        <v xml:space="preserve"> </v>
      </c>
      <c r="D26" s="150"/>
      <c r="E26" s="594" t="str">
        <f>IF(OR(Sheet1!D$192=1,Sheet1!D$194=1),IF(OR((B25&gt;=(Sheet1!D$148+$B$10)-1),AND(Sheet1!D$8=3,B25&gt;=6))," ",B25+1),NA())</f>
        <v xml:space="preserve"> </v>
      </c>
      <c r="F26" s="593" t="str">
        <f>CostDisplayB!F27</f>
        <v xml:space="preserve"> </v>
      </c>
      <c r="G26" s="150"/>
      <c r="H26" s="595" t="str">
        <f>IF(OR(Sheet1!D$192=1,Sheet1!D$195=1),IF(OR((B25&gt;=(Sheet1!D$148+$B$10)-1),AND(Sheet1!D$8=3,B25&gt;=6))," ",B25+1),NA())</f>
        <v xml:space="preserve"> </v>
      </c>
      <c r="I26" s="593" t="str">
        <f>CostDisplayC!F27</f>
        <v xml:space="preserve"> </v>
      </c>
      <c r="J26" s="150"/>
      <c r="K26" s="595" t="str">
        <f>IF(OR(Sheet1!D$192=1,Sheet1!D$196=1),IF(OR((B25&gt;=(Sheet1!D$148+$B$10)-1),AND(Sheet1!D$8=3,B25&gt;=6))," ",B25+1),NA())</f>
        <v xml:space="preserve"> </v>
      </c>
      <c r="L26" s="593" t="str">
        <f>CostDisplayD!F27</f>
        <v xml:space="preserve"> </v>
      </c>
      <c r="M26" s="587"/>
    </row>
    <row r="27" spans="1:13" x14ac:dyDescent="0.3">
      <c r="A27" s="587"/>
      <c r="B27" s="271" t="str">
        <f>IF(OR(Sheet1!D$192=1,Sheet1!D$193=1),IF(OR((B26&gt;=(Sheet1!D$148+$B$10)-1),AND(Sheet1!D$8=3,B26&gt;=6))," ",B26+1),NA())</f>
        <v xml:space="preserve"> </v>
      </c>
      <c r="C27" s="593" t="str">
        <f>CostDisplayA!F28</f>
        <v xml:space="preserve"> </v>
      </c>
      <c r="D27" s="150"/>
      <c r="E27" s="594" t="str">
        <f>IF(OR(Sheet1!D$192=1,Sheet1!D$194=1),IF(OR((B26&gt;=(Sheet1!D$148+$B$10)-1),AND(Sheet1!D$8=3,B26&gt;=6))," ",B26+1),NA())</f>
        <v xml:space="preserve"> </v>
      </c>
      <c r="F27" s="593" t="str">
        <f>CostDisplayB!F28</f>
        <v xml:space="preserve"> </v>
      </c>
      <c r="G27" s="150"/>
      <c r="H27" s="595" t="str">
        <f>IF(OR(Sheet1!D$192=1,Sheet1!D$195=1),IF(OR((B26&gt;=(Sheet1!D$148+$B$10)-1),AND(Sheet1!D$8=3,B26&gt;=6))," ",B26+1),NA())</f>
        <v xml:space="preserve"> </v>
      </c>
      <c r="I27" s="593" t="str">
        <f>CostDisplayC!F28</f>
        <v xml:space="preserve"> </v>
      </c>
      <c r="J27" s="150"/>
      <c r="K27" s="595" t="str">
        <f>IF(OR(Sheet1!D$192=1,Sheet1!D$196=1),IF(OR((B26&gt;=(Sheet1!D$148+$B$10)-1),AND(Sheet1!D$8=3,B26&gt;=6))," ",B26+1),NA())</f>
        <v xml:space="preserve"> </v>
      </c>
      <c r="L27" s="593" t="str">
        <f>CostDisplayD!F28</f>
        <v xml:space="preserve"> </v>
      </c>
      <c r="M27" s="587"/>
    </row>
    <row r="28" spans="1:13" x14ac:dyDescent="0.3">
      <c r="A28" s="587"/>
      <c r="B28" s="271" t="str">
        <f>IF(OR(Sheet1!D$192=1,Sheet1!D$193=1),IF(OR((B27&gt;=(Sheet1!D$148+$B$10)-1),AND(Sheet1!D$8=3,B27&gt;=6))," ",B27+1),NA())</f>
        <v xml:space="preserve"> </v>
      </c>
      <c r="C28" s="593" t="str">
        <f>CostDisplayA!F29</f>
        <v xml:space="preserve"> </v>
      </c>
      <c r="D28" s="150"/>
      <c r="E28" s="594" t="str">
        <f>IF(OR(Sheet1!D$192=1,Sheet1!D$194=1),IF(OR((B27&gt;=(Sheet1!D$148+$B$10)-1),AND(Sheet1!D$8=3,B27&gt;=6))," ",B27+1),NA())</f>
        <v xml:space="preserve"> </v>
      </c>
      <c r="F28" s="593" t="str">
        <f>CostDisplayB!F29</f>
        <v xml:space="preserve"> </v>
      </c>
      <c r="G28" s="150"/>
      <c r="H28" s="595" t="str">
        <f>IF(OR(Sheet1!D$192=1,Sheet1!D$195=1),IF(OR((B27&gt;=(Sheet1!D$148+$B$10)-1),AND(Sheet1!D$8=3,B27&gt;=6))," ",B27+1),NA())</f>
        <v xml:space="preserve"> </v>
      </c>
      <c r="I28" s="593" t="str">
        <f>CostDisplayC!F29</f>
        <v xml:space="preserve"> </v>
      </c>
      <c r="J28" s="150"/>
      <c r="K28" s="595" t="str">
        <f>IF(OR(Sheet1!D$192=1,Sheet1!D$196=1),IF(OR((B27&gt;=(Sheet1!D$148+$B$10)-1),AND(Sheet1!D$8=3,B27&gt;=6))," ",B27+1),NA())</f>
        <v xml:space="preserve"> </v>
      </c>
      <c r="L28" s="593" t="str">
        <f>CostDisplayD!F29</f>
        <v xml:space="preserve"> </v>
      </c>
      <c r="M28" s="587"/>
    </row>
    <row r="29" spans="1:13" x14ac:dyDescent="0.3">
      <c r="A29" s="587"/>
      <c r="B29" s="271" t="str">
        <f>IF(OR(Sheet1!D$192=1,Sheet1!D$193=1),IF(OR((B28&gt;=(Sheet1!D$148+$B$10)-1),AND(Sheet1!D$8=3,B28&gt;=6))," ",B28+1),NA())</f>
        <v xml:space="preserve"> </v>
      </c>
      <c r="C29" s="593" t="str">
        <f>CostDisplayA!F30</f>
        <v xml:space="preserve"> </v>
      </c>
      <c r="D29" s="150"/>
      <c r="E29" s="594" t="str">
        <f>IF(OR(Sheet1!D$192=1,Sheet1!D$194=1),IF(OR((B28&gt;=(Sheet1!D$148+$B$10)-1),AND(Sheet1!D$8=3,B28&gt;=6))," ",B28+1),NA())</f>
        <v xml:space="preserve"> </v>
      </c>
      <c r="F29" s="593" t="str">
        <f>CostDisplayB!F30</f>
        <v xml:space="preserve"> </v>
      </c>
      <c r="G29" s="150"/>
      <c r="H29" s="595" t="str">
        <f>IF(OR(Sheet1!D$192=1,Sheet1!D$195=1),IF(OR((B28&gt;=(Sheet1!D$148+$B$10)-1),AND(Sheet1!D$8=3,B28&gt;=6))," ",B28+1),NA())</f>
        <v xml:space="preserve"> </v>
      </c>
      <c r="I29" s="593" t="str">
        <f>CostDisplayC!F30</f>
        <v xml:space="preserve"> </v>
      </c>
      <c r="J29" s="150"/>
      <c r="K29" s="595" t="str">
        <f>IF(OR(Sheet1!D$192=1,Sheet1!D$196=1),IF(OR((B28&gt;=(Sheet1!D$148+$B$10)-1),AND(Sheet1!D$8=3,B28&gt;=6))," ",B28+1),NA())</f>
        <v xml:space="preserve"> </v>
      </c>
      <c r="L29" s="593" t="str">
        <f>CostDisplayD!F30</f>
        <v xml:space="preserve"> </v>
      </c>
      <c r="M29" s="587"/>
    </row>
    <row r="30" spans="1:13" x14ac:dyDescent="0.3">
      <c r="A30" s="587"/>
      <c r="B30" s="271" t="str">
        <f>IF(OR(Sheet1!D$192=1,Sheet1!D$193=1),IF(OR((B29&gt;=(Sheet1!D$148+$B$10)-1),AND(Sheet1!D$8=3,B29&gt;=6))," ",B29+1),NA())</f>
        <v xml:space="preserve"> </v>
      </c>
      <c r="C30" s="593" t="str">
        <f>CostDisplayA!F31</f>
        <v xml:space="preserve"> </v>
      </c>
      <c r="D30" s="150"/>
      <c r="E30" s="594" t="str">
        <f>IF(OR(Sheet1!D$192=1,Sheet1!D$194=1),IF(OR((B29&gt;=(Sheet1!D$148+$B$10)-1),AND(Sheet1!D$8=3,B29&gt;=6))," ",B29+1),NA())</f>
        <v xml:space="preserve"> </v>
      </c>
      <c r="F30" s="593" t="str">
        <f>CostDisplayB!F31</f>
        <v xml:space="preserve"> </v>
      </c>
      <c r="G30" s="150"/>
      <c r="H30" s="595" t="str">
        <f>IF(OR(Sheet1!D$192=1,Sheet1!D$195=1),IF(OR((B29&gt;=(Sheet1!D$148+$B$10)-1),AND(Sheet1!D$8=3,B29&gt;=6))," ",B29+1),NA())</f>
        <v xml:space="preserve"> </v>
      </c>
      <c r="I30" s="593" t="str">
        <f>CostDisplayC!F31</f>
        <v xml:space="preserve"> </v>
      </c>
      <c r="J30" s="150"/>
      <c r="K30" s="595" t="str">
        <f>IF(OR(Sheet1!D$192=1,Sheet1!D$196=1),IF(OR((B29&gt;=(Sheet1!D$148+$B$10)-1),AND(Sheet1!D$8=3,B29&gt;=6))," ",B29+1),NA())</f>
        <v xml:space="preserve"> </v>
      </c>
      <c r="L30" s="593" t="str">
        <f>CostDisplayD!F31</f>
        <v xml:space="preserve"> </v>
      </c>
      <c r="M30" s="587"/>
    </row>
    <row r="31" spans="1:13" x14ac:dyDescent="0.3">
      <c r="A31" s="587"/>
      <c r="B31" s="271" t="str">
        <f>IF(OR(Sheet1!D$192=1,Sheet1!D$193=1),IF(OR((B30&gt;=(Sheet1!D$148+$B$10)-1),AND(Sheet1!D$8=3,B30&gt;=6))," ",B30+1),NA())</f>
        <v xml:space="preserve"> </v>
      </c>
      <c r="C31" s="593" t="str">
        <f>CostDisplayA!F32</f>
        <v xml:space="preserve"> </v>
      </c>
      <c r="D31" s="150"/>
      <c r="E31" s="594" t="str">
        <f>IF(OR(Sheet1!D$192=1,Sheet1!D$194=1),IF(OR((B30&gt;=(Sheet1!D$148+$B$10)-1),AND(Sheet1!D$8=3,B30&gt;=6))," ",B30+1),NA())</f>
        <v xml:space="preserve"> </v>
      </c>
      <c r="F31" s="593" t="str">
        <f>CostDisplayB!F32</f>
        <v xml:space="preserve"> </v>
      </c>
      <c r="G31" s="150"/>
      <c r="H31" s="595" t="str">
        <f>IF(OR(Sheet1!D$192=1,Sheet1!D$195=1),IF(OR((B30&gt;=(Sheet1!D$148+$B$10)-1),AND(Sheet1!D$8=3,B30&gt;=6))," ",B30+1),NA())</f>
        <v xml:space="preserve"> </v>
      </c>
      <c r="I31" s="593" t="str">
        <f>CostDisplayC!F32</f>
        <v xml:space="preserve"> </v>
      </c>
      <c r="J31" s="150"/>
      <c r="K31" s="595" t="str">
        <f>IF(OR(Sheet1!D$192=1,Sheet1!D$196=1),IF(OR((B30&gt;=(Sheet1!D$148+$B$10)-1),AND(Sheet1!D$8=3,B30&gt;=6))," ",B30+1),NA())</f>
        <v xml:space="preserve"> </v>
      </c>
      <c r="L31" s="593" t="str">
        <f>CostDisplayD!F32</f>
        <v xml:space="preserve"> </v>
      </c>
      <c r="M31" s="587"/>
    </row>
    <row r="32" spans="1:13" x14ac:dyDescent="0.3">
      <c r="A32" s="587"/>
      <c r="B32" s="271" t="str">
        <f>IF(OR(Sheet1!D$192=1,Sheet1!D$193=1),IF(OR((B31&gt;=(Sheet1!D$148+$B$10)-1),AND(Sheet1!D$8=3,B31&gt;=6))," ",B31+1),NA())</f>
        <v xml:space="preserve"> </v>
      </c>
      <c r="C32" s="593" t="str">
        <f>CostDisplayA!F33</f>
        <v xml:space="preserve"> </v>
      </c>
      <c r="D32" s="150"/>
      <c r="E32" s="594" t="str">
        <f>IF(OR(Sheet1!D$192=1,Sheet1!D$194=1),IF(OR((B31&gt;=(Sheet1!D$148+$B$10)-1),AND(Sheet1!D$8=3,B31&gt;=6))," ",B31+1),NA())</f>
        <v xml:space="preserve"> </v>
      </c>
      <c r="F32" s="593" t="str">
        <f>CostDisplayB!F33</f>
        <v xml:space="preserve"> </v>
      </c>
      <c r="G32" s="150"/>
      <c r="H32" s="595" t="str">
        <f>IF(OR(Sheet1!D$192=1,Sheet1!D$195=1),IF(OR((B31&gt;=(Sheet1!D$148+$B$10)-1),AND(Sheet1!D$8=3,B31&gt;=6))," ",B31+1),NA())</f>
        <v xml:space="preserve"> </v>
      </c>
      <c r="I32" s="593" t="str">
        <f>CostDisplayC!F33</f>
        <v xml:space="preserve"> </v>
      </c>
      <c r="J32" s="150"/>
      <c r="K32" s="595" t="str">
        <f>IF(OR(Sheet1!D$192=1,Sheet1!D$196=1),IF(OR((B31&gt;=(Sheet1!D$148+$B$10)-1),AND(Sheet1!D$8=3,B31&gt;=6))," ",B31+1),NA())</f>
        <v xml:space="preserve"> </v>
      </c>
      <c r="L32" s="593" t="str">
        <f>CostDisplayD!F33</f>
        <v xml:space="preserve"> </v>
      </c>
      <c r="M32" s="587"/>
    </row>
    <row r="33" spans="1:13" x14ac:dyDescent="0.3">
      <c r="A33" s="587"/>
      <c r="B33" s="271" t="str">
        <f>IF(OR(Sheet1!D$192=1,Sheet1!D$193=1),IF(OR((B32&gt;=(Sheet1!D$148+$B$10)-1),AND(Sheet1!D$8=3,B32&gt;=6))," ",B32+1),NA())</f>
        <v xml:space="preserve"> </v>
      </c>
      <c r="C33" s="593" t="str">
        <f>CostDisplayA!F34</f>
        <v xml:space="preserve"> </v>
      </c>
      <c r="D33" s="150"/>
      <c r="E33" s="594" t="str">
        <f>IF(OR(Sheet1!D$192=1,Sheet1!D$194=1),IF(OR((B32&gt;=(Sheet1!D$148+$B$10)-1),AND(Sheet1!D$8=3,B32&gt;=6))," ",B32+1),NA())</f>
        <v xml:space="preserve"> </v>
      </c>
      <c r="F33" s="593" t="str">
        <f>CostDisplayB!F34</f>
        <v xml:space="preserve"> </v>
      </c>
      <c r="G33" s="150"/>
      <c r="H33" s="595" t="str">
        <f>IF(OR(Sheet1!D$192=1,Sheet1!D$195=1),IF(OR((B32&gt;=(Sheet1!D$148+$B$10)-1),AND(Sheet1!D$8=3,B32&gt;=6))," ",B32+1),NA())</f>
        <v xml:space="preserve"> </v>
      </c>
      <c r="I33" s="593" t="str">
        <f>CostDisplayC!F34</f>
        <v xml:space="preserve"> </v>
      </c>
      <c r="J33" s="150"/>
      <c r="K33" s="595" t="str">
        <f>IF(OR(Sheet1!D$192=1,Sheet1!D$196=1),IF(OR((B32&gt;=(Sheet1!D$148+$B$10)-1),AND(Sheet1!D$8=3,B32&gt;=6))," ",B32+1),NA())</f>
        <v xml:space="preserve"> </v>
      </c>
      <c r="L33" s="593" t="str">
        <f>CostDisplayD!F34</f>
        <v xml:space="preserve"> </v>
      </c>
      <c r="M33" s="587"/>
    </row>
    <row r="34" spans="1:13" x14ac:dyDescent="0.3">
      <c r="A34" s="587"/>
      <c r="B34" s="271" t="str">
        <f>IF(OR(Sheet1!D$192=1,Sheet1!D$193=1),IF(OR((B33&gt;=(Sheet1!D$148+$B$10)-1),AND(Sheet1!D$8=3,B33&gt;=6))," ",B33+1),NA())</f>
        <v xml:space="preserve"> </v>
      </c>
      <c r="C34" s="593" t="str">
        <f>CostDisplayA!F35</f>
        <v xml:space="preserve"> </v>
      </c>
      <c r="D34" s="150"/>
      <c r="E34" s="594" t="str">
        <f>IF(OR(Sheet1!D$192=1,Sheet1!D$194=1),IF(OR((B33&gt;=(Sheet1!D$148+$B$10)-1),AND(Sheet1!D$8=3,B33&gt;=6))," ",B33+1),NA())</f>
        <v xml:space="preserve"> </v>
      </c>
      <c r="F34" s="593" t="str">
        <f>CostDisplayB!F35</f>
        <v xml:space="preserve"> </v>
      </c>
      <c r="G34" s="150"/>
      <c r="H34" s="595" t="str">
        <f>IF(OR(Sheet1!D$192=1,Sheet1!D$195=1),IF(OR((B33&gt;=(Sheet1!D$148+$B$10)-1),AND(Sheet1!D$8=3,B33&gt;=6))," ",B33+1),NA())</f>
        <v xml:space="preserve"> </v>
      </c>
      <c r="I34" s="593" t="str">
        <f>CostDisplayC!F35</f>
        <v xml:space="preserve"> </v>
      </c>
      <c r="J34" s="150"/>
      <c r="K34" s="595" t="str">
        <f>IF(OR(Sheet1!D$192=1,Sheet1!D$196=1),IF(OR((B33&gt;=(Sheet1!D$148+$B$10)-1),AND(Sheet1!D$8=3,B33&gt;=6))," ",B33+1),NA())</f>
        <v xml:space="preserve"> </v>
      </c>
      <c r="L34" s="593" t="str">
        <f>CostDisplayD!F35</f>
        <v xml:space="preserve"> </v>
      </c>
      <c r="M34" s="587"/>
    </row>
    <row r="35" spans="1:13" x14ac:dyDescent="0.3">
      <c r="A35" s="587"/>
      <c r="B35" s="271" t="str">
        <f>IF(OR(Sheet1!D$192=1,Sheet1!D$193=1),IF(OR((B34&gt;=(Sheet1!D$148+$B$10)-1),AND(Sheet1!D$8=3,B34&gt;=6))," ",B34+1),NA())</f>
        <v xml:space="preserve"> </v>
      </c>
      <c r="C35" s="593" t="str">
        <f>CostDisplayA!F36</f>
        <v xml:space="preserve"> </v>
      </c>
      <c r="D35" s="150"/>
      <c r="E35" s="594" t="str">
        <f>IF(OR(Sheet1!D$192=1,Sheet1!D$194=1),IF(OR((B34&gt;=(Sheet1!D$148+$B$10)-1),AND(Sheet1!D$8=3,B34&gt;=6))," ",B34+1),NA())</f>
        <v xml:space="preserve"> </v>
      </c>
      <c r="F35" s="593" t="str">
        <f>CostDisplayB!F36</f>
        <v xml:space="preserve"> </v>
      </c>
      <c r="G35" s="150"/>
      <c r="H35" s="595" t="str">
        <f>IF(OR(Sheet1!D$192=1,Sheet1!D$195=1),IF(OR((B34&gt;=(Sheet1!D$148+$B$10)-1),AND(Sheet1!D$8=3,B34&gt;=6))," ",B34+1),NA())</f>
        <v xml:space="preserve"> </v>
      </c>
      <c r="I35" s="593" t="str">
        <f>CostDisplayC!F36</f>
        <v xml:space="preserve"> </v>
      </c>
      <c r="J35" s="150"/>
      <c r="K35" s="595" t="str">
        <f>IF(OR(Sheet1!D$192=1,Sheet1!D$196=1),IF(OR((B34&gt;=(Sheet1!D$148+$B$10)-1),AND(Sheet1!D$8=3,B34&gt;=6))," ",B34+1),NA())</f>
        <v xml:space="preserve"> </v>
      </c>
      <c r="L35" s="593" t="str">
        <f>CostDisplayD!F36</f>
        <v xml:space="preserve"> </v>
      </c>
      <c r="M35" s="587"/>
    </row>
    <row r="36" spans="1:13" x14ac:dyDescent="0.3">
      <c r="A36" s="587"/>
      <c r="B36" s="271" t="str">
        <f>IF(OR(Sheet1!D$192=1,Sheet1!D$193=1),IF(OR((B35&gt;=(Sheet1!D$148+$B$10)-1),AND(Sheet1!D$8=3,B35&gt;=6))," ",B35+1),NA())</f>
        <v xml:space="preserve"> </v>
      </c>
      <c r="C36" s="593" t="str">
        <f>CostDisplayA!F37</f>
        <v xml:space="preserve"> </v>
      </c>
      <c r="D36" s="150"/>
      <c r="E36" s="594" t="str">
        <f>IF(OR(Sheet1!D$192=1,Sheet1!D$194=1),IF(OR((B35&gt;=(Sheet1!D$148+$B$10)-1),AND(Sheet1!D$8=3,B35&gt;=6))," ",B35+1),NA())</f>
        <v xml:space="preserve"> </v>
      </c>
      <c r="F36" s="593" t="str">
        <f>CostDisplayB!F37</f>
        <v xml:space="preserve"> </v>
      </c>
      <c r="G36" s="150"/>
      <c r="H36" s="595" t="str">
        <f>IF(OR(Sheet1!D$192=1,Sheet1!D$195=1),IF(OR((B35&gt;=(Sheet1!D$148+$B$10)-1),AND(Sheet1!D$8=3,B35&gt;=6))," ",B35+1),NA())</f>
        <v xml:space="preserve"> </v>
      </c>
      <c r="I36" s="593" t="str">
        <f>CostDisplayC!F37</f>
        <v xml:space="preserve"> </v>
      </c>
      <c r="J36" s="150"/>
      <c r="K36" s="595" t="str">
        <f>IF(OR(Sheet1!D$192=1,Sheet1!D$196=1),IF(OR((B35&gt;=(Sheet1!D$148+$B$10)-1),AND(Sheet1!D$8=3,B35&gt;=6))," ",B35+1),NA())</f>
        <v xml:space="preserve"> </v>
      </c>
      <c r="L36" s="593" t="str">
        <f>CostDisplayD!F37</f>
        <v xml:space="preserve"> </v>
      </c>
      <c r="M36" s="587"/>
    </row>
    <row r="37" spans="1:13" x14ac:dyDescent="0.3">
      <c r="A37" s="587"/>
      <c r="B37" s="271" t="str">
        <f>IF(OR(Sheet1!D$192=1,Sheet1!D$193=1),IF(OR((B36&gt;=(Sheet1!D$148+$B$10)-1),AND(Sheet1!D$8=3,B36&gt;=6))," ",B36+1),NA())</f>
        <v xml:space="preserve"> </v>
      </c>
      <c r="C37" s="593" t="str">
        <f>CostDisplayA!F38</f>
        <v xml:space="preserve"> </v>
      </c>
      <c r="D37" s="150"/>
      <c r="E37" s="594" t="str">
        <f>IF(OR(Sheet1!D$192=1,Sheet1!D$194=1),IF(OR((B36&gt;=(Sheet1!D$148+$B$10)-1),AND(Sheet1!D$8=3,B36&gt;=6))," ",B36+1),NA())</f>
        <v xml:space="preserve"> </v>
      </c>
      <c r="F37" s="593" t="str">
        <f>CostDisplayB!F38</f>
        <v xml:space="preserve"> </v>
      </c>
      <c r="G37" s="150"/>
      <c r="H37" s="595" t="str">
        <f>IF(OR(Sheet1!D$192=1,Sheet1!D$195=1),IF(OR((B36&gt;=(Sheet1!D$148+$B$10)-1),AND(Sheet1!D$8=3,B36&gt;=6))," ",B36+1),NA())</f>
        <v xml:space="preserve"> </v>
      </c>
      <c r="I37" s="593" t="str">
        <f>CostDisplayC!F38</f>
        <v xml:space="preserve"> </v>
      </c>
      <c r="J37" s="150"/>
      <c r="K37" s="595" t="str">
        <f>IF(OR(Sheet1!D$192=1,Sheet1!D$196=1),IF(OR((B36&gt;=(Sheet1!D$148+$B$10)-1),AND(Sheet1!D$8=3,B36&gt;=6))," ",B36+1),NA())</f>
        <v xml:space="preserve"> </v>
      </c>
      <c r="L37" s="593" t="str">
        <f>CostDisplayD!F38</f>
        <v xml:space="preserve"> </v>
      </c>
      <c r="M37" s="587"/>
    </row>
    <row r="38" spans="1:13" x14ac:dyDescent="0.3">
      <c r="A38" s="587"/>
      <c r="B38" s="271" t="str">
        <f>IF(OR(Sheet1!D$192=1,Sheet1!D$193=1),IF(OR((B37&gt;=(Sheet1!D$148+$B$10)-1),AND(Sheet1!D$8=3,B37&gt;=6))," ",B37+1),NA())</f>
        <v xml:space="preserve"> </v>
      </c>
      <c r="C38" s="593" t="str">
        <f>CostDisplayA!F39</f>
        <v xml:space="preserve"> </v>
      </c>
      <c r="D38" s="150"/>
      <c r="E38" s="594" t="str">
        <f>IF(OR(Sheet1!D$192=1,Sheet1!D$194=1),IF(OR((B37&gt;=(Sheet1!D$148+$B$10)-1),AND(Sheet1!D$8=3,B37&gt;=6))," ",B37+1),NA())</f>
        <v xml:space="preserve"> </v>
      </c>
      <c r="F38" s="593" t="str">
        <f>CostDisplayB!F39</f>
        <v xml:space="preserve"> </v>
      </c>
      <c r="G38" s="150"/>
      <c r="H38" s="595" t="str">
        <f>IF(OR(Sheet1!D$192=1,Sheet1!D$195=1),IF(OR((B37&gt;=(Sheet1!D$148+$B$10)-1),AND(Sheet1!D$8=3,B37&gt;=6))," ",B37+1),NA())</f>
        <v xml:space="preserve"> </v>
      </c>
      <c r="I38" s="593" t="str">
        <f>CostDisplayC!F39</f>
        <v xml:space="preserve"> </v>
      </c>
      <c r="J38" s="150"/>
      <c r="K38" s="595" t="str">
        <f>IF(OR(Sheet1!D$192=1,Sheet1!D$196=1),IF(OR((B37&gt;=(Sheet1!D$148+$B$10)-1),AND(Sheet1!D$8=3,B37&gt;=6))," ",B37+1),NA())</f>
        <v xml:space="preserve"> </v>
      </c>
      <c r="L38" s="593" t="str">
        <f>CostDisplayD!F39</f>
        <v xml:space="preserve"> </v>
      </c>
      <c r="M38" s="587"/>
    </row>
    <row r="39" spans="1:13" x14ac:dyDescent="0.3">
      <c r="A39" s="587"/>
      <c r="B39" s="271" t="str">
        <f>IF(OR(Sheet1!D$192=1,Sheet1!D$193=1),IF(OR((B38&gt;=(Sheet1!D$148+$B$10)-1),AND(Sheet1!D$8=3,B38&gt;=6))," ",B38+1),NA())</f>
        <v xml:space="preserve"> </v>
      </c>
      <c r="C39" s="593" t="str">
        <f>CostDisplayA!F40</f>
        <v xml:space="preserve"> </v>
      </c>
      <c r="D39" s="150"/>
      <c r="E39" s="594" t="str">
        <f>IF(OR(Sheet1!D$192=1,Sheet1!D$194=1),IF(OR((B38&gt;=(Sheet1!D$148+$B$10)-1),AND(Sheet1!D$8=3,B38&gt;=6))," ",B38+1),NA())</f>
        <v xml:space="preserve"> </v>
      </c>
      <c r="F39" s="593" t="str">
        <f>CostDisplayB!F40</f>
        <v xml:space="preserve"> </v>
      </c>
      <c r="G39" s="150"/>
      <c r="H39" s="595" t="str">
        <f>IF(OR(Sheet1!D$192=1,Sheet1!D$195=1),IF(OR((B38&gt;=(Sheet1!D$148+$B$10)-1),AND(Sheet1!D$8=3,B38&gt;=6))," ",B38+1),NA())</f>
        <v xml:space="preserve"> </v>
      </c>
      <c r="I39" s="593" t="str">
        <f>CostDisplayC!F40</f>
        <v xml:space="preserve"> </v>
      </c>
      <c r="J39" s="150"/>
      <c r="K39" s="595" t="str">
        <f>IF(OR(Sheet1!D$192=1,Sheet1!D$196=1),IF(OR((B38&gt;=(Sheet1!D$148+$B$10)-1),AND(Sheet1!D$8=3,B38&gt;=6))," ",B38+1),NA())</f>
        <v xml:space="preserve"> </v>
      </c>
      <c r="L39" s="593" t="str">
        <f>CostDisplayD!F40</f>
        <v xml:space="preserve"> </v>
      </c>
      <c r="M39" s="587"/>
    </row>
    <row r="40" spans="1:13" x14ac:dyDescent="0.3">
      <c r="A40" s="587"/>
      <c r="B40" s="271" t="str">
        <f>IF(OR(Sheet1!D$192=1,Sheet1!D$193=1),IF(OR((B39&gt;=(Sheet1!D$148+$B$10)-1),AND(Sheet1!D$8=3,B39&gt;=6))," ",B39+1),NA())</f>
        <v xml:space="preserve"> </v>
      </c>
      <c r="C40" s="593" t="str">
        <f>CostDisplayA!F41</f>
        <v xml:space="preserve"> </v>
      </c>
      <c r="D40" s="150"/>
      <c r="E40" s="594" t="str">
        <f>IF(OR(Sheet1!D$192=1,Sheet1!D$194=1),IF(OR((B39&gt;=(Sheet1!D$148+$B$10)-1),AND(Sheet1!D$8=3,B39&gt;=6))," ",B39+1),NA())</f>
        <v xml:space="preserve"> </v>
      </c>
      <c r="F40" s="593" t="str">
        <f>CostDisplayB!F41</f>
        <v xml:space="preserve"> </v>
      </c>
      <c r="G40" s="150"/>
      <c r="H40" s="595" t="str">
        <f>IF(OR(Sheet1!D$192=1,Sheet1!D$195=1),IF(OR((B39&gt;=(Sheet1!D$148+$B$10)-1),AND(Sheet1!D$8=3,B39&gt;=6))," ",B39+1),NA())</f>
        <v xml:space="preserve"> </v>
      </c>
      <c r="I40" s="593" t="str">
        <f>CostDisplayC!F41</f>
        <v xml:space="preserve"> </v>
      </c>
      <c r="J40" s="150"/>
      <c r="K40" s="595" t="str">
        <f>IF(OR(Sheet1!D$192=1,Sheet1!D$196=1),IF(OR((B39&gt;=(Sheet1!D$148+$B$10)-1),AND(Sheet1!D$8=3,B39&gt;=6))," ",B39+1),NA())</f>
        <v xml:space="preserve"> </v>
      </c>
      <c r="L40" s="593" t="str">
        <f>CostDisplayD!F41</f>
        <v xml:space="preserve"> </v>
      </c>
      <c r="M40" s="587"/>
    </row>
    <row r="41" spans="1:13" x14ac:dyDescent="0.3">
      <c r="A41" s="587"/>
      <c r="B41" s="271" t="str">
        <f>IF(OR(Sheet1!D$192=1,Sheet1!D$193=1),IF(OR((B40&gt;=(Sheet1!D$148+$B$10)-1),AND(Sheet1!D$8=3,B40&gt;=6))," ",B40+1),NA())</f>
        <v xml:space="preserve"> </v>
      </c>
      <c r="C41" s="593" t="str">
        <f>CostDisplayA!F42</f>
        <v xml:space="preserve"> </v>
      </c>
      <c r="D41" s="150"/>
      <c r="E41" s="594" t="str">
        <f>IF(OR(Sheet1!D$192=1,Sheet1!D$194=1),IF(OR((B40&gt;=(Sheet1!D$148+$B$10)-1),AND(Sheet1!D$8=3,B40&gt;=6))," ",B40+1),NA())</f>
        <v xml:space="preserve"> </v>
      </c>
      <c r="F41" s="593" t="str">
        <f>CostDisplayB!F42</f>
        <v xml:space="preserve"> </v>
      </c>
      <c r="G41" s="150"/>
      <c r="H41" s="595" t="str">
        <f>IF(OR(Sheet1!D$192=1,Sheet1!D$195=1),IF(OR((B40&gt;=(Sheet1!D$148+$B$10)-1),AND(Sheet1!D$8=3,B40&gt;=6))," ",B40+1),NA())</f>
        <v xml:space="preserve"> </v>
      </c>
      <c r="I41" s="593" t="str">
        <f>CostDisplayC!F42</f>
        <v xml:space="preserve"> </v>
      </c>
      <c r="J41" s="150"/>
      <c r="K41" s="595" t="str">
        <f>IF(OR(Sheet1!D$192=1,Sheet1!D$196=1),IF(OR((B40&gt;=(Sheet1!D$148+$B$10)-1),AND(Sheet1!D$8=3,B40&gt;=6))," ",B40+1),NA())</f>
        <v xml:space="preserve"> </v>
      </c>
      <c r="L41" s="593" t="str">
        <f>CostDisplayD!F42</f>
        <v xml:space="preserve"> </v>
      </c>
      <c r="M41" s="587"/>
    </row>
    <row r="42" spans="1:13" x14ac:dyDescent="0.3">
      <c r="A42" s="587"/>
      <c r="B42" s="271" t="str">
        <f>IF(OR(Sheet1!D$192=1,Sheet1!D$193=1),IF(OR((B41&gt;=(Sheet1!D$148+$B$10)-1),AND(Sheet1!D$8=3,B41&gt;=6))," ",B41+1),NA())</f>
        <v xml:space="preserve"> </v>
      </c>
      <c r="C42" s="593" t="str">
        <f>CostDisplayA!F43</f>
        <v xml:space="preserve"> </v>
      </c>
      <c r="D42" s="150"/>
      <c r="E42" s="594" t="str">
        <f>IF(OR(Sheet1!D$192=1,Sheet1!D$194=1),IF(OR((B41&gt;=(Sheet1!D$148+$B$10)-1),AND(Sheet1!D$8=3,B41&gt;=6))," ",B41+1),NA())</f>
        <v xml:space="preserve"> </v>
      </c>
      <c r="F42" s="593" t="str">
        <f>CostDisplayB!F43</f>
        <v xml:space="preserve"> </v>
      </c>
      <c r="G42" s="150"/>
      <c r="H42" s="595" t="str">
        <f>IF(OR(Sheet1!D$192=1,Sheet1!D$195=1),IF(OR((B41&gt;=(Sheet1!D$148+$B$10)-1),AND(Sheet1!D$8=3,B41&gt;=6))," ",B41+1),NA())</f>
        <v xml:space="preserve"> </v>
      </c>
      <c r="I42" s="593" t="str">
        <f>CostDisplayC!F43</f>
        <v xml:space="preserve"> </v>
      </c>
      <c r="J42" s="150"/>
      <c r="K42" s="595" t="str">
        <f>IF(OR(Sheet1!D$192=1,Sheet1!D$196=1),IF(OR((B41&gt;=(Sheet1!D$148+$B$10)-1),AND(Sheet1!D$8=3,B41&gt;=6))," ",B41+1),NA())</f>
        <v xml:space="preserve"> </v>
      </c>
      <c r="L42" s="593" t="str">
        <f>CostDisplayD!F43</f>
        <v xml:space="preserve"> </v>
      </c>
      <c r="M42" s="587"/>
    </row>
    <row r="43" spans="1:13" x14ac:dyDescent="0.3">
      <c r="A43" s="587"/>
      <c r="B43" s="271" t="str">
        <f>IF(OR(Sheet1!D$192=1,Sheet1!D$193=1),IF(OR((B42&gt;=(Sheet1!D$148+$B$10)-1),AND(Sheet1!D$8=3,B42&gt;=6))," ",B42+1),NA())</f>
        <v xml:space="preserve"> </v>
      </c>
      <c r="C43" s="593" t="str">
        <f>CostDisplayA!F44</f>
        <v xml:space="preserve"> </v>
      </c>
      <c r="D43" s="150"/>
      <c r="E43" s="594" t="str">
        <f>IF(OR(Sheet1!D$192=1,Sheet1!D$194=1),IF(OR((B42&gt;=(Sheet1!D$148+$B$10)-1),AND(Sheet1!D$8=3,B42&gt;=6))," ",B42+1),NA())</f>
        <v xml:space="preserve"> </v>
      </c>
      <c r="F43" s="593" t="str">
        <f>CostDisplayB!F44</f>
        <v xml:space="preserve"> </v>
      </c>
      <c r="G43" s="150"/>
      <c r="H43" s="595" t="str">
        <f>IF(OR(Sheet1!D$192=1,Sheet1!D$195=1),IF(OR((B42&gt;=(Sheet1!D$148+$B$10)-1),AND(Sheet1!D$8=3,B42&gt;=6))," ",B42+1),NA())</f>
        <v xml:space="preserve"> </v>
      </c>
      <c r="I43" s="593" t="str">
        <f>CostDisplayC!F44</f>
        <v xml:space="preserve"> </v>
      </c>
      <c r="J43" s="150"/>
      <c r="K43" s="595" t="str">
        <f>IF(OR(Sheet1!D$192=1,Sheet1!D$196=1),IF(OR((B42&gt;=(Sheet1!D$148+$B$10)-1),AND(Sheet1!D$8=3,B42&gt;=6))," ",B42+1),NA())</f>
        <v xml:space="preserve"> </v>
      </c>
      <c r="L43" s="593" t="str">
        <f>CostDisplayD!F44</f>
        <v xml:space="preserve"> </v>
      </c>
      <c r="M43" s="587"/>
    </row>
    <row r="44" spans="1:13" x14ac:dyDescent="0.3">
      <c r="A44" s="587"/>
      <c r="B44" s="271" t="str">
        <f>IF(OR(Sheet1!D$192=1,Sheet1!D$193=1),IF(OR((B43&gt;=(Sheet1!D$148+$B$10)-1),AND(Sheet1!D$8=3,B43&gt;=6))," ",B43+1),NA())</f>
        <v xml:space="preserve"> </v>
      </c>
      <c r="C44" s="593" t="str">
        <f>CostDisplayA!F45</f>
        <v xml:space="preserve"> </v>
      </c>
      <c r="D44" s="150"/>
      <c r="E44" s="594" t="str">
        <f>IF(OR(Sheet1!D$192=1,Sheet1!D$194=1),IF(OR((B43&gt;=(Sheet1!D$148+$B$10)-1),AND(Sheet1!D$8=3,B43&gt;=6))," ",B43+1),NA())</f>
        <v xml:space="preserve"> </v>
      </c>
      <c r="F44" s="593" t="str">
        <f>CostDisplayB!F45</f>
        <v xml:space="preserve"> </v>
      </c>
      <c r="G44" s="150"/>
      <c r="H44" s="595" t="str">
        <f>IF(OR(Sheet1!D$192=1,Sheet1!D$195=1),IF(OR((B43&gt;=(Sheet1!D$148+$B$10)-1),AND(Sheet1!D$8=3,B43&gt;=6))," ",B43+1),NA())</f>
        <v xml:space="preserve"> </v>
      </c>
      <c r="I44" s="593" t="str">
        <f>CostDisplayC!F45</f>
        <v xml:space="preserve"> </v>
      </c>
      <c r="J44" s="150"/>
      <c r="K44" s="595" t="str">
        <f>IF(OR(Sheet1!D$192=1,Sheet1!D$196=1),IF(OR((B43&gt;=(Sheet1!D$148+$B$10)-1),AND(Sheet1!D$8=3,B43&gt;=6))," ",B43+1),NA())</f>
        <v xml:space="preserve"> </v>
      </c>
      <c r="L44" s="593" t="str">
        <f>CostDisplayD!F45</f>
        <v xml:space="preserve"> </v>
      </c>
      <c r="M44" s="587"/>
    </row>
    <row r="45" spans="1:13" x14ac:dyDescent="0.3">
      <c r="A45" s="587"/>
      <c r="B45" s="271" t="str">
        <f>IF(OR(Sheet1!D$192=1,Sheet1!D$193=1),IF(OR((B44&gt;=(Sheet1!D$148+$B$10)-1),AND(Sheet1!D$8=3,B44&gt;=6))," ",B44+1),NA())</f>
        <v xml:space="preserve"> </v>
      </c>
      <c r="C45" s="593" t="str">
        <f>CostDisplayA!F46</f>
        <v xml:space="preserve"> </v>
      </c>
      <c r="D45" s="150"/>
      <c r="E45" s="594" t="str">
        <f>IF(OR(Sheet1!D$192=1,Sheet1!D$194=1),IF(OR((B44&gt;=(Sheet1!D$148+$B$10)-1),AND(Sheet1!D$8=3,B44&gt;=6))," ",B44+1),NA())</f>
        <v xml:space="preserve"> </v>
      </c>
      <c r="F45" s="593" t="str">
        <f>CostDisplayB!F46</f>
        <v xml:space="preserve"> </v>
      </c>
      <c r="G45" s="150"/>
      <c r="H45" s="595" t="str">
        <f>IF(OR(Sheet1!D$192=1,Sheet1!D$195=1),IF(OR((B44&gt;=(Sheet1!D$148+$B$10)-1),AND(Sheet1!D$8=3,B44&gt;=6))," ",B44+1),NA())</f>
        <v xml:space="preserve"> </v>
      </c>
      <c r="I45" s="593" t="str">
        <f>CostDisplayC!F46</f>
        <v xml:space="preserve"> </v>
      </c>
      <c r="J45" s="150"/>
      <c r="K45" s="595" t="str">
        <f>IF(OR(Sheet1!D$192=1,Sheet1!D$196=1),IF(OR((B44&gt;=(Sheet1!D$148+$B$10)-1),AND(Sheet1!D$8=3,B44&gt;=6))," ",B44+1),NA())</f>
        <v xml:space="preserve"> </v>
      </c>
      <c r="L45" s="593" t="str">
        <f>CostDisplayD!F46</f>
        <v xml:space="preserve"> </v>
      </c>
      <c r="M45" s="587"/>
    </row>
    <row r="46" spans="1:13" x14ac:dyDescent="0.3">
      <c r="A46" s="587"/>
      <c r="B46" s="271" t="str">
        <f>IF(OR(Sheet1!D$192=1,Sheet1!D$193=1),IF(OR((B45&gt;=(Sheet1!D$148+$B$10)-1),AND(Sheet1!D$8=3,B45&gt;=6))," ",B45+1),NA())</f>
        <v xml:space="preserve"> </v>
      </c>
      <c r="C46" s="593" t="str">
        <f>CostDisplayA!F47</f>
        <v xml:space="preserve"> </v>
      </c>
      <c r="D46" s="150"/>
      <c r="E46" s="594" t="str">
        <f>IF(OR(Sheet1!D$192=1,Sheet1!D$194=1),IF(OR((B45&gt;=(Sheet1!D$148+$B$10)-1),AND(Sheet1!D$8=3,B45&gt;=6))," ",B45+1),NA())</f>
        <v xml:space="preserve"> </v>
      </c>
      <c r="F46" s="593" t="str">
        <f>CostDisplayB!F47</f>
        <v xml:space="preserve"> </v>
      </c>
      <c r="G46" s="150"/>
      <c r="H46" s="595" t="str">
        <f>IF(OR(Sheet1!D$192=1,Sheet1!D$195=1),IF(OR((B45&gt;=(Sheet1!D$148+$B$10)-1),AND(Sheet1!D$8=3,B45&gt;=6))," ",B45+1),NA())</f>
        <v xml:space="preserve"> </v>
      </c>
      <c r="I46" s="593" t="str">
        <f>CostDisplayC!F47</f>
        <v xml:space="preserve"> </v>
      </c>
      <c r="J46" s="150"/>
      <c r="K46" s="595" t="str">
        <f>IF(OR(Sheet1!D$192=1,Sheet1!D$196=1),IF(OR((B45&gt;=(Sheet1!D$148+$B$10)-1),AND(Sheet1!D$8=3,B45&gt;=6))," ",B45+1),NA())</f>
        <v xml:space="preserve"> </v>
      </c>
      <c r="L46" s="593" t="str">
        <f>CostDisplayD!F47</f>
        <v xml:space="preserve"> </v>
      </c>
      <c r="M46" s="587"/>
    </row>
    <row r="47" spans="1:13" x14ac:dyDescent="0.3">
      <c r="A47" s="587"/>
      <c r="B47" s="271" t="str">
        <f>IF(OR(Sheet1!D$192=1,Sheet1!D$193=1),IF(OR((B46&gt;=(Sheet1!D$148+$B$10)-1),AND(Sheet1!D$8=3,B46&gt;=6))," ",B46+1),NA())</f>
        <v xml:space="preserve"> </v>
      </c>
      <c r="C47" s="593" t="str">
        <f>CostDisplayA!F48</f>
        <v xml:space="preserve"> </v>
      </c>
      <c r="D47" s="150"/>
      <c r="E47" s="594" t="str">
        <f>IF(OR(Sheet1!D$192=1,Sheet1!D$194=1),IF(OR((B46&gt;=(Sheet1!D$148+$B$10)-1),AND(Sheet1!D$8=3,B46&gt;=6))," ",B46+1),NA())</f>
        <v xml:space="preserve"> </v>
      </c>
      <c r="F47" s="593" t="str">
        <f>CostDisplayB!F48</f>
        <v xml:space="preserve"> </v>
      </c>
      <c r="G47" s="150"/>
      <c r="H47" s="595" t="str">
        <f>IF(OR(Sheet1!D$192=1,Sheet1!D$195=1),IF(OR((B46&gt;=(Sheet1!D$148+$B$10)-1),AND(Sheet1!D$8=3,B46&gt;=6))," ",B46+1),NA())</f>
        <v xml:space="preserve"> </v>
      </c>
      <c r="I47" s="593" t="str">
        <f>CostDisplayC!F48</f>
        <v xml:space="preserve"> </v>
      </c>
      <c r="J47" s="150"/>
      <c r="K47" s="595" t="str">
        <f>IF(OR(Sheet1!D$192=1,Sheet1!D$196=1),IF(OR((B46&gt;=(Sheet1!D$148+$B$10)-1),AND(Sheet1!D$8=3,B46&gt;=6))," ",B46+1),NA())</f>
        <v xml:space="preserve"> </v>
      </c>
      <c r="L47" s="593" t="str">
        <f>CostDisplayD!F48</f>
        <v xml:space="preserve"> </v>
      </c>
      <c r="M47" s="587"/>
    </row>
    <row r="48" spans="1:13" x14ac:dyDescent="0.3">
      <c r="A48" s="587"/>
      <c r="B48" s="271" t="str">
        <f>IF(OR(Sheet1!D$192=1,Sheet1!D$193=1),IF(OR((B47&gt;=(Sheet1!D$148+$B$10)-1),AND(Sheet1!D$8=3,B47&gt;=6))," ",B47+1),NA())</f>
        <v xml:space="preserve"> </v>
      </c>
      <c r="C48" s="593" t="str">
        <f>CostDisplayA!F49</f>
        <v xml:space="preserve"> </v>
      </c>
      <c r="D48" s="150"/>
      <c r="E48" s="594" t="str">
        <f>IF(OR(Sheet1!D$192=1,Sheet1!D$194=1),IF(OR((B47&gt;=(Sheet1!D$148+$B$10)-1),AND(Sheet1!D$8=3,B47&gt;=6))," ",B47+1),NA())</f>
        <v xml:space="preserve"> </v>
      </c>
      <c r="F48" s="593" t="str">
        <f>CostDisplayB!F49</f>
        <v xml:space="preserve"> </v>
      </c>
      <c r="G48" s="150"/>
      <c r="H48" s="595" t="str">
        <f>IF(OR(Sheet1!D$192=1,Sheet1!D$195=1),IF(OR((B47&gt;=(Sheet1!D$148+$B$10)-1),AND(Sheet1!D$8=3,B47&gt;=6))," ",B47+1),NA())</f>
        <v xml:space="preserve"> </v>
      </c>
      <c r="I48" s="593" t="str">
        <f>CostDisplayC!F49</f>
        <v xml:space="preserve"> </v>
      </c>
      <c r="J48" s="150"/>
      <c r="K48" s="595" t="str">
        <f>IF(OR(Sheet1!D$192=1,Sheet1!D$196=1),IF(OR((B47&gt;=(Sheet1!D$148+$B$10)-1),AND(Sheet1!D$8=3,B47&gt;=6))," ",B47+1),NA())</f>
        <v xml:space="preserve"> </v>
      </c>
      <c r="L48" s="593" t="str">
        <f>CostDisplayD!F49</f>
        <v xml:space="preserve"> </v>
      </c>
      <c r="M48" s="587"/>
    </row>
    <row r="49" spans="1:13" x14ac:dyDescent="0.3">
      <c r="A49" s="587"/>
      <c r="B49" s="271" t="str">
        <f>IF(OR(Sheet1!D$192=1,Sheet1!D$193=1),IF(OR((B48&gt;=(Sheet1!D$148+$B$10)-1),AND(Sheet1!D$8=3,B48&gt;=6))," ",B48+1),NA())</f>
        <v xml:space="preserve"> </v>
      </c>
      <c r="C49" s="593" t="str">
        <f>CostDisplayA!F50</f>
        <v xml:space="preserve"> </v>
      </c>
      <c r="D49" s="150"/>
      <c r="E49" s="594" t="str">
        <f>IF(OR(Sheet1!D$192=1,Sheet1!D$194=1),IF(OR((B48&gt;=(Sheet1!D$148+$B$10)-1),AND(Sheet1!D$8=3,B48&gt;=6))," ",B48+1),NA())</f>
        <v xml:space="preserve"> </v>
      </c>
      <c r="F49" s="593" t="str">
        <f>CostDisplayB!F50</f>
        <v xml:space="preserve"> </v>
      </c>
      <c r="G49" s="150"/>
      <c r="H49" s="595" t="str">
        <f>IF(OR(Sheet1!D$192=1,Sheet1!D$195=1),IF(OR((B48&gt;=(Sheet1!D$148+$B$10)-1),AND(Sheet1!D$8=3,B48&gt;=6))," ",B48+1),NA())</f>
        <v xml:space="preserve"> </v>
      </c>
      <c r="I49" s="593" t="str">
        <f>CostDisplayC!F50</f>
        <v xml:space="preserve"> </v>
      </c>
      <c r="J49" s="150"/>
      <c r="K49" s="595" t="str">
        <f>IF(OR(Sheet1!D$192=1,Sheet1!D$196=1),IF(OR((B48&gt;=(Sheet1!D$148+$B$10)-1),AND(Sheet1!D$8=3,B48&gt;=6))," ",B48+1),NA())</f>
        <v xml:space="preserve"> </v>
      </c>
      <c r="L49" s="593" t="str">
        <f>CostDisplayD!F50</f>
        <v xml:space="preserve"> </v>
      </c>
      <c r="M49" s="587"/>
    </row>
    <row r="50" spans="1:13" x14ac:dyDescent="0.3">
      <c r="A50" s="587"/>
      <c r="B50" s="271" t="str">
        <f>IF(OR(Sheet1!D$192=1,Sheet1!D$193=1),IF(OR((B49&gt;=(Sheet1!D$148+$B$10)-1),AND(Sheet1!D$8=3,B49&gt;=6))," ",B49+1),NA())</f>
        <v xml:space="preserve"> </v>
      </c>
      <c r="C50" s="593" t="str">
        <f>CostDisplayA!F51</f>
        <v xml:space="preserve"> </v>
      </c>
      <c r="D50" s="150"/>
      <c r="E50" s="594" t="str">
        <f>IF(OR(Sheet1!D$192=1,Sheet1!D$194=1),IF(OR((B49&gt;=(Sheet1!D$148+$B$10)-1),AND(Sheet1!D$8=3,B49&gt;=6))," ",B49+1),NA())</f>
        <v xml:space="preserve"> </v>
      </c>
      <c r="F50" s="593" t="str">
        <f>CostDisplayB!F51</f>
        <v xml:space="preserve"> </v>
      </c>
      <c r="G50" s="150"/>
      <c r="H50" s="595" t="str">
        <f>IF(OR(Sheet1!D$192=1,Sheet1!D$195=1),IF(OR((B49&gt;=(Sheet1!D$148+$B$10)-1),AND(Sheet1!D$8=3,B49&gt;=6))," ",B49+1),NA())</f>
        <v xml:space="preserve"> </v>
      </c>
      <c r="I50" s="593" t="str">
        <f>CostDisplayC!F51</f>
        <v xml:space="preserve"> </v>
      </c>
      <c r="J50" s="150"/>
      <c r="K50" s="595" t="str">
        <f>IF(OR(Sheet1!D$192=1,Sheet1!D$196=1),IF(OR((B49&gt;=(Sheet1!D$148+$B$10)-1),AND(Sheet1!D$8=3,B49&gt;=6))," ",B49+1),NA())</f>
        <v xml:space="preserve"> </v>
      </c>
      <c r="L50" s="593" t="str">
        <f>CostDisplayD!F51</f>
        <v xml:space="preserve"> </v>
      </c>
      <c r="M50" s="587"/>
    </row>
    <row r="51" spans="1:13" x14ac:dyDescent="0.3">
      <c r="A51" s="587"/>
      <c r="B51" s="271" t="str">
        <f>IF(OR(Sheet1!D$192=1,Sheet1!D$193=1),IF(OR((B50&gt;=(Sheet1!D$148+$B$10)-1),AND(Sheet1!D$8=3,B50&gt;=6))," ",B50+1),NA())</f>
        <v xml:space="preserve"> </v>
      </c>
      <c r="C51" s="593" t="str">
        <f>CostDisplayA!F52</f>
        <v xml:space="preserve"> </v>
      </c>
      <c r="D51" s="150"/>
      <c r="E51" s="594" t="str">
        <f>IF(OR(Sheet1!D$192=1,Sheet1!D$194=1),IF(OR((B50&gt;=(Sheet1!D$148+$B$10)-1),AND(Sheet1!D$8=3,B50&gt;=6))," ",B50+1),NA())</f>
        <v xml:space="preserve"> </v>
      </c>
      <c r="F51" s="593" t="str">
        <f>CostDisplayB!F52</f>
        <v xml:space="preserve"> </v>
      </c>
      <c r="G51" s="150"/>
      <c r="H51" s="595" t="str">
        <f>IF(OR(Sheet1!D$192=1,Sheet1!D$195=1),IF(OR((B50&gt;=(Sheet1!D$148+$B$10)-1),AND(Sheet1!D$8=3,B50&gt;=6))," ",B50+1),NA())</f>
        <v xml:space="preserve"> </v>
      </c>
      <c r="I51" s="593" t="str">
        <f>CostDisplayC!F52</f>
        <v xml:space="preserve"> </v>
      </c>
      <c r="J51" s="150"/>
      <c r="K51" s="595" t="str">
        <f>IF(OR(Sheet1!D$192=1,Sheet1!D$196=1),IF(OR((B50&gt;=(Sheet1!D$148+$B$10)-1),AND(Sheet1!D$8=3,B50&gt;=6))," ",B50+1),NA())</f>
        <v xml:space="preserve"> </v>
      </c>
      <c r="L51" s="593" t="str">
        <f>CostDisplayD!F52</f>
        <v xml:space="preserve"> </v>
      </c>
      <c r="M51" s="587"/>
    </row>
    <row r="52" spans="1:13" x14ac:dyDescent="0.3">
      <c r="A52" s="587"/>
      <c r="B52" s="271" t="str">
        <f>IF(OR(Sheet1!D$192=1,Sheet1!D$193=1),IF(OR((B51&gt;=(Sheet1!D$148+$B$10)-1),AND(Sheet1!D$8=3,B51&gt;=6))," ",B51+1),NA())</f>
        <v xml:space="preserve"> </v>
      </c>
      <c r="C52" s="593" t="str">
        <f>CostDisplayA!F53</f>
        <v xml:space="preserve"> </v>
      </c>
      <c r="D52" s="150"/>
      <c r="E52" s="594" t="str">
        <f>IF(OR(Sheet1!D$192=1,Sheet1!D$194=1),IF(OR((B51&gt;=(Sheet1!D$148+$B$10)-1),AND(Sheet1!D$8=3,B51&gt;=6))," ",B51+1),NA())</f>
        <v xml:space="preserve"> </v>
      </c>
      <c r="F52" s="593" t="str">
        <f>CostDisplayB!F53</f>
        <v xml:space="preserve"> </v>
      </c>
      <c r="G52" s="150"/>
      <c r="H52" s="595" t="str">
        <f>IF(OR(Sheet1!D$192=1,Sheet1!D$195=1),IF(OR((B51&gt;=(Sheet1!D$148+$B$10)-1),AND(Sheet1!D$8=3,B51&gt;=6))," ",B51+1),NA())</f>
        <v xml:space="preserve"> </v>
      </c>
      <c r="I52" s="593" t="str">
        <f>CostDisplayC!F53</f>
        <v xml:space="preserve"> </v>
      </c>
      <c r="J52" s="150"/>
      <c r="K52" s="595" t="str">
        <f>IF(OR(Sheet1!D$192=1,Sheet1!D$196=1),IF(OR((B51&gt;=(Sheet1!D$148+$B$10)-1),AND(Sheet1!D$8=3,B51&gt;=6))," ",B51+1),NA())</f>
        <v xml:space="preserve"> </v>
      </c>
      <c r="L52" s="593" t="str">
        <f>CostDisplayD!F53</f>
        <v xml:space="preserve"> </v>
      </c>
      <c r="M52" s="587"/>
    </row>
    <row r="53" spans="1:13" x14ac:dyDescent="0.3">
      <c r="A53" s="587"/>
      <c r="B53" s="271" t="str">
        <f>IF(OR(Sheet1!D$192=1,Sheet1!D$193=1),IF(OR((B52&gt;=(Sheet1!D$148+$B$10)-1),AND(Sheet1!D$8=3,B52&gt;=6))," ",B52+1),NA())</f>
        <v xml:space="preserve"> </v>
      </c>
      <c r="C53" s="593" t="str">
        <f>CostDisplayA!F54</f>
        <v xml:space="preserve"> </v>
      </c>
      <c r="D53" s="150"/>
      <c r="E53" s="594" t="str">
        <f>IF(OR(Sheet1!D$192=1,Sheet1!D$194=1),IF(OR((B52&gt;=(Sheet1!D$148+$B$10)-1),AND(Sheet1!D$8=3,B52&gt;=6))," ",B52+1),NA())</f>
        <v xml:space="preserve"> </v>
      </c>
      <c r="F53" s="593" t="str">
        <f>CostDisplayB!F54</f>
        <v xml:space="preserve"> </v>
      </c>
      <c r="G53" s="150"/>
      <c r="H53" s="595" t="str">
        <f>IF(OR(Sheet1!D$192=1,Sheet1!D$195=1),IF(OR((B52&gt;=(Sheet1!D$148+$B$10)-1),AND(Sheet1!D$8=3,B52&gt;=6))," ",B52+1),NA())</f>
        <v xml:space="preserve"> </v>
      </c>
      <c r="I53" s="593" t="str">
        <f>CostDisplayC!F54</f>
        <v xml:space="preserve"> </v>
      </c>
      <c r="J53" s="150"/>
      <c r="K53" s="595" t="str">
        <f>IF(OR(Sheet1!D$192=1,Sheet1!D$196=1),IF(OR((B52&gt;=(Sheet1!D$148+$B$10)-1),AND(Sheet1!D$8=3,B52&gt;=6))," ",B52+1),NA())</f>
        <v xml:space="preserve"> </v>
      </c>
      <c r="L53" s="593" t="str">
        <f>CostDisplayD!F54</f>
        <v xml:space="preserve"> </v>
      </c>
      <c r="M53" s="587"/>
    </row>
    <row r="54" spans="1:13" x14ac:dyDescent="0.3">
      <c r="A54" s="587"/>
      <c r="B54" s="271" t="str">
        <f>IF(OR(Sheet1!D$192=1,Sheet1!D$193=1),IF(OR((B53&gt;=(Sheet1!D$148+$B$10)-1),AND(Sheet1!D$8=3,B53&gt;=6))," ",B53+1),NA())</f>
        <v xml:space="preserve"> </v>
      </c>
      <c r="C54" s="593" t="str">
        <f>CostDisplayA!F55</f>
        <v xml:space="preserve"> </v>
      </c>
      <c r="D54" s="150"/>
      <c r="E54" s="594" t="str">
        <f>IF(OR(Sheet1!D$192=1,Sheet1!D$194=1),IF(OR((B53&gt;=(Sheet1!D$148+$B$10)-1),AND(Sheet1!D$8=3,B53&gt;=6))," ",B53+1),NA())</f>
        <v xml:space="preserve"> </v>
      </c>
      <c r="F54" s="593" t="str">
        <f>CostDisplayB!F55</f>
        <v xml:space="preserve"> </v>
      </c>
      <c r="G54" s="150"/>
      <c r="H54" s="595" t="str">
        <f>IF(OR(Sheet1!D$192=1,Sheet1!D$195=1),IF(OR((B53&gt;=(Sheet1!D$148+$B$10)-1),AND(Sheet1!D$8=3,B53&gt;=6))," ",B53+1),NA())</f>
        <v xml:space="preserve"> </v>
      </c>
      <c r="I54" s="593" t="str">
        <f>CostDisplayC!F55</f>
        <v xml:space="preserve"> </v>
      </c>
      <c r="J54" s="150"/>
      <c r="K54" s="595" t="str">
        <f>IF(OR(Sheet1!D$192=1,Sheet1!D$196=1),IF(OR((B53&gt;=(Sheet1!D$148+$B$10)-1),AND(Sheet1!D$8=3,B53&gt;=6))," ",B53+1),NA())</f>
        <v xml:space="preserve"> </v>
      </c>
      <c r="L54" s="593" t="str">
        <f>CostDisplayD!F55</f>
        <v xml:space="preserve"> </v>
      </c>
      <c r="M54" s="587"/>
    </row>
    <row r="55" spans="1:13" x14ac:dyDescent="0.3">
      <c r="A55" s="587"/>
      <c r="B55" s="271" t="str">
        <f>IF(OR(Sheet1!D$192=1,Sheet1!D$193=1),IF(OR((B54&gt;=(Sheet1!D$148+$B$10)-1),AND(Sheet1!D$8=3,B54&gt;=6))," ",B54+1),NA())</f>
        <v xml:space="preserve"> </v>
      </c>
      <c r="C55" s="593" t="str">
        <f>CostDisplayA!F56</f>
        <v xml:space="preserve"> </v>
      </c>
      <c r="D55" s="150"/>
      <c r="E55" s="594" t="str">
        <f>IF(OR(Sheet1!D$192=1,Sheet1!D$194=1),IF(OR((B54&gt;=(Sheet1!D$148+$B$10)-1),AND(Sheet1!D$8=3,B54&gt;=6))," ",B54+1),NA())</f>
        <v xml:space="preserve"> </v>
      </c>
      <c r="F55" s="593" t="str">
        <f>CostDisplayB!F56</f>
        <v xml:space="preserve"> </v>
      </c>
      <c r="G55" s="150"/>
      <c r="H55" s="595" t="str">
        <f>IF(OR(Sheet1!D$192=1,Sheet1!D$195=1),IF(OR((B54&gt;=(Sheet1!D$148+$B$10)-1),AND(Sheet1!D$8=3,B54&gt;=6))," ",B54+1),NA())</f>
        <v xml:space="preserve"> </v>
      </c>
      <c r="I55" s="593" t="str">
        <f>CostDisplayC!F56</f>
        <v xml:space="preserve"> </v>
      </c>
      <c r="J55" s="150"/>
      <c r="K55" s="595" t="str">
        <f>IF(OR(Sheet1!D$192=1,Sheet1!D$196=1),IF(OR((B54&gt;=(Sheet1!D$148+$B$10)-1),AND(Sheet1!D$8=3,B54&gt;=6))," ",B54+1),NA())</f>
        <v xml:space="preserve"> </v>
      </c>
      <c r="L55" s="593" t="str">
        <f>CostDisplayD!F56</f>
        <v xml:space="preserve"> </v>
      </c>
      <c r="M55" s="587"/>
    </row>
    <row r="56" spans="1:13" x14ac:dyDescent="0.3">
      <c r="A56" s="587"/>
      <c r="B56" s="271" t="str">
        <f>IF(OR(Sheet1!D$192=1,Sheet1!D$193=1),IF(OR((B55&gt;=(Sheet1!D$148+$B$10)-1),AND(Sheet1!D$8=3,B55&gt;=6))," ",B55+1),NA())</f>
        <v xml:space="preserve"> </v>
      </c>
      <c r="C56" s="593" t="str">
        <f>CostDisplayA!F57</f>
        <v xml:space="preserve"> </v>
      </c>
      <c r="D56" s="150"/>
      <c r="E56" s="594" t="str">
        <f>IF(OR(Sheet1!D$192=1,Sheet1!D$194=1),IF(OR((B55&gt;=(Sheet1!D$148+$B$10)-1),AND(Sheet1!D$8=3,B55&gt;=6))," ",B55+1),NA())</f>
        <v xml:space="preserve"> </v>
      </c>
      <c r="F56" s="593" t="str">
        <f>CostDisplayB!F57</f>
        <v xml:space="preserve"> </v>
      </c>
      <c r="G56" s="150"/>
      <c r="H56" s="595" t="str">
        <f>IF(OR(Sheet1!D$192=1,Sheet1!D$195=1),IF(OR((B55&gt;=(Sheet1!D$148+$B$10)-1),AND(Sheet1!D$8=3,B55&gt;=6))," ",B55+1),NA())</f>
        <v xml:space="preserve"> </v>
      </c>
      <c r="I56" s="593" t="str">
        <f>CostDisplayC!F57</f>
        <v xml:space="preserve"> </v>
      </c>
      <c r="J56" s="150"/>
      <c r="K56" s="595" t="str">
        <f>IF(OR(Sheet1!D$192=1,Sheet1!D$196=1),IF(OR((B55&gt;=(Sheet1!D$148+$B$10)-1),AND(Sheet1!D$8=3,B55&gt;=6))," ",B55+1),NA())</f>
        <v xml:space="preserve"> </v>
      </c>
      <c r="L56" s="593" t="str">
        <f>CostDisplayD!F57</f>
        <v xml:space="preserve"> </v>
      </c>
      <c r="M56" s="587"/>
    </row>
    <row r="57" spans="1:13" x14ac:dyDescent="0.3">
      <c r="A57" s="596"/>
      <c r="B57" s="582" t="str">
        <f>IF(OR(Sheet1!D$192=1,Sheet1!D$193=1),IF(OR((B56&gt;=(Sheet1!D$148+$B$10)-1),AND(Sheet1!D$8=3,B56&gt;=6))," ",B56+1),NA())</f>
        <v xml:space="preserve"> </v>
      </c>
      <c r="C57" s="597" t="str">
        <f>CostDisplayA!F57</f>
        <v xml:space="preserve"> </v>
      </c>
      <c r="D57" s="598"/>
      <c r="E57" s="599" t="str">
        <f>IF(OR(Sheet1!D$192=1,Sheet1!D$194=1),IF(OR((B56&gt;=(Sheet1!D$148+$B$10)-1),AND(Sheet1!D$8=3,B56&gt;=6))," ",B56+1),NA())</f>
        <v xml:space="preserve"> </v>
      </c>
      <c r="F57" s="597" t="str">
        <f>CostDisplayB!F57</f>
        <v xml:space="preserve"> </v>
      </c>
      <c r="G57" s="598"/>
      <c r="H57" s="599" t="str">
        <f>IF(OR(Sheet1!D$192=1,Sheet1!D$195=1),IF(OR((B56&gt;=(Sheet1!D$148+$B$10)-1),AND(Sheet1!D$8=3,B56&gt;=6))," ",B56+1),NA())</f>
        <v xml:space="preserve"> </v>
      </c>
      <c r="I57" s="597" t="str">
        <f>CostDisplayC!F57</f>
        <v xml:space="preserve"> </v>
      </c>
      <c r="J57" s="598"/>
      <c r="K57" s="599" t="str">
        <f>IF(OR(Sheet1!D$192=1,Sheet1!D$196=1),IF(OR((B56&gt;=(Sheet1!D$148+$B$10)-1),AND(Sheet1!D$8=3,B56&gt;=6))," ",B56+1),NA())</f>
        <v xml:space="preserve"> </v>
      </c>
      <c r="L57" s="597" t="str">
        <f>CostDisplayD!F57</f>
        <v xml:space="preserve"> </v>
      </c>
      <c r="M57" s="600"/>
    </row>
    <row r="58" spans="1:13" x14ac:dyDescent="0.3">
      <c r="A58" s="601"/>
      <c r="B58" s="270"/>
      <c r="C58" s="602"/>
      <c r="D58" s="601"/>
      <c r="E58" s="601"/>
      <c r="F58" s="601"/>
      <c r="G58" s="601"/>
      <c r="H58" s="601"/>
      <c r="I58" s="601"/>
      <c r="J58" s="601"/>
      <c r="K58" s="601"/>
      <c r="L58" s="601"/>
      <c r="M58" s="601"/>
    </row>
    <row r="59" spans="1:13" ht="15" thickBot="1" x14ac:dyDescent="0.35">
      <c r="A59" s="601"/>
      <c r="B59" s="601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</row>
    <row r="60" spans="1:13" ht="15" thickBot="1" x14ac:dyDescent="0.35">
      <c r="A60" s="601"/>
      <c r="B60" s="603" t="s">
        <v>1077</v>
      </c>
      <c r="C60" s="604" t="e">
        <f>IF(CostDisplayA!H86&lt;0,0,IRR(C10:C57))</f>
        <v>#NUM!</v>
      </c>
      <c r="D60" s="601"/>
      <c r="E60" s="603" t="s">
        <v>1077</v>
      </c>
      <c r="F60" s="604" t="e">
        <f>IF(CostDisplayB!H86&lt;0,0,IRR(F10:F57))</f>
        <v>#NUM!</v>
      </c>
      <c r="G60" s="601"/>
      <c r="H60" s="603" t="s">
        <v>1077</v>
      </c>
      <c r="I60" s="604" t="e">
        <f>IF(CostDisplayC!H86&lt;0,0,IRR(I10:I57))</f>
        <v>#NUM!</v>
      </c>
      <c r="J60" s="601"/>
      <c r="K60" s="603" t="s">
        <v>1077</v>
      </c>
      <c r="L60" s="604" t="e">
        <f>IF(CostDisplayD!H86&lt;0,0,IRR(L10:L57))</f>
        <v>#NUM!</v>
      </c>
      <c r="M60" s="601"/>
    </row>
  </sheetData>
  <sheetProtection algorithmName="SHA-512" hashValue="f6mbN7I/36L65PunvrN2ut7SifB/VpK88VADyQxyZ3vHXOmTaPkhPhqFQtF78uf4bYSiqTfklR879agLQKeFVA==" saltValue="+16nLfdqD/7ADkYMjcArbQ==" spinCount="100000" sheet="1" objects="1" scenarios="1"/>
  <mergeCells count="5">
    <mergeCell ref="F1:H2"/>
    <mergeCell ref="B7:C7"/>
    <mergeCell ref="E7:F7"/>
    <mergeCell ref="H7:I7"/>
    <mergeCell ref="K7:L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AZ96"/>
  <sheetViews>
    <sheetView showGridLines="0" showRowColHeaders="0" zoomScaleNormal="100" workbookViewId="0"/>
  </sheetViews>
  <sheetFormatPr defaultColWidth="0" defaultRowHeight="14.4" x14ac:dyDescent="0.3"/>
  <cols>
    <col min="1" max="1" width="28.88671875" customWidth="1"/>
    <col min="2" max="2" width="11.109375" customWidth="1"/>
    <col min="3" max="11" width="9.109375" customWidth="1"/>
    <col min="12" max="12" width="27.88671875" bestFit="1" customWidth="1"/>
    <col min="13" max="256" width="9.109375" customWidth="1"/>
    <col min="257" max="257" width="28.88671875" customWidth="1"/>
    <col min="258" max="258" width="11.109375" customWidth="1"/>
    <col min="259" max="267" width="9.109375" customWidth="1"/>
    <col min="513" max="513" width="28.88671875" customWidth="1"/>
    <col min="514" max="514" width="11.109375" customWidth="1"/>
    <col min="515" max="523" width="9.109375" customWidth="1"/>
    <col min="769" max="769" width="28.88671875" customWidth="1"/>
    <col min="770" max="770" width="11.109375" customWidth="1"/>
    <col min="771" max="779" width="9.109375" customWidth="1"/>
    <col min="1025" max="1025" width="28.88671875" customWidth="1"/>
    <col min="1026" max="1026" width="11.109375" customWidth="1"/>
    <col min="1027" max="1035" width="9.109375" customWidth="1"/>
    <col min="1281" max="1281" width="28.88671875" customWidth="1"/>
    <col min="1282" max="1282" width="11.109375" customWidth="1"/>
    <col min="1283" max="1291" width="9.109375" customWidth="1"/>
    <col min="1537" max="1537" width="28.88671875" customWidth="1"/>
    <col min="1538" max="1538" width="11.109375" customWidth="1"/>
    <col min="1539" max="1547" width="9.109375" customWidth="1"/>
    <col min="1793" max="1793" width="28.88671875" customWidth="1"/>
    <col min="1794" max="1794" width="11.109375" customWidth="1"/>
    <col min="1795" max="1803" width="9.109375" customWidth="1"/>
    <col min="2049" max="2049" width="28.88671875" customWidth="1"/>
    <col min="2050" max="2050" width="11.109375" customWidth="1"/>
    <col min="2051" max="2059" width="9.109375" customWidth="1"/>
    <col min="2305" max="2305" width="28.88671875" customWidth="1"/>
    <col min="2306" max="2306" width="11.109375" customWidth="1"/>
    <col min="2307" max="2315" width="9.109375" customWidth="1"/>
    <col min="2561" max="2561" width="28.88671875" customWidth="1"/>
    <col min="2562" max="2562" width="11.109375" customWidth="1"/>
    <col min="2563" max="2571" width="9.109375" customWidth="1"/>
    <col min="2817" max="2817" width="28.88671875" customWidth="1"/>
    <col min="2818" max="2818" width="11.109375" customWidth="1"/>
    <col min="2819" max="2827" width="9.109375" customWidth="1"/>
    <col min="3073" max="3073" width="28.88671875" customWidth="1"/>
    <col min="3074" max="3074" width="11.109375" customWidth="1"/>
    <col min="3075" max="3083" width="9.109375" customWidth="1"/>
    <col min="3329" max="3329" width="28.88671875" customWidth="1"/>
    <col min="3330" max="3330" width="11.109375" customWidth="1"/>
    <col min="3331" max="3339" width="9.109375" customWidth="1"/>
    <col min="3585" max="3585" width="28.88671875" customWidth="1"/>
    <col min="3586" max="3586" width="11.109375" customWidth="1"/>
    <col min="3587" max="3595" width="9.109375" customWidth="1"/>
    <col min="3841" max="3841" width="28.88671875" customWidth="1"/>
    <col min="3842" max="3842" width="11.109375" customWidth="1"/>
    <col min="3843" max="3851" width="9.109375" customWidth="1"/>
    <col min="4097" max="4097" width="28.88671875" customWidth="1"/>
    <col min="4098" max="4098" width="11.109375" customWidth="1"/>
    <col min="4099" max="4107" width="9.109375" customWidth="1"/>
    <col min="4353" max="4353" width="28.88671875" customWidth="1"/>
    <col min="4354" max="4354" width="11.109375" customWidth="1"/>
    <col min="4355" max="4363" width="9.109375" customWidth="1"/>
    <col min="4609" max="4609" width="28.88671875" customWidth="1"/>
    <col min="4610" max="4610" width="11.109375" customWidth="1"/>
    <col min="4611" max="4619" width="9.109375" customWidth="1"/>
    <col min="4865" max="4865" width="28.88671875" customWidth="1"/>
    <col min="4866" max="4866" width="11.109375" customWidth="1"/>
    <col min="4867" max="4875" width="9.109375" customWidth="1"/>
    <col min="5121" max="5121" width="28.88671875" customWidth="1"/>
    <col min="5122" max="5122" width="11.109375" customWidth="1"/>
    <col min="5123" max="5131" width="9.109375" customWidth="1"/>
    <col min="5377" max="5377" width="28.88671875" customWidth="1"/>
    <col min="5378" max="5378" width="11.109375" customWidth="1"/>
    <col min="5379" max="5387" width="9.109375" customWidth="1"/>
    <col min="5633" max="5633" width="28.88671875" customWidth="1"/>
    <col min="5634" max="5634" width="11.109375" customWidth="1"/>
    <col min="5635" max="5643" width="9.109375" customWidth="1"/>
    <col min="5889" max="5889" width="28.88671875" customWidth="1"/>
    <col min="5890" max="5890" width="11.109375" customWidth="1"/>
    <col min="5891" max="5899" width="9.109375" customWidth="1"/>
    <col min="6145" max="6145" width="28.88671875" customWidth="1"/>
    <col min="6146" max="6146" width="11.109375" customWidth="1"/>
    <col min="6147" max="6155" width="9.109375" customWidth="1"/>
    <col min="6401" max="6401" width="28.88671875" customWidth="1"/>
    <col min="6402" max="6402" width="11.109375" customWidth="1"/>
    <col min="6403" max="6411" width="9.109375" customWidth="1"/>
    <col min="6657" max="6657" width="28.88671875" customWidth="1"/>
    <col min="6658" max="6658" width="11.109375" customWidth="1"/>
    <col min="6659" max="6667" width="9.109375" customWidth="1"/>
    <col min="6913" max="6913" width="28.88671875" customWidth="1"/>
    <col min="6914" max="6914" width="11.109375" customWidth="1"/>
    <col min="6915" max="6923" width="9.109375" customWidth="1"/>
    <col min="7169" max="7169" width="28.88671875" customWidth="1"/>
    <col min="7170" max="7170" width="11.109375" customWidth="1"/>
    <col min="7171" max="7179" width="9.109375" customWidth="1"/>
    <col min="7425" max="7425" width="28.88671875" customWidth="1"/>
    <col min="7426" max="7426" width="11.109375" customWidth="1"/>
    <col min="7427" max="7435" width="9.109375" customWidth="1"/>
    <col min="7681" max="7681" width="28.88671875" customWidth="1"/>
    <col min="7682" max="7682" width="11.109375" customWidth="1"/>
    <col min="7683" max="7691" width="9.109375" customWidth="1"/>
    <col min="7937" max="7937" width="28.88671875" customWidth="1"/>
    <col min="7938" max="7938" width="11.109375" customWidth="1"/>
    <col min="7939" max="7947" width="9.109375" customWidth="1"/>
    <col min="8193" max="8193" width="28.88671875" customWidth="1"/>
    <col min="8194" max="8194" width="11.109375" customWidth="1"/>
    <col min="8195" max="8203" width="9.109375" customWidth="1"/>
    <col min="8449" max="8449" width="28.88671875" customWidth="1"/>
    <col min="8450" max="8450" width="11.109375" customWidth="1"/>
    <col min="8451" max="8459" width="9.109375" customWidth="1"/>
    <col min="8705" max="8705" width="28.88671875" customWidth="1"/>
    <col min="8706" max="8706" width="11.109375" customWidth="1"/>
    <col min="8707" max="8715" width="9.109375" customWidth="1"/>
    <col min="8961" max="8961" width="28.88671875" customWidth="1"/>
    <col min="8962" max="8962" width="11.109375" customWidth="1"/>
    <col min="8963" max="8971" width="9.109375" customWidth="1"/>
    <col min="9217" max="9217" width="28.88671875" customWidth="1"/>
    <col min="9218" max="9218" width="11.109375" customWidth="1"/>
    <col min="9219" max="9227" width="9.109375" customWidth="1"/>
    <col min="9473" max="9473" width="28.88671875" customWidth="1"/>
    <col min="9474" max="9474" width="11.109375" customWidth="1"/>
    <col min="9475" max="9483" width="9.109375" customWidth="1"/>
    <col min="9729" max="9729" width="28.88671875" customWidth="1"/>
    <col min="9730" max="9730" width="11.109375" customWidth="1"/>
    <col min="9731" max="9739" width="9.109375" customWidth="1"/>
    <col min="9985" max="9985" width="28.88671875" customWidth="1"/>
    <col min="9986" max="9986" width="11.109375" customWidth="1"/>
    <col min="9987" max="9995" width="9.109375" customWidth="1"/>
    <col min="10241" max="10241" width="28.88671875" customWidth="1"/>
    <col min="10242" max="10242" width="11.109375" customWidth="1"/>
    <col min="10243" max="10251" width="9.109375" customWidth="1"/>
    <col min="10497" max="10497" width="28.88671875" customWidth="1"/>
    <col min="10498" max="10498" width="11.109375" customWidth="1"/>
    <col min="10499" max="10507" width="9.109375" customWidth="1"/>
    <col min="10753" max="10753" width="28.88671875" customWidth="1"/>
    <col min="10754" max="10754" width="11.109375" customWidth="1"/>
    <col min="10755" max="10763" width="9.109375" customWidth="1"/>
    <col min="11009" max="11009" width="28.88671875" customWidth="1"/>
    <col min="11010" max="11010" width="11.109375" customWidth="1"/>
    <col min="11011" max="11019" width="9.109375" customWidth="1"/>
    <col min="11265" max="11265" width="28.88671875" customWidth="1"/>
    <col min="11266" max="11266" width="11.109375" customWidth="1"/>
    <col min="11267" max="11275" width="9.109375" customWidth="1"/>
    <col min="11521" max="11521" width="28.88671875" customWidth="1"/>
    <col min="11522" max="11522" width="11.109375" customWidth="1"/>
    <col min="11523" max="11531" width="9.109375" customWidth="1"/>
    <col min="11777" max="11777" width="28.88671875" customWidth="1"/>
    <col min="11778" max="11778" width="11.109375" customWidth="1"/>
    <col min="11779" max="11787" width="9.109375" customWidth="1"/>
    <col min="12033" max="12033" width="28.88671875" customWidth="1"/>
    <col min="12034" max="12034" width="11.109375" customWidth="1"/>
    <col min="12035" max="12043" width="9.109375" customWidth="1"/>
    <col min="12289" max="12289" width="28.88671875" customWidth="1"/>
    <col min="12290" max="12290" width="11.109375" customWidth="1"/>
    <col min="12291" max="12299" width="9.109375" customWidth="1"/>
    <col min="12545" max="12545" width="28.88671875" customWidth="1"/>
    <col min="12546" max="12546" width="11.109375" customWidth="1"/>
    <col min="12547" max="12555" width="9.109375" customWidth="1"/>
    <col min="12801" max="12801" width="28.88671875" customWidth="1"/>
    <col min="12802" max="12802" width="11.109375" customWidth="1"/>
    <col min="12803" max="12811" width="9.109375" customWidth="1"/>
    <col min="13057" max="13057" width="28.88671875" customWidth="1"/>
    <col min="13058" max="13058" width="11.109375" customWidth="1"/>
    <col min="13059" max="13067" width="9.109375" customWidth="1"/>
    <col min="13313" max="13313" width="28.88671875" customWidth="1"/>
    <col min="13314" max="13314" width="11.109375" customWidth="1"/>
    <col min="13315" max="13323" width="9.109375" customWidth="1"/>
    <col min="13569" max="13569" width="28.88671875" customWidth="1"/>
    <col min="13570" max="13570" width="11.109375" customWidth="1"/>
    <col min="13571" max="13579" width="9.109375" customWidth="1"/>
    <col min="13825" max="13825" width="28.88671875" customWidth="1"/>
    <col min="13826" max="13826" width="11.109375" customWidth="1"/>
    <col min="13827" max="13835" width="9.109375" customWidth="1"/>
    <col min="14081" max="14081" width="28.88671875" customWidth="1"/>
    <col min="14082" max="14082" width="11.109375" customWidth="1"/>
    <col min="14083" max="14091" width="9.109375" customWidth="1"/>
    <col min="14337" max="14337" width="28.88671875" customWidth="1"/>
    <col min="14338" max="14338" width="11.109375" customWidth="1"/>
    <col min="14339" max="14347" width="9.109375" customWidth="1"/>
    <col min="14593" max="14593" width="28.88671875" customWidth="1"/>
    <col min="14594" max="14594" width="11.109375" customWidth="1"/>
    <col min="14595" max="14603" width="9.109375" customWidth="1"/>
    <col min="14849" max="14849" width="28.88671875" customWidth="1"/>
    <col min="14850" max="14850" width="11.109375" customWidth="1"/>
    <col min="14851" max="14859" width="9.109375" customWidth="1"/>
    <col min="15105" max="15105" width="28.88671875" customWidth="1"/>
    <col min="15106" max="15106" width="11.109375" customWidth="1"/>
    <col min="15107" max="15115" width="9.109375" customWidth="1"/>
    <col min="15361" max="15361" width="28.88671875" customWidth="1"/>
    <col min="15362" max="15362" width="11.109375" customWidth="1"/>
    <col min="15363" max="15371" width="9.109375" customWidth="1"/>
    <col min="15617" max="15617" width="28.88671875" customWidth="1"/>
    <col min="15618" max="15618" width="11.109375" customWidth="1"/>
    <col min="15619" max="15627" width="9.109375" customWidth="1"/>
    <col min="15873" max="15873" width="28.88671875" customWidth="1"/>
    <col min="15874" max="15874" width="11.109375" customWidth="1"/>
    <col min="15875" max="15883" width="9.109375" customWidth="1"/>
    <col min="16129" max="16129" width="28.88671875" customWidth="1"/>
    <col min="16130" max="16130" width="11.109375" customWidth="1"/>
    <col min="16131" max="16139" width="9.109375" customWidth="1"/>
  </cols>
  <sheetData>
    <row r="1" spans="1:52" x14ac:dyDescent="0.3">
      <c r="A1" s="457" t="s">
        <v>347</v>
      </c>
      <c r="B1" s="457"/>
      <c r="C1" s="457"/>
      <c r="D1" s="375"/>
      <c r="E1" s="375"/>
      <c r="F1" s="375"/>
      <c r="G1" s="375"/>
      <c r="H1" s="375"/>
      <c r="I1" s="375"/>
      <c r="J1" s="375"/>
      <c r="K1" s="375"/>
    </row>
    <row r="2" spans="1:52" s="459" customFormat="1" ht="12" x14ac:dyDescent="0.25">
      <c r="A2" s="128"/>
      <c r="B2" s="458"/>
      <c r="C2" s="128"/>
      <c r="D2" s="128"/>
      <c r="E2" s="128"/>
      <c r="F2" s="128"/>
      <c r="G2" s="128"/>
      <c r="H2" s="128"/>
      <c r="I2" s="128"/>
      <c r="J2" s="128"/>
      <c r="K2" s="128"/>
    </row>
    <row r="3" spans="1:52" s="459" customFormat="1" ht="24.75" customHeight="1" x14ac:dyDescent="0.25">
      <c r="A3" s="128"/>
      <c r="B3" s="458"/>
      <c r="C3" s="128"/>
      <c r="D3" s="128"/>
      <c r="E3" s="128"/>
      <c r="F3" s="128"/>
      <c r="G3" s="128"/>
      <c r="H3" s="128"/>
      <c r="I3" s="128"/>
      <c r="J3" s="128"/>
      <c r="K3" s="128"/>
    </row>
    <row r="4" spans="1:52" x14ac:dyDescent="0.3">
      <c r="A4" s="91" t="s">
        <v>348</v>
      </c>
      <c r="B4" s="460" t="s">
        <v>349</v>
      </c>
      <c r="C4" s="461"/>
      <c r="D4" s="461"/>
      <c r="E4" s="461"/>
      <c r="F4" s="461"/>
      <c r="G4" s="462"/>
      <c r="H4" s="128"/>
      <c r="I4" s="128"/>
      <c r="J4" s="128"/>
      <c r="K4" s="128"/>
    </row>
    <row r="5" spans="1:52" x14ac:dyDescent="0.3">
      <c r="A5" s="91" t="s">
        <v>350</v>
      </c>
      <c r="B5" s="460" t="s">
        <v>1079</v>
      </c>
      <c r="C5" s="463"/>
      <c r="D5" s="463"/>
      <c r="E5" s="463"/>
      <c r="F5" s="463"/>
      <c r="G5" s="464"/>
      <c r="H5" s="128"/>
      <c r="I5" s="128"/>
      <c r="J5" s="128"/>
      <c r="K5" s="128"/>
    </row>
    <row r="6" spans="1:52" x14ac:dyDescent="0.3">
      <c r="A6" s="91" t="s">
        <v>351</v>
      </c>
      <c r="B6" s="465">
        <v>45288</v>
      </c>
      <c r="C6" s="466" t="str">
        <f>IF(ISTEXT(B6),"ERROR - Enter as a date (ex: 3/31/97), not text","")</f>
        <v/>
      </c>
      <c r="D6" s="150"/>
      <c r="E6" s="150"/>
      <c r="F6" s="150"/>
      <c r="G6" s="150"/>
      <c r="H6" s="128"/>
      <c r="I6" s="128"/>
      <c r="J6" s="128"/>
      <c r="K6" s="128"/>
    </row>
    <row r="7" spans="1:52" s="459" customFormat="1" ht="12" x14ac:dyDescent="0.25">
      <c r="A7" s="467"/>
      <c r="B7" s="458"/>
      <c r="C7" s="128"/>
      <c r="D7" s="128"/>
      <c r="E7" s="128"/>
      <c r="F7" s="128"/>
      <c r="G7" s="128"/>
      <c r="H7" s="128"/>
      <c r="I7" s="128"/>
      <c r="J7" s="128"/>
      <c r="K7" s="128"/>
    </row>
    <row r="8" spans="1:52" s="459" customFormat="1" ht="18.600000000000001" customHeight="1" x14ac:dyDescent="0.2">
      <c r="A8" s="150"/>
      <c r="B8" s="128"/>
      <c r="C8" s="128"/>
      <c r="D8" s="128"/>
      <c r="E8" s="128"/>
      <c r="F8" s="128"/>
      <c r="G8" s="128"/>
      <c r="H8" s="128"/>
      <c r="I8" s="128"/>
      <c r="J8" s="128"/>
      <c r="K8" s="128"/>
    </row>
    <row r="9" spans="1:52" x14ac:dyDescent="0.3">
      <c r="A9" s="411" t="s">
        <v>352</v>
      </c>
      <c r="B9" s="468">
        <v>0</v>
      </c>
      <c r="C9" s="468">
        <v>4</v>
      </c>
      <c r="D9" s="468">
        <v>6</v>
      </c>
      <c r="E9" s="468">
        <v>8</v>
      </c>
      <c r="F9" s="468">
        <v>15</v>
      </c>
      <c r="G9" s="469">
        <v>25</v>
      </c>
      <c r="H9" s="470" t="s">
        <v>353</v>
      </c>
      <c r="I9" s="470"/>
      <c r="J9" s="470"/>
      <c r="K9" s="470"/>
    </row>
    <row r="10" spans="1:52" x14ac:dyDescent="0.3">
      <c r="A10" s="471"/>
      <c r="B10" s="472">
        <v>2</v>
      </c>
      <c r="C10" s="473">
        <v>3</v>
      </c>
      <c r="D10" s="472">
        <v>4</v>
      </c>
      <c r="E10" s="472">
        <v>5</v>
      </c>
      <c r="F10" s="472">
        <v>6</v>
      </c>
      <c r="G10" s="472">
        <v>7</v>
      </c>
      <c r="H10" s="470" t="s">
        <v>354</v>
      </c>
      <c r="I10" s="470"/>
      <c r="J10" s="470"/>
      <c r="K10" s="470"/>
    </row>
    <row r="11" spans="1:52" x14ac:dyDescent="0.3">
      <c r="A11" s="411" t="s">
        <v>355</v>
      </c>
      <c r="B11" s="474">
        <v>2.1999999999999999E-2</v>
      </c>
      <c r="C11" s="474">
        <v>2.1999999999999999E-2</v>
      </c>
      <c r="D11" s="474">
        <v>2.1999999999999999E-2</v>
      </c>
      <c r="E11" s="474">
        <v>2.3E-2</v>
      </c>
      <c r="F11" s="474">
        <v>2.5000000000000001E-2</v>
      </c>
      <c r="G11" s="475">
        <v>2.5000000000000001E-2</v>
      </c>
      <c r="H11" s="470" t="s">
        <v>356</v>
      </c>
      <c r="I11" s="470"/>
      <c r="J11" s="470"/>
      <c r="K11" s="470"/>
    </row>
    <row r="12" spans="1:52" x14ac:dyDescent="0.3">
      <c r="A12" s="476" t="s">
        <v>357</v>
      </c>
      <c r="B12" s="471"/>
      <c r="C12" s="471"/>
      <c r="D12" s="471"/>
      <c r="E12" s="471"/>
      <c r="F12" s="471"/>
      <c r="G12" s="471"/>
      <c r="H12" s="150"/>
      <c r="I12" s="150"/>
      <c r="J12" s="150"/>
      <c r="K12" s="150"/>
    </row>
    <row r="13" spans="1:52" ht="27.75" customHeight="1" thickBot="1" x14ac:dyDescent="0.35">
      <c r="A13" s="467"/>
      <c r="B13" s="477"/>
      <c r="C13" s="471"/>
      <c r="D13" s="471"/>
      <c r="E13" s="471"/>
      <c r="F13" s="471"/>
      <c r="G13" s="471"/>
      <c r="H13" s="150"/>
      <c r="I13" s="150"/>
      <c r="J13" s="150"/>
      <c r="K13" s="150"/>
    </row>
    <row r="14" spans="1:52" ht="15" thickTop="1" x14ac:dyDescent="0.3">
      <c r="A14" s="478"/>
      <c r="B14" s="479"/>
      <c r="C14" s="479"/>
      <c r="D14" s="479"/>
      <c r="E14" s="479"/>
      <c r="F14" s="479"/>
      <c r="G14" s="479"/>
      <c r="H14" s="480"/>
      <c r="I14" s="150"/>
      <c r="J14" s="150"/>
      <c r="K14" s="150"/>
      <c r="L14" s="411" t="s">
        <v>1075</v>
      </c>
      <c r="M14">
        <v>1</v>
      </c>
      <c r="N14">
        <v>2</v>
      </c>
      <c r="O14">
        <v>3</v>
      </c>
      <c r="P14">
        <v>4</v>
      </c>
      <c r="Q14">
        <v>5</v>
      </c>
      <c r="R14">
        <v>6</v>
      </c>
      <c r="S14">
        <v>7</v>
      </c>
      <c r="T14">
        <v>8</v>
      </c>
      <c r="U14">
        <v>9</v>
      </c>
      <c r="V14">
        <v>10</v>
      </c>
      <c r="W14">
        <v>11</v>
      </c>
      <c r="X14">
        <v>12</v>
      </c>
      <c r="Y14">
        <v>13</v>
      </c>
      <c r="Z14">
        <v>14</v>
      </c>
      <c r="AA14">
        <v>15</v>
      </c>
      <c r="AB14">
        <v>16</v>
      </c>
      <c r="AC14">
        <v>17</v>
      </c>
      <c r="AD14">
        <v>18</v>
      </c>
      <c r="AE14">
        <v>19</v>
      </c>
      <c r="AF14">
        <v>20</v>
      </c>
      <c r="AG14">
        <v>21</v>
      </c>
      <c r="AH14">
        <v>22</v>
      </c>
      <c r="AI14">
        <v>23</v>
      </c>
      <c r="AJ14">
        <v>24</v>
      </c>
      <c r="AK14">
        <v>25</v>
      </c>
      <c r="AL14">
        <v>26</v>
      </c>
      <c r="AM14">
        <v>27</v>
      </c>
      <c r="AN14">
        <v>28</v>
      </c>
      <c r="AO14">
        <v>29</v>
      </c>
      <c r="AP14">
        <v>30</v>
      </c>
      <c r="AQ14">
        <v>31</v>
      </c>
      <c r="AR14">
        <v>32</v>
      </c>
      <c r="AS14">
        <v>33</v>
      </c>
      <c r="AT14">
        <v>34</v>
      </c>
      <c r="AU14">
        <v>35</v>
      </c>
      <c r="AV14">
        <v>36</v>
      </c>
      <c r="AW14">
        <v>37</v>
      </c>
      <c r="AX14">
        <v>38</v>
      </c>
      <c r="AY14">
        <v>39</v>
      </c>
      <c r="AZ14">
        <v>40</v>
      </c>
    </row>
    <row r="15" spans="1:52" x14ac:dyDescent="0.3">
      <c r="A15" s="481"/>
      <c r="B15" s="482"/>
      <c r="C15" s="482"/>
      <c r="D15" s="482"/>
      <c r="E15" s="482"/>
      <c r="F15" s="482"/>
      <c r="G15" s="482"/>
      <c r="H15" s="483"/>
      <c r="I15" s="150"/>
      <c r="J15" s="150"/>
      <c r="K15" s="150"/>
      <c r="L15" s="411" t="s">
        <v>355</v>
      </c>
      <c r="M15" s="577">
        <f>$O$15</f>
        <v>2.1999999999999999E-2</v>
      </c>
      <c r="N15" s="577">
        <f>$O$15</f>
        <v>2.1999999999999999E-2</v>
      </c>
      <c r="O15" s="577">
        <f>IF(AND(O14&gt;=$M$17,O14&lt;=$N$17),$M$19*O14+$M$20,0)</f>
        <v>2.1999999999999999E-2</v>
      </c>
      <c r="P15" s="577">
        <f>IF(AND(P14&gt;=$M$17,P14&lt;=$N$17),$M$19*P14+$M$20,0)</f>
        <v>2.1999999999999999E-2</v>
      </c>
      <c r="Q15" s="577">
        <f>IF(AND(Q14&gt;=$M$17,Q14&lt;=$N$17),$M$19*Q14+$M$20,0)</f>
        <v>2.1999999999999999E-2</v>
      </c>
      <c r="R15" s="577">
        <f>IF(AND(R14&gt;=$N$17,R14&lt;=$O$17),$N$19*R14+$N$20,0)</f>
        <v>2.1999999999999999E-2</v>
      </c>
      <c r="S15" s="577">
        <f>IF(AND(S14&gt;=$N$17,S14&lt;=$O$17),$N$19*S14+$N$20,0)</f>
        <v>2.1999999999999999E-2</v>
      </c>
      <c r="T15" s="577">
        <f>IF(AND(T14&gt;=$O$17,T14&lt;=$P$17),$O$19*T14+$O$20,0)</f>
        <v>2.233333333333333E-2</v>
      </c>
      <c r="U15" s="577">
        <f>IF(AND(U14&gt;=$O$17,U14&lt;=$P$17),$O$19*U14+$O$20,0)</f>
        <v>2.2666666666666665E-2</v>
      </c>
      <c r="V15" s="577">
        <f>IF(AND(V14&gt;=$O$17,V14&lt;=$P$17),$O$19*V14+$O$20,0)</f>
        <v>2.3E-2</v>
      </c>
      <c r="W15" s="577">
        <f t="shared" ref="W15:AF15" si="0">IF(AND(W14&gt;=$P$17,W14&lt;=$Q$17),$P$19*W14+$P$20,0)</f>
        <v>2.3199999999999998E-2</v>
      </c>
      <c r="X15" s="577">
        <f t="shared" si="0"/>
        <v>2.3400000000000001E-2</v>
      </c>
      <c r="Y15" s="577">
        <f t="shared" si="0"/>
        <v>2.3599999999999999E-2</v>
      </c>
      <c r="Z15" s="577">
        <f t="shared" si="0"/>
        <v>2.3800000000000002E-2</v>
      </c>
      <c r="AA15" s="577">
        <f t="shared" si="0"/>
        <v>2.4E-2</v>
      </c>
      <c r="AB15" s="577">
        <f t="shared" si="0"/>
        <v>2.4199999999999999E-2</v>
      </c>
      <c r="AC15" s="577">
        <f t="shared" si="0"/>
        <v>2.4400000000000002E-2</v>
      </c>
      <c r="AD15" s="577">
        <f t="shared" si="0"/>
        <v>2.46E-2</v>
      </c>
      <c r="AE15" s="577">
        <f t="shared" si="0"/>
        <v>2.4800000000000003E-2</v>
      </c>
      <c r="AF15" s="577">
        <f t="shared" si="0"/>
        <v>2.5000000000000001E-2</v>
      </c>
      <c r="AG15" s="577">
        <f t="shared" ref="AG15:AP15" si="1">IF(AND(AG14&gt;=$Q$17,AG14&lt;=$R$17),$Q$19*AG14+$Q$20,0)</f>
        <v>2.5000000000000001E-2</v>
      </c>
      <c r="AH15" s="577">
        <f t="shared" si="1"/>
        <v>2.5000000000000001E-2</v>
      </c>
      <c r="AI15" s="577">
        <f t="shared" si="1"/>
        <v>2.5000000000000001E-2</v>
      </c>
      <c r="AJ15" s="577">
        <f t="shared" si="1"/>
        <v>2.5000000000000001E-2</v>
      </c>
      <c r="AK15" s="577">
        <f t="shared" si="1"/>
        <v>2.5000000000000001E-2</v>
      </c>
      <c r="AL15" s="577">
        <f t="shared" si="1"/>
        <v>2.5000000000000001E-2</v>
      </c>
      <c r="AM15" s="577">
        <f t="shared" si="1"/>
        <v>2.5000000000000001E-2</v>
      </c>
      <c r="AN15" s="577">
        <f t="shared" si="1"/>
        <v>2.5000000000000001E-2</v>
      </c>
      <c r="AO15" s="577">
        <f t="shared" si="1"/>
        <v>2.5000000000000001E-2</v>
      </c>
      <c r="AP15" s="577">
        <f t="shared" si="1"/>
        <v>2.5000000000000001E-2</v>
      </c>
      <c r="AQ15" s="577">
        <f>$AP$15</f>
        <v>2.5000000000000001E-2</v>
      </c>
      <c r="AR15" s="577">
        <f t="shared" ref="AR15:AZ15" si="2">$AP$15</f>
        <v>2.5000000000000001E-2</v>
      </c>
      <c r="AS15" s="577">
        <f t="shared" si="2"/>
        <v>2.5000000000000001E-2</v>
      </c>
      <c r="AT15" s="577">
        <f t="shared" si="2"/>
        <v>2.5000000000000001E-2</v>
      </c>
      <c r="AU15" s="577">
        <f t="shared" si="2"/>
        <v>2.5000000000000001E-2</v>
      </c>
      <c r="AV15" s="577">
        <f t="shared" si="2"/>
        <v>2.5000000000000001E-2</v>
      </c>
      <c r="AW15" s="577">
        <f t="shared" si="2"/>
        <v>2.5000000000000001E-2</v>
      </c>
      <c r="AX15" s="577">
        <f t="shared" si="2"/>
        <v>2.5000000000000001E-2</v>
      </c>
      <c r="AY15" s="577">
        <f t="shared" si="2"/>
        <v>2.5000000000000001E-2</v>
      </c>
      <c r="AZ15" s="577">
        <f t="shared" si="2"/>
        <v>2.5000000000000001E-2</v>
      </c>
    </row>
    <row r="16" spans="1:52" ht="27" customHeight="1" x14ac:dyDescent="0.3">
      <c r="A16" s="481"/>
      <c r="B16" s="482"/>
      <c r="C16" s="482"/>
      <c r="D16" s="482"/>
      <c r="E16" s="482"/>
      <c r="F16" s="482"/>
      <c r="G16" s="482"/>
      <c r="H16" s="483"/>
      <c r="I16" s="150"/>
      <c r="J16" s="150"/>
      <c r="K16" s="150"/>
      <c r="M16">
        <v>1.2E-2</v>
      </c>
    </row>
    <row r="17" spans="1:42" ht="15" thickBot="1" x14ac:dyDescent="0.35">
      <c r="A17" s="484"/>
      <c r="B17" s="485"/>
      <c r="C17" s="485"/>
      <c r="D17" s="485"/>
      <c r="E17" s="485"/>
      <c r="F17" s="485"/>
      <c r="G17" s="485"/>
      <c r="H17" s="486"/>
      <c r="I17" s="150"/>
      <c r="J17" s="150"/>
      <c r="K17" s="150"/>
      <c r="L17" s="411" t="s">
        <v>352</v>
      </c>
      <c r="M17" s="575">
        <v>3</v>
      </c>
      <c r="N17" s="575">
        <v>5</v>
      </c>
      <c r="O17" s="575">
        <v>7</v>
      </c>
      <c r="P17" s="575">
        <v>10</v>
      </c>
      <c r="Q17" s="575">
        <v>20</v>
      </c>
      <c r="R17" s="575">
        <v>30</v>
      </c>
    </row>
    <row r="18" spans="1:42" ht="15" thickTop="1" x14ac:dyDescent="0.3">
      <c r="A18" s="487" t="s">
        <v>358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411" t="s">
        <v>355</v>
      </c>
      <c r="M18" s="576">
        <f t="shared" ref="M18:R18" si="3">B11</f>
        <v>2.1999999999999999E-2</v>
      </c>
      <c r="N18" s="576">
        <f t="shared" si="3"/>
        <v>2.1999999999999999E-2</v>
      </c>
      <c r="O18" s="576">
        <f t="shared" si="3"/>
        <v>2.1999999999999999E-2</v>
      </c>
      <c r="P18" s="576">
        <f t="shared" si="3"/>
        <v>2.3E-2</v>
      </c>
      <c r="Q18" s="576">
        <f t="shared" si="3"/>
        <v>2.5000000000000001E-2</v>
      </c>
      <c r="R18" s="576">
        <f t="shared" si="3"/>
        <v>2.5000000000000001E-2</v>
      </c>
    </row>
    <row r="19" spans="1:42" ht="15" hidden="1" thickBot="1" x14ac:dyDescent="0.35">
      <c r="A19" s="488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411" t="s">
        <v>1073</v>
      </c>
      <c r="M19" s="575">
        <f>SLOPE(M18:N18,M17:N17)</f>
        <v>0</v>
      </c>
      <c r="N19" s="575">
        <f>SLOPE(N18:O18,N17:O17)</f>
        <v>0</v>
      </c>
      <c r="O19" s="575">
        <f>SLOPE(O18:P18,O17:P17)</f>
        <v>3.3333333333333365E-4</v>
      </c>
      <c r="P19" s="575">
        <f>SLOPE(P18:Q18,P17:Q17)</f>
        <v>2.0000000000000017E-4</v>
      </c>
      <c r="Q19" s="575">
        <f>SLOPE(Q18:R18,Q17:R17)</f>
        <v>0</v>
      </c>
    </row>
    <row r="20" spans="1:42" ht="15" hidden="1" thickBot="1" x14ac:dyDescent="0.35">
      <c r="A20" s="489" t="s">
        <v>359</v>
      </c>
      <c r="B20" s="490"/>
      <c r="C20" s="490"/>
      <c r="D20" s="490"/>
      <c r="E20" s="490"/>
      <c r="F20" s="490"/>
      <c r="G20" s="490"/>
      <c r="H20" s="490"/>
      <c r="I20" s="112"/>
      <c r="J20" s="112"/>
      <c r="K20" s="112"/>
      <c r="L20" s="411" t="s">
        <v>1074</v>
      </c>
      <c r="M20" s="575">
        <f>INTERCEPT(M18:N18,M17:N17)</f>
        <v>2.1999999999999999E-2</v>
      </c>
      <c r="N20" s="575">
        <f t="shared" ref="N20:Q20" si="4">INTERCEPT(N18:O18,N17:O17)</f>
        <v>2.1999999999999999E-2</v>
      </c>
      <c r="O20" s="575">
        <f t="shared" si="4"/>
        <v>1.9666666666666662E-2</v>
      </c>
      <c r="P20" s="575">
        <f t="shared" si="4"/>
        <v>2.0999999999999998E-2</v>
      </c>
      <c r="Q20" s="575">
        <f t="shared" si="4"/>
        <v>2.5000000000000001E-2</v>
      </c>
    </row>
    <row r="21" spans="1:42" hidden="1" x14ac:dyDescent="0.3">
      <c r="A21" s="488"/>
      <c r="B21" s="112"/>
      <c r="C21" s="112"/>
      <c r="D21" s="112"/>
      <c r="E21" s="112"/>
      <c r="F21" s="112"/>
      <c r="G21" s="112"/>
      <c r="H21" s="112"/>
      <c r="I21" s="112"/>
      <c r="J21" s="112"/>
      <c r="K21" s="112"/>
    </row>
    <row r="22" spans="1:42" hidden="1" x14ac:dyDescent="0.3">
      <c r="A22" s="112"/>
      <c r="B22" s="491" t="s">
        <v>360</v>
      </c>
      <c r="C22" s="491" t="s">
        <v>360</v>
      </c>
      <c r="D22" s="491" t="s">
        <v>360</v>
      </c>
      <c r="E22" s="491" t="s">
        <v>360</v>
      </c>
      <c r="F22" s="491" t="s">
        <v>360</v>
      </c>
      <c r="G22" s="491" t="s">
        <v>360</v>
      </c>
      <c r="H22" s="491" t="s">
        <v>360</v>
      </c>
      <c r="I22" s="491" t="s">
        <v>360</v>
      </c>
      <c r="J22" s="491" t="s">
        <v>360</v>
      </c>
      <c r="K22" s="491" t="s">
        <v>360</v>
      </c>
      <c r="L22" s="491" t="s">
        <v>360</v>
      </c>
      <c r="M22" s="491" t="s">
        <v>360</v>
      </c>
      <c r="N22" s="491" t="s">
        <v>360</v>
      </c>
      <c r="O22" s="491" t="s">
        <v>360</v>
      </c>
      <c r="P22" s="491" t="s">
        <v>360</v>
      </c>
      <c r="Q22" s="491" t="s">
        <v>360</v>
      </c>
      <c r="R22" s="491" t="s">
        <v>360</v>
      </c>
      <c r="S22" s="491" t="s">
        <v>360</v>
      </c>
      <c r="T22" s="491" t="s">
        <v>360</v>
      </c>
      <c r="U22" s="491" t="s">
        <v>360</v>
      </c>
      <c r="V22" s="491" t="s">
        <v>360</v>
      </c>
      <c r="W22" s="491" t="s">
        <v>360</v>
      </c>
      <c r="X22" s="491" t="s">
        <v>360</v>
      </c>
      <c r="Y22" s="491" t="s">
        <v>360</v>
      </c>
      <c r="Z22" s="491" t="s">
        <v>360</v>
      </c>
      <c r="AA22" s="491" t="s">
        <v>360</v>
      </c>
      <c r="AB22" s="491" t="s">
        <v>360</v>
      </c>
      <c r="AC22" s="491" t="s">
        <v>360</v>
      </c>
      <c r="AD22" s="491" t="s">
        <v>360</v>
      </c>
      <c r="AE22" s="491" t="s">
        <v>360</v>
      </c>
      <c r="AF22" s="491" t="s">
        <v>360</v>
      </c>
      <c r="AG22" s="491" t="s">
        <v>360</v>
      </c>
      <c r="AH22" s="491" t="s">
        <v>360</v>
      </c>
      <c r="AI22" s="491" t="s">
        <v>360</v>
      </c>
      <c r="AJ22" s="491" t="s">
        <v>360</v>
      </c>
      <c r="AK22" s="491" t="s">
        <v>360</v>
      </c>
      <c r="AL22" s="491" t="s">
        <v>360</v>
      </c>
      <c r="AM22" s="491" t="s">
        <v>360</v>
      </c>
      <c r="AN22" s="491" t="s">
        <v>360</v>
      </c>
      <c r="AO22" s="491" t="s">
        <v>360</v>
      </c>
      <c r="AP22" s="491"/>
    </row>
    <row r="23" spans="1:42" hidden="1" x14ac:dyDescent="0.3">
      <c r="A23" s="112"/>
      <c r="B23" s="491" t="s">
        <v>361</v>
      </c>
      <c r="C23" s="491" t="s">
        <v>361</v>
      </c>
      <c r="D23" s="491" t="s">
        <v>361</v>
      </c>
      <c r="E23" s="491" t="s">
        <v>361</v>
      </c>
      <c r="F23" s="491" t="s">
        <v>361</v>
      </c>
      <c r="G23" s="491" t="s">
        <v>361</v>
      </c>
      <c r="H23" s="491" t="s">
        <v>361</v>
      </c>
      <c r="I23" s="491" t="s">
        <v>361</v>
      </c>
      <c r="J23" s="491" t="s">
        <v>361</v>
      </c>
      <c r="K23" s="491" t="s">
        <v>361</v>
      </c>
      <c r="L23" s="491" t="s">
        <v>361</v>
      </c>
      <c r="M23" s="491" t="s">
        <v>361</v>
      </c>
      <c r="N23" s="491" t="s">
        <v>361</v>
      </c>
      <c r="O23" s="491" t="s">
        <v>361</v>
      </c>
      <c r="P23" s="491" t="s">
        <v>361</v>
      </c>
      <c r="Q23" s="491" t="s">
        <v>361</v>
      </c>
      <c r="R23" s="491" t="s">
        <v>361</v>
      </c>
      <c r="S23" s="491" t="s">
        <v>361</v>
      </c>
      <c r="T23" s="491" t="s">
        <v>361</v>
      </c>
      <c r="U23" s="491" t="s">
        <v>361</v>
      </c>
      <c r="V23" s="491" t="s">
        <v>361</v>
      </c>
      <c r="W23" s="491" t="s">
        <v>361</v>
      </c>
      <c r="X23" s="491" t="s">
        <v>361</v>
      </c>
      <c r="Y23" s="491" t="s">
        <v>361</v>
      </c>
      <c r="Z23" s="491" t="s">
        <v>361</v>
      </c>
      <c r="AA23" s="491" t="s">
        <v>361</v>
      </c>
      <c r="AB23" s="491" t="s">
        <v>361</v>
      </c>
      <c r="AC23" s="491" t="s">
        <v>361</v>
      </c>
      <c r="AD23" s="491" t="s">
        <v>361</v>
      </c>
      <c r="AE23" s="491" t="s">
        <v>361</v>
      </c>
      <c r="AF23" s="491" t="s">
        <v>361</v>
      </c>
      <c r="AG23" s="491" t="s">
        <v>361</v>
      </c>
      <c r="AH23" s="491" t="s">
        <v>361</v>
      </c>
      <c r="AI23" s="491" t="s">
        <v>361</v>
      </c>
      <c r="AJ23" s="491" t="s">
        <v>361</v>
      </c>
      <c r="AK23" s="491" t="s">
        <v>361</v>
      </c>
      <c r="AL23" s="491" t="s">
        <v>361</v>
      </c>
      <c r="AM23" s="491" t="s">
        <v>361</v>
      </c>
      <c r="AN23" s="491" t="s">
        <v>361</v>
      </c>
      <c r="AO23" s="491" t="s">
        <v>361</v>
      </c>
      <c r="AP23" s="491"/>
    </row>
    <row r="24" spans="1:42" hidden="1" x14ac:dyDescent="0.3">
      <c r="A24" s="492" t="s">
        <v>362</v>
      </c>
      <c r="B24" s="491" t="s">
        <v>363</v>
      </c>
      <c r="C24" s="491" t="s">
        <v>363</v>
      </c>
      <c r="D24" s="491" t="s">
        <v>363</v>
      </c>
      <c r="E24" s="491" t="s">
        <v>363</v>
      </c>
      <c r="F24" s="491" t="s">
        <v>363</v>
      </c>
      <c r="G24" s="491" t="s">
        <v>363</v>
      </c>
      <c r="H24" s="491" t="s">
        <v>363</v>
      </c>
      <c r="I24" s="491" t="s">
        <v>363</v>
      </c>
      <c r="J24" s="491" t="s">
        <v>363</v>
      </c>
      <c r="K24" s="491" t="s">
        <v>363</v>
      </c>
      <c r="L24" s="491" t="s">
        <v>363</v>
      </c>
      <c r="M24" s="491" t="s">
        <v>363</v>
      </c>
      <c r="N24" s="491" t="s">
        <v>363</v>
      </c>
      <c r="O24" s="491" t="s">
        <v>363</v>
      </c>
      <c r="P24" s="491" t="s">
        <v>363</v>
      </c>
      <c r="Q24" s="491" t="s">
        <v>363</v>
      </c>
      <c r="R24" s="491" t="s">
        <v>363</v>
      </c>
      <c r="S24" s="491" t="s">
        <v>363</v>
      </c>
      <c r="T24" s="491" t="s">
        <v>363</v>
      </c>
      <c r="U24" s="491" t="s">
        <v>363</v>
      </c>
      <c r="V24" s="491" t="s">
        <v>363</v>
      </c>
      <c r="W24" s="491" t="s">
        <v>363</v>
      </c>
      <c r="X24" s="491" t="s">
        <v>363</v>
      </c>
      <c r="Y24" s="491" t="s">
        <v>363</v>
      </c>
      <c r="Z24" s="491" t="s">
        <v>363</v>
      </c>
      <c r="AA24" s="491" t="s">
        <v>363</v>
      </c>
      <c r="AB24" s="491" t="s">
        <v>363</v>
      </c>
      <c r="AC24" s="491" t="s">
        <v>363</v>
      </c>
      <c r="AD24" s="491" t="s">
        <v>363</v>
      </c>
      <c r="AE24" s="491" t="s">
        <v>363</v>
      </c>
      <c r="AF24" s="491" t="s">
        <v>363</v>
      </c>
      <c r="AG24" s="491" t="s">
        <v>363</v>
      </c>
      <c r="AH24" s="491" t="s">
        <v>363</v>
      </c>
      <c r="AI24" s="491" t="s">
        <v>363</v>
      </c>
      <c r="AJ24" s="491" t="s">
        <v>363</v>
      </c>
      <c r="AK24" s="491" t="s">
        <v>363</v>
      </c>
      <c r="AL24" s="491" t="s">
        <v>363</v>
      </c>
      <c r="AM24" s="491" t="s">
        <v>363</v>
      </c>
      <c r="AN24" s="491" t="s">
        <v>363</v>
      </c>
      <c r="AO24" s="491" t="s">
        <v>363</v>
      </c>
      <c r="AP24" s="491"/>
    </row>
    <row r="25" spans="1:42" hidden="1" x14ac:dyDescent="0.3">
      <c r="A25" s="492" t="s">
        <v>364</v>
      </c>
      <c r="B25" s="491" t="s">
        <v>365</v>
      </c>
      <c r="C25" s="491" t="s">
        <v>365</v>
      </c>
      <c r="D25" s="491" t="s">
        <v>365</v>
      </c>
      <c r="E25" s="491" t="s">
        <v>365</v>
      </c>
      <c r="F25" s="491" t="s">
        <v>365</v>
      </c>
      <c r="G25" s="491" t="s">
        <v>365</v>
      </c>
      <c r="H25" s="491" t="s">
        <v>365</v>
      </c>
      <c r="I25" s="491" t="s">
        <v>365</v>
      </c>
      <c r="J25" s="491" t="s">
        <v>365</v>
      </c>
      <c r="K25" s="491" t="s">
        <v>365</v>
      </c>
      <c r="L25" s="491" t="s">
        <v>365</v>
      </c>
      <c r="M25" s="491" t="s">
        <v>365</v>
      </c>
      <c r="N25" s="491" t="s">
        <v>365</v>
      </c>
      <c r="O25" s="491" t="s">
        <v>365</v>
      </c>
      <c r="P25" s="491" t="s">
        <v>365</v>
      </c>
      <c r="Q25" s="491" t="s">
        <v>365</v>
      </c>
      <c r="R25" s="491" t="s">
        <v>365</v>
      </c>
      <c r="S25" s="491" t="s">
        <v>365</v>
      </c>
      <c r="T25" s="491" t="s">
        <v>365</v>
      </c>
      <c r="U25" s="491" t="s">
        <v>365</v>
      </c>
      <c r="V25" s="491" t="s">
        <v>365</v>
      </c>
      <c r="W25" s="491" t="s">
        <v>365</v>
      </c>
      <c r="X25" s="491" t="s">
        <v>365</v>
      </c>
      <c r="Y25" s="491" t="s">
        <v>365</v>
      </c>
      <c r="Z25" s="491" t="s">
        <v>365</v>
      </c>
      <c r="AA25" s="491" t="s">
        <v>365</v>
      </c>
      <c r="AB25" s="491" t="s">
        <v>365</v>
      </c>
      <c r="AC25" s="491" t="s">
        <v>365</v>
      </c>
      <c r="AD25" s="491" t="s">
        <v>365</v>
      </c>
      <c r="AE25" s="491" t="s">
        <v>365</v>
      </c>
      <c r="AF25" s="491" t="s">
        <v>365</v>
      </c>
      <c r="AG25" s="491" t="s">
        <v>365</v>
      </c>
      <c r="AH25" s="491" t="s">
        <v>365</v>
      </c>
      <c r="AI25" s="491" t="s">
        <v>365</v>
      </c>
      <c r="AJ25" s="491" t="s">
        <v>365</v>
      </c>
      <c r="AK25" s="491" t="s">
        <v>365</v>
      </c>
      <c r="AL25" s="491" t="s">
        <v>365</v>
      </c>
      <c r="AM25" s="491" t="s">
        <v>365</v>
      </c>
      <c r="AN25" s="491" t="s">
        <v>365</v>
      </c>
      <c r="AO25" s="491" t="s">
        <v>365</v>
      </c>
      <c r="AP25" s="491"/>
    </row>
    <row r="26" spans="1:42" hidden="1" x14ac:dyDescent="0.3">
      <c r="A26" s="492" t="s">
        <v>366</v>
      </c>
      <c r="B26" s="492" t="s">
        <v>367</v>
      </c>
      <c r="C26" s="492" t="s">
        <v>367</v>
      </c>
      <c r="D26" s="492" t="s">
        <v>367</v>
      </c>
      <c r="E26" s="492" t="s">
        <v>367</v>
      </c>
      <c r="F26" s="492" t="s">
        <v>367</v>
      </c>
      <c r="G26" s="492" t="s">
        <v>367</v>
      </c>
      <c r="H26" s="492" t="s">
        <v>367</v>
      </c>
      <c r="I26" s="492" t="s">
        <v>367</v>
      </c>
      <c r="J26" s="492" t="s">
        <v>367</v>
      </c>
      <c r="K26" s="492" t="s">
        <v>367</v>
      </c>
      <c r="L26" s="491" t="s">
        <v>367</v>
      </c>
      <c r="M26" s="492" t="s">
        <v>367</v>
      </c>
      <c r="N26" s="492" t="s">
        <v>367</v>
      </c>
      <c r="O26" s="492" t="s">
        <v>367</v>
      </c>
      <c r="P26" s="492" t="s">
        <v>367</v>
      </c>
      <c r="Q26" s="492" t="s">
        <v>367</v>
      </c>
      <c r="R26" s="492" t="s">
        <v>367</v>
      </c>
      <c r="S26" s="492" t="s">
        <v>367</v>
      </c>
      <c r="T26" s="492" t="s">
        <v>367</v>
      </c>
      <c r="U26" s="492" t="s">
        <v>367</v>
      </c>
      <c r="V26" s="492" t="s">
        <v>367</v>
      </c>
      <c r="W26" s="492" t="s">
        <v>367</v>
      </c>
      <c r="X26" s="492" t="s">
        <v>367</v>
      </c>
      <c r="Y26" s="492" t="s">
        <v>367</v>
      </c>
      <c r="Z26" s="492" t="s">
        <v>367</v>
      </c>
      <c r="AA26" s="492" t="s">
        <v>367</v>
      </c>
      <c r="AB26" s="492" t="s">
        <v>367</v>
      </c>
      <c r="AC26" s="492" t="s">
        <v>367</v>
      </c>
      <c r="AD26" s="492" t="s">
        <v>367</v>
      </c>
      <c r="AE26" s="492" t="s">
        <v>367</v>
      </c>
      <c r="AF26" s="492" t="s">
        <v>367</v>
      </c>
      <c r="AG26" s="492" t="s">
        <v>367</v>
      </c>
      <c r="AH26" s="492" t="s">
        <v>367</v>
      </c>
      <c r="AI26" s="492" t="s">
        <v>367</v>
      </c>
      <c r="AJ26" s="492" t="s">
        <v>367</v>
      </c>
      <c r="AK26" s="492" t="s">
        <v>367</v>
      </c>
      <c r="AL26" s="492" t="s">
        <v>367</v>
      </c>
      <c r="AM26" s="492" t="s">
        <v>367</v>
      </c>
      <c r="AN26" s="492" t="s">
        <v>367</v>
      </c>
      <c r="AO26" s="492" t="s">
        <v>367</v>
      </c>
      <c r="AP26" s="492"/>
    </row>
    <row r="27" spans="1:42" hidden="1" x14ac:dyDescent="0.3">
      <c r="A27" s="112">
        <v>1</v>
      </c>
      <c r="B27" s="493">
        <f>1/((1+M$15)^(+$A27-0.5))</f>
        <v>0.98917823531116333</v>
      </c>
      <c r="C27" s="493">
        <f>1/((1+N$15)^(+$A27-0.5))</f>
        <v>0.98917823531116333</v>
      </c>
      <c r="D27" s="493">
        <f>1/((1+O$15)^(+$A27-0.5))</f>
        <v>0.98917823531116333</v>
      </c>
      <c r="E27" s="493">
        <f>1/((1+P$15)^(+$A27-0.5))</f>
        <v>0.98917823531116333</v>
      </c>
      <c r="F27" s="493">
        <f t="shared" ref="F27:AO27" si="5">1/((1+Q$15)^(+$A27-0.5))</f>
        <v>0.98917823531116333</v>
      </c>
      <c r="G27" s="493">
        <f t="shared" si="5"/>
        <v>0.98917823531116333</v>
      </c>
      <c r="H27" s="493">
        <f t="shared" si="5"/>
        <v>0.98917823531116333</v>
      </c>
      <c r="I27" s="493">
        <f t="shared" si="5"/>
        <v>0.98901696063245059</v>
      </c>
      <c r="J27" s="493">
        <f t="shared" si="5"/>
        <v>0.98885576481023529</v>
      </c>
      <c r="K27" s="493">
        <f t="shared" si="5"/>
        <v>0.98869464778027649</v>
      </c>
      <c r="L27" s="578">
        <f t="shared" si="5"/>
        <v>0.98859801535588665</v>
      </c>
      <c r="M27" s="493">
        <f t="shared" si="5"/>
        <v>0.98850141125975965</v>
      </c>
      <c r="N27" s="493">
        <f t="shared" si="5"/>
        <v>0.98840483547805691</v>
      </c>
      <c r="O27" s="493">
        <f t="shared" si="5"/>
        <v>0.9883082879969497</v>
      </c>
      <c r="P27" s="493">
        <f t="shared" si="5"/>
        <v>0.98821176880261863</v>
      </c>
      <c r="Q27" s="493">
        <f t="shared" si="5"/>
        <v>0.98811527788125364</v>
      </c>
      <c r="R27" s="493">
        <f t="shared" si="5"/>
        <v>0.98801881521905455</v>
      </c>
      <c r="S27" s="493">
        <f t="shared" si="5"/>
        <v>0.98792238080223049</v>
      </c>
      <c r="T27" s="493">
        <f t="shared" si="5"/>
        <v>0.9878259746169995</v>
      </c>
      <c r="U27" s="493">
        <f t="shared" si="5"/>
        <v>0.9877295966495897</v>
      </c>
      <c r="V27" s="493">
        <f t="shared" si="5"/>
        <v>0.9877295966495897</v>
      </c>
      <c r="W27" s="493">
        <f t="shared" si="5"/>
        <v>0.9877295966495897</v>
      </c>
      <c r="X27" s="493">
        <f t="shared" si="5"/>
        <v>0.9877295966495897</v>
      </c>
      <c r="Y27" s="493">
        <f t="shared" si="5"/>
        <v>0.9877295966495897</v>
      </c>
      <c r="Z27" s="493">
        <f t="shared" si="5"/>
        <v>0.9877295966495897</v>
      </c>
      <c r="AA27" s="493">
        <f t="shared" si="5"/>
        <v>0.9877295966495897</v>
      </c>
      <c r="AB27" s="493">
        <f t="shared" si="5"/>
        <v>0.9877295966495897</v>
      </c>
      <c r="AC27" s="493">
        <f t="shared" si="5"/>
        <v>0.9877295966495897</v>
      </c>
      <c r="AD27" s="493">
        <f t="shared" si="5"/>
        <v>0.9877295966495897</v>
      </c>
      <c r="AE27" s="493">
        <f t="shared" si="5"/>
        <v>0.9877295966495897</v>
      </c>
      <c r="AF27" s="493">
        <f t="shared" si="5"/>
        <v>0.9877295966495897</v>
      </c>
      <c r="AG27" s="493">
        <f t="shared" si="5"/>
        <v>0.9877295966495897</v>
      </c>
      <c r="AH27" s="493">
        <f t="shared" si="5"/>
        <v>0.9877295966495897</v>
      </c>
      <c r="AI27" s="493">
        <f t="shared" si="5"/>
        <v>0.9877295966495897</v>
      </c>
      <c r="AJ27" s="493">
        <f t="shared" si="5"/>
        <v>0.9877295966495897</v>
      </c>
      <c r="AK27" s="493">
        <f t="shared" si="5"/>
        <v>0.9877295966495897</v>
      </c>
      <c r="AL27" s="493">
        <f t="shared" si="5"/>
        <v>0.9877295966495897</v>
      </c>
      <c r="AM27" s="493">
        <f t="shared" si="5"/>
        <v>0.9877295966495897</v>
      </c>
      <c r="AN27" s="493">
        <f t="shared" si="5"/>
        <v>0.9877295966495897</v>
      </c>
      <c r="AO27" s="493">
        <f t="shared" si="5"/>
        <v>0.9877295966495897</v>
      </c>
      <c r="AP27" s="493"/>
    </row>
    <row r="28" spans="1:42" hidden="1" x14ac:dyDescent="0.3">
      <c r="A28" s="112">
        <v>2</v>
      </c>
      <c r="B28" s="493">
        <f t="shared" ref="B28:B34" si="6">1/((1+M$15)^(+$A28-0.5))</f>
        <v>0.96788477036317355</v>
      </c>
      <c r="C28" s="493">
        <f t="shared" ref="C28:C34" si="7">1/((1+N$15)^(+$A28-0.5))</f>
        <v>0.96788477036317355</v>
      </c>
      <c r="D28" s="493">
        <f t="shared" ref="D28:D34" si="8">1/((1+O$15)^(+$A28-0.5))</f>
        <v>0.96788477036317355</v>
      </c>
      <c r="E28" s="493">
        <f t="shared" ref="E28:E34" si="9">1/((1+P$15)^(+$A28-0.5))</f>
        <v>0.96788477036317355</v>
      </c>
      <c r="F28" s="493">
        <f t="shared" ref="F28:F34" si="10">1/((1+Q$15)^(+$A28-0.5))</f>
        <v>0.96788477036317355</v>
      </c>
      <c r="G28" s="493">
        <f t="shared" ref="G28:G34" si="11">1/((1+R$15)^(+$A28-0.5))</f>
        <v>0.96788477036317355</v>
      </c>
      <c r="H28" s="493">
        <f t="shared" ref="H28:H34" si="12">1/((1+S$15)^(+$A28-0.5))</f>
        <v>0.96788477036317355</v>
      </c>
      <c r="I28" s="493">
        <f t="shared" ref="I28:I34" si="13">1/((1+T$15)^(+$A28-0.5))</f>
        <v>0.96741143850582056</v>
      </c>
      <c r="J28" s="493">
        <f t="shared" ref="J28:J34" si="14">1/((1+U$15)^(+$A28-0.5))</f>
        <v>0.96693849231770079</v>
      </c>
      <c r="K28" s="493">
        <f t="shared" ref="K28:K34" si="15">1/((1+V$15)^(+$A28-0.5))</f>
        <v>0.96646593135901904</v>
      </c>
      <c r="L28" s="578">
        <f t="shared" ref="L28:L34" si="16">1/((1+W$15)^(+$A28-0.5))</f>
        <v>0.9661825795112261</v>
      </c>
      <c r="M28" s="493">
        <f t="shared" ref="M28:M34" si="17">1/((1+X$15)^(+$A28-0.5))</f>
        <v>0.96589936609317928</v>
      </c>
      <c r="N28" s="493">
        <f t="shared" ref="N28:N34" si="18">1/((1+Y$15)^(+$A28-0.5))</f>
        <v>0.96561629101021584</v>
      </c>
      <c r="O28" s="493">
        <f t="shared" ref="O28:O34" si="19">1/((1+Z$15)^(+$A28-0.5))</f>
        <v>0.96533335416775701</v>
      </c>
      <c r="P28" s="493">
        <f t="shared" ref="P28:P34" si="20">1/((1+AA$15)^(+$A28-0.5))</f>
        <v>0.96505055547130714</v>
      </c>
      <c r="Q28" s="493">
        <f t="shared" ref="Q28:Q34" si="21">1/((1+AB$15)^(+$A28-0.5))</f>
        <v>0.96476789482645342</v>
      </c>
      <c r="R28" s="493">
        <f t="shared" ref="R28:R34" si="22">1/((1+AC$15)^(+$A28-0.5))</f>
        <v>0.96448537213886631</v>
      </c>
      <c r="S28" s="493">
        <f t="shared" ref="S28:S34" si="23">1/((1+AD$15)^(+$A28-0.5))</f>
        <v>0.96420298731429865</v>
      </c>
      <c r="T28" s="493">
        <f t="shared" ref="T28:T34" si="24">1/((1+AE$15)^(+$A28-0.5))</f>
        <v>0.96392074025858676</v>
      </c>
      <c r="U28" s="493">
        <f t="shared" ref="U28:U34" si="25">1/((1+AF$15)^(+$A28-0.5))</f>
        <v>0.96363863087764856</v>
      </c>
      <c r="V28" s="493">
        <f t="shared" ref="V28:V34" si="26">1/((1+AG$15)^(+$A28-0.5))</f>
        <v>0.96363863087764856</v>
      </c>
      <c r="W28" s="493">
        <f t="shared" ref="W28:W34" si="27">1/((1+AH$15)^(+$A28-0.5))</f>
        <v>0.96363863087764856</v>
      </c>
      <c r="X28" s="493">
        <f t="shared" ref="X28:X34" si="28">1/((1+AI$15)^(+$A28-0.5))</f>
        <v>0.96363863087764856</v>
      </c>
      <c r="Y28" s="493">
        <f t="shared" ref="Y28:Y34" si="29">1/((1+AJ$15)^(+$A28-0.5))</f>
        <v>0.96363863087764856</v>
      </c>
      <c r="Z28" s="493">
        <f t="shared" ref="Z28:Z34" si="30">1/((1+AK$15)^(+$A28-0.5))</f>
        <v>0.96363863087764856</v>
      </c>
      <c r="AA28" s="493">
        <f t="shared" ref="AA28:AA34" si="31">1/((1+AL$15)^(+$A28-0.5))</f>
        <v>0.96363863087764856</v>
      </c>
      <c r="AB28" s="493">
        <f t="shared" ref="AB28:AB34" si="32">1/((1+AM$15)^(+$A28-0.5))</f>
        <v>0.96363863087764856</v>
      </c>
      <c r="AC28" s="493">
        <f t="shared" ref="AC28:AC34" si="33">1/((1+AN$15)^(+$A28-0.5))</f>
        <v>0.96363863087764856</v>
      </c>
      <c r="AD28" s="493">
        <f t="shared" ref="AD28:AD34" si="34">1/((1+AO$15)^(+$A28-0.5))</f>
        <v>0.96363863087764856</v>
      </c>
      <c r="AE28" s="493">
        <f t="shared" ref="AE28:AE34" si="35">1/((1+AP$15)^(+$A28-0.5))</f>
        <v>0.96363863087764856</v>
      </c>
      <c r="AF28" s="493">
        <f t="shared" ref="AF28:AF34" si="36">1/((1+AQ$15)^(+$A28-0.5))</f>
        <v>0.96363863087764856</v>
      </c>
      <c r="AG28" s="493">
        <f t="shared" ref="AG28:AG34" si="37">1/((1+AR$15)^(+$A28-0.5))</f>
        <v>0.96363863087764856</v>
      </c>
      <c r="AH28" s="493">
        <f t="shared" ref="AH28:AH34" si="38">1/((1+AS$15)^(+$A28-0.5))</f>
        <v>0.96363863087764856</v>
      </c>
      <c r="AI28" s="493">
        <f t="shared" ref="AI28:AI34" si="39">1/((1+AT$15)^(+$A28-0.5))</f>
        <v>0.96363863087764856</v>
      </c>
      <c r="AJ28" s="493">
        <f t="shared" ref="AJ28:AJ34" si="40">1/((1+AU$15)^(+$A28-0.5))</f>
        <v>0.96363863087764856</v>
      </c>
      <c r="AK28" s="493">
        <f t="shared" ref="AK28:AK34" si="41">1/((1+AV$15)^(+$A28-0.5))</f>
        <v>0.96363863087764856</v>
      </c>
      <c r="AL28" s="493">
        <f t="shared" ref="AL28:AL34" si="42">1/((1+AW$15)^(+$A28-0.5))</f>
        <v>0.96363863087764856</v>
      </c>
      <c r="AM28" s="493">
        <f t="shared" ref="AM28:AM34" si="43">1/((1+AX$15)^(+$A28-0.5))</f>
        <v>0.96363863087764856</v>
      </c>
      <c r="AN28" s="493">
        <f t="shared" ref="AN28:AN34" si="44">1/((1+AY$15)^(+$A28-0.5))</f>
        <v>0.96363863087764856</v>
      </c>
      <c r="AO28" s="493">
        <f t="shared" ref="AO28:AO34" si="45">1/((1+AZ$15)^(+$A28-0.5))</f>
        <v>0.96363863087764856</v>
      </c>
    </row>
    <row r="29" spans="1:42" hidden="1" x14ac:dyDescent="0.3">
      <c r="A29" s="112">
        <v>3</v>
      </c>
      <c r="B29" s="493">
        <f t="shared" si="6"/>
        <v>0.94704967745907376</v>
      </c>
      <c r="C29" s="493">
        <f t="shared" si="7"/>
        <v>0.94704967745907376</v>
      </c>
      <c r="D29" s="493">
        <f t="shared" si="8"/>
        <v>0.94704967745907376</v>
      </c>
      <c r="E29" s="493">
        <f t="shared" si="9"/>
        <v>0.94704967745907376</v>
      </c>
      <c r="F29" s="493">
        <f t="shared" si="10"/>
        <v>0.94704967745907376</v>
      </c>
      <c r="G29" s="493">
        <f t="shared" si="11"/>
        <v>0.94704967745907376</v>
      </c>
      <c r="H29" s="493">
        <f t="shared" si="12"/>
        <v>0.94704967745907376</v>
      </c>
      <c r="I29" s="493">
        <f t="shared" si="13"/>
        <v>0.94627789876669754</v>
      </c>
      <c r="J29" s="493">
        <f t="shared" si="14"/>
        <v>0.94550700031065926</v>
      </c>
      <c r="K29" s="493">
        <f t="shared" si="15"/>
        <v>0.9447369808006052</v>
      </c>
      <c r="L29" s="578">
        <f t="shared" si="16"/>
        <v>0.9442753904527228</v>
      </c>
      <c r="M29" s="493">
        <f t="shared" si="17"/>
        <v>0.94381411578383734</v>
      </c>
      <c r="N29" s="493">
        <f t="shared" si="18"/>
        <v>0.94335315651642793</v>
      </c>
      <c r="O29" s="493">
        <f t="shared" si="19"/>
        <v>0.94289251237327298</v>
      </c>
      <c r="P29" s="493">
        <f t="shared" si="20"/>
        <v>0.94243218307744847</v>
      </c>
      <c r="Q29" s="493">
        <f t="shared" si="21"/>
        <v>0.94197216835232733</v>
      </c>
      <c r="R29" s="493">
        <f t="shared" si="22"/>
        <v>0.94151246792157983</v>
      </c>
      <c r="S29" s="493">
        <f t="shared" si="23"/>
        <v>0.94105308150917311</v>
      </c>
      <c r="T29" s="493">
        <f t="shared" si="24"/>
        <v>0.94059400883937039</v>
      </c>
      <c r="U29" s="493">
        <f t="shared" si="25"/>
        <v>0.94013524963673034</v>
      </c>
      <c r="V29" s="493">
        <f t="shared" si="26"/>
        <v>0.94013524963673034</v>
      </c>
      <c r="W29" s="493">
        <f t="shared" si="27"/>
        <v>0.94013524963673034</v>
      </c>
      <c r="X29" s="493">
        <f t="shared" si="28"/>
        <v>0.94013524963673034</v>
      </c>
      <c r="Y29" s="493">
        <f t="shared" si="29"/>
        <v>0.94013524963673034</v>
      </c>
      <c r="Z29" s="493">
        <f t="shared" si="30"/>
        <v>0.94013524963673034</v>
      </c>
      <c r="AA29" s="493">
        <f t="shared" si="31"/>
        <v>0.94013524963673034</v>
      </c>
      <c r="AB29" s="493">
        <f t="shared" si="32"/>
        <v>0.94013524963673034</v>
      </c>
      <c r="AC29" s="493">
        <f t="shared" si="33"/>
        <v>0.94013524963673034</v>
      </c>
      <c r="AD29" s="493">
        <f t="shared" si="34"/>
        <v>0.94013524963673034</v>
      </c>
      <c r="AE29" s="493">
        <f t="shared" si="35"/>
        <v>0.94013524963673034</v>
      </c>
      <c r="AF29" s="493">
        <f t="shared" si="36"/>
        <v>0.94013524963673034</v>
      </c>
      <c r="AG29" s="493">
        <f t="shared" si="37"/>
        <v>0.94013524963673034</v>
      </c>
      <c r="AH29" s="493">
        <f t="shared" si="38"/>
        <v>0.94013524963673034</v>
      </c>
      <c r="AI29" s="493">
        <f t="shared" si="39"/>
        <v>0.94013524963673034</v>
      </c>
      <c r="AJ29" s="493">
        <f t="shared" si="40"/>
        <v>0.94013524963673034</v>
      </c>
      <c r="AK29" s="493">
        <f t="shared" si="41"/>
        <v>0.94013524963673034</v>
      </c>
      <c r="AL29" s="493">
        <f t="shared" si="42"/>
        <v>0.94013524963673034</v>
      </c>
      <c r="AM29" s="493">
        <f t="shared" si="43"/>
        <v>0.94013524963673034</v>
      </c>
      <c r="AN29" s="493">
        <f t="shared" si="44"/>
        <v>0.94013524963673034</v>
      </c>
      <c r="AO29" s="493">
        <f t="shared" si="45"/>
        <v>0.94013524963673034</v>
      </c>
    </row>
    <row r="30" spans="1:42" hidden="1" x14ac:dyDescent="0.3">
      <c r="A30" s="112">
        <v>4</v>
      </c>
      <c r="B30" s="493">
        <f t="shared" si="6"/>
        <v>0.92666308949028753</v>
      </c>
      <c r="C30" s="493">
        <f t="shared" si="7"/>
        <v>0.92666308949028753</v>
      </c>
      <c r="D30" s="493">
        <f t="shared" si="8"/>
        <v>0.92666308949028753</v>
      </c>
      <c r="E30" s="493">
        <f t="shared" si="9"/>
        <v>0.92666308949028753</v>
      </c>
      <c r="F30" s="493">
        <f t="shared" si="10"/>
        <v>0.92666308949028753</v>
      </c>
      <c r="G30" s="493">
        <f t="shared" si="11"/>
        <v>0.92666308949028753</v>
      </c>
      <c r="H30" s="493">
        <f t="shared" si="12"/>
        <v>0.92666308949028753</v>
      </c>
      <c r="I30" s="493">
        <f t="shared" si="13"/>
        <v>0.92560603074668835</v>
      </c>
      <c r="J30" s="493">
        <f t="shared" si="14"/>
        <v>0.92455052181615982</v>
      </c>
      <c r="K30" s="493">
        <f t="shared" si="15"/>
        <v>0.92349655992239021</v>
      </c>
      <c r="L30" s="578">
        <f t="shared" si="16"/>
        <v>0.92286492421102695</v>
      </c>
      <c r="M30" s="493">
        <f t="shared" si="17"/>
        <v>0.92223384383802731</v>
      </c>
      <c r="N30" s="493">
        <f t="shared" si="18"/>
        <v>0.92160331820674879</v>
      </c>
      <c r="O30" s="493">
        <f t="shared" si="19"/>
        <v>0.92097334672130593</v>
      </c>
      <c r="P30" s="493">
        <f t="shared" si="20"/>
        <v>0.92034392878657068</v>
      </c>
      <c r="Q30" s="493">
        <f t="shared" si="21"/>
        <v>0.91971506380816948</v>
      </c>
      <c r="R30" s="493">
        <f t="shared" si="22"/>
        <v>0.9190867511924834</v>
      </c>
      <c r="S30" s="493">
        <f t="shared" si="23"/>
        <v>0.91845899034664569</v>
      </c>
      <c r="T30" s="493">
        <f t="shared" si="24"/>
        <v>0.91783178067854243</v>
      </c>
      <c r="U30" s="493">
        <f t="shared" si="25"/>
        <v>0.91720512159681011</v>
      </c>
      <c r="V30" s="493">
        <f t="shared" si="26"/>
        <v>0.91720512159681011</v>
      </c>
      <c r="W30" s="493">
        <f t="shared" si="27"/>
        <v>0.91720512159681011</v>
      </c>
      <c r="X30" s="493">
        <f t="shared" si="28"/>
        <v>0.91720512159681011</v>
      </c>
      <c r="Y30" s="493">
        <f t="shared" si="29"/>
        <v>0.91720512159681011</v>
      </c>
      <c r="Z30" s="493">
        <f t="shared" si="30"/>
        <v>0.91720512159681011</v>
      </c>
      <c r="AA30" s="493">
        <f t="shared" si="31"/>
        <v>0.91720512159681011</v>
      </c>
      <c r="AB30" s="493">
        <f t="shared" si="32"/>
        <v>0.91720512159681011</v>
      </c>
      <c r="AC30" s="493">
        <f t="shared" si="33"/>
        <v>0.91720512159681011</v>
      </c>
      <c r="AD30" s="493">
        <f t="shared" si="34"/>
        <v>0.91720512159681011</v>
      </c>
      <c r="AE30" s="493">
        <f t="shared" si="35"/>
        <v>0.91720512159681011</v>
      </c>
      <c r="AF30" s="493">
        <f t="shared" si="36"/>
        <v>0.91720512159681011</v>
      </c>
      <c r="AG30" s="493">
        <f t="shared" si="37"/>
        <v>0.91720512159681011</v>
      </c>
      <c r="AH30" s="493">
        <f t="shared" si="38"/>
        <v>0.91720512159681011</v>
      </c>
      <c r="AI30" s="493">
        <f t="shared" si="39"/>
        <v>0.91720512159681011</v>
      </c>
      <c r="AJ30" s="493">
        <f t="shared" si="40"/>
        <v>0.91720512159681011</v>
      </c>
      <c r="AK30" s="493">
        <f t="shared" si="41"/>
        <v>0.91720512159681011</v>
      </c>
      <c r="AL30" s="493">
        <f t="shared" si="42"/>
        <v>0.91720512159681011</v>
      </c>
      <c r="AM30" s="493">
        <f t="shared" si="43"/>
        <v>0.91720512159681011</v>
      </c>
      <c r="AN30" s="493">
        <f t="shared" si="44"/>
        <v>0.91720512159681011</v>
      </c>
      <c r="AO30" s="493">
        <f t="shared" si="45"/>
        <v>0.91720512159681011</v>
      </c>
    </row>
    <row r="31" spans="1:42" hidden="1" x14ac:dyDescent="0.3">
      <c r="A31" s="112">
        <v>5</v>
      </c>
      <c r="B31" s="493">
        <f t="shared" si="6"/>
        <v>0.906715351751749</v>
      </c>
      <c r="C31" s="493">
        <f t="shared" si="7"/>
        <v>0.906715351751749</v>
      </c>
      <c r="D31" s="493">
        <f t="shared" si="8"/>
        <v>0.906715351751749</v>
      </c>
      <c r="E31" s="493">
        <f t="shared" si="9"/>
        <v>0.906715351751749</v>
      </c>
      <c r="F31" s="493">
        <f t="shared" si="10"/>
        <v>0.906715351751749</v>
      </c>
      <c r="G31" s="493">
        <f t="shared" si="11"/>
        <v>0.906715351751749</v>
      </c>
      <c r="H31" s="493">
        <f t="shared" si="12"/>
        <v>0.906715351751749</v>
      </c>
      <c r="I31" s="493">
        <f t="shared" si="13"/>
        <v>0.90538574901860613</v>
      </c>
      <c r="J31" s="493">
        <f t="shared" si="14"/>
        <v>0.90405852850341561</v>
      </c>
      <c r="K31" s="493">
        <f t="shared" si="15"/>
        <v>0.90273368516362684</v>
      </c>
      <c r="L31" s="578">
        <f t="shared" si="16"/>
        <v>0.90193991811085494</v>
      </c>
      <c r="M31" s="493">
        <f t="shared" si="17"/>
        <v>0.90114700394569802</v>
      </c>
      <c r="N31" s="493">
        <f t="shared" si="18"/>
        <v>0.9003549415853348</v>
      </c>
      <c r="O31" s="493">
        <f t="shared" si="19"/>
        <v>0.89956372994853084</v>
      </c>
      <c r="P31" s="493">
        <f t="shared" si="20"/>
        <v>0.89877336795563534</v>
      </c>
      <c r="Q31" s="493">
        <f t="shared" si="21"/>
        <v>0.89798385452857798</v>
      </c>
      <c r="R31" s="493">
        <f t="shared" si="22"/>
        <v>0.89719518859086622</v>
      </c>
      <c r="S31" s="493">
        <f t="shared" si="23"/>
        <v>0.89640736906758334</v>
      </c>
      <c r="T31" s="493">
        <f t="shared" si="24"/>
        <v>0.89562039488538514</v>
      </c>
      <c r="U31" s="493">
        <f t="shared" si="25"/>
        <v>0.89483426497249785</v>
      </c>
      <c r="V31" s="493">
        <f t="shared" si="26"/>
        <v>0.89483426497249785</v>
      </c>
      <c r="W31" s="493">
        <f t="shared" si="27"/>
        <v>0.89483426497249785</v>
      </c>
      <c r="X31" s="493">
        <f t="shared" si="28"/>
        <v>0.89483426497249785</v>
      </c>
      <c r="Y31" s="493">
        <f t="shared" si="29"/>
        <v>0.89483426497249785</v>
      </c>
      <c r="Z31" s="493">
        <f t="shared" si="30"/>
        <v>0.89483426497249785</v>
      </c>
      <c r="AA31" s="493">
        <f t="shared" si="31"/>
        <v>0.89483426497249785</v>
      </c>
      <c r="AB31" s="493">
        <f t="shared" si="32"/>
        <v>0.89483426497249785</v>
      </c>
      <c r="AC31" s="493">
        <f t="shared" si="33"/>
        <v>0.89483426497249785</v>
      </c>
      <c r="AD31" s="493">
        <f t="shared" si="34"/>
        <v>0.89483426497249785</v>
      </c>
      <c r="AE31" s="493">
        <f t="shared" si="35"/>
        <v>0.89483426497249785</v>
      </c>
      <c r="AF31" s="493">
        <f t="shared" si="36"/>
        <v>0.89483426497249785</v>
      </c>
      <c r="AG31" s="493">
        <f t="shared" si="37"/>
        <v>0.89483426497249785</v>
      </c>
      <c r="AH31" s="493">
        <f t="shared" si="38"/>
        <v>0.89483426497249785</v>
      </c>
      <c r="AI31" s="493">
        <f t="shared" si="39"/>
        <v>0.89483426497249785</v>
      </c>
      <c r="AJ31" s="493">
        <f t="shared" si="40"/>
        <v>0.89483426497249785</v>
      </c>
      <c r="AK31" s="493">
        <f t="shared" si="41"/>
        <v>0.89483426497249785</v>
      </c>
      <c r="AL31" s="493">
        <f t="shared" si="42"/>
        <v>0.89483426497249785</v>
      </c>
      <c r="AM31" s="493">
        <f t="shared" si="43"/>
        <v>0.89483426497249785</v>
      </c>
      <c r="AN31" s="493">
        <f t="shared" si="44"/>
        <v>0.89483426497249785</v>
      </c>
      <c r="AO31" s="493">
        <f t="shared" si="45"/>
        <v>0.89483426497249785</v>
      </c>
    </row>
    <row r="32" spans="1:42" hidden="1" x14ac:dyDescent="0.3">
      <c r="A32" s="112">
        <v>6</v>
      </c>
      <c r="B32" s="493">
        <f t="shared" si="6"/>
        <v>0.88719701736961731</v>
      </c>
      <c r="C32" s="493">
        <f t="shared" si="7"/>
        <v>0.88719701736961731</v>
      </c>
      <c r="D32" s="493">
        <f t="shared" si="8"/>
        <v>0.88719701736961731</v>
      </c>
      <c r="E32" s="493">
        <f t="shared" si="9"/>
        <v>0.88719701736961731</v>
      </c>
      <c r="F32" s="493">
        <f t="shared" si="10"/>
        <v>0.88719701736961731</v>
      </c>
      <c r="G32" s="493">
        <f t="shared" si="11"/>
        <v>0.88719701736961731</v>
      </c>
      <c r="H32" s="493">
        <f t="shared" si="12"/>
        <v>0.88719701736961731</v>
      </c>
      <c r="I32" s="493">
        <f t="shared" si="13"/>
        <v>0.88560718847597597</v>
      </c>
      <c r="J32" s="493">
        <f t="shared" si="14"/>
        <v>0.88402072539447429</v>
      </c>
      <c r="K32" s="493">
        <f t="shared" si="15"/>
        <v>0.88243761990579372</v>
      </c>
      <c r="L32" s="578">
        <f t="shared" si="16"/>
        <v>0.88148936484641804</v>
      </c>
      <c r="M32" s="493">
        <f t="shared" si="17"/>
        <v>0.88054231380271442</v>
      </c>
      <c r="N32" s="493">
        <f t="shared" si="18"/>
        <v>0.87959646501107336</v>
      </c>
      <c r="O32" s="493">
        <f t="shared" si="19"/>
        <v>0.87865181671081349</v>
      </c>
      <c r="P32" s="493">
        <f t="shared" si="20"/>
        <v>0.87770836714417522</v>
      </c>
      <c r="Q32" s="493">
        <f t="shared" si="21"/>
        <v>0.87676611455631515</v>
      </c>
      <c r="R32" s="493">
        <f t="shared" si="22"/>
        <v>0.87582505719530079</v>
      </c>
      <c r="S32" s="493">
        <f t="shared" si="23"/>
        <v>0.87488519331210546</v>
      </c>
      <c r="T32" s="493">
        <f t="shared" si="24"/>
        <v>0.87394652116060212</v>
      </c>
      <c r="U32" s="493">
        <f t="shared" si="25"/>
        <v>0.87300903899755899</v>
      </c>
      <c r="V32" s="493">
        <f t="shared" si="26"/>
        <v>0.87300903899755899</v>
      </c>
      <c r="W32" s="493">
        <f t="shared" si="27"/>
        <v>0.87300903899755899</v>
      </c>
      <c r="X32" s="493">
        <f t="shared" si="28"/>
        <v>0.87300903899755899</v>
      </c>
      <c r="Y32" s="493">
        <f t="shared" si="29"/>
        <v>0.87300903899755899</v>
      </c>
      <c r="Z32" s="493">
        <f t="shared" si="30"/>
        <v>0.87300903899755899</v>
      </c>
      <c r="AA32" s="493">
        <f t="shared" si="31"/>
        <v>0.87300903899755899</v>
      </c>
      <c r="AB32" s="493">
        <f t="shared" si="32"/>
        <v>0.87300903899755899</v>
      </c>
      <c r="AC32" s="493">
        <f t="shared" si="33"/>
        <v>0.87300903899755899</v>
      </c>
      <c r="AD32" s="493">
        <f t="shared" si="34"/>
        <v>0.87300903899755899</v>
      </c>
      <c r="AE32" s="493">
        <f t="shared" si="35"/>
        <v>0.87300903899755899</v>
      </c>
      <c r="AF32" s="493">
        <f t="shared" si="36"/>
        <v>0.87300903899755899</v>
      </c>
      <c r="AG32" s="493">
        <f t="shared" si="37"/>
        <v>0.87300903899755899</v>
      </c>
      <c r="AH32" s="493">
        <f t="shared" si="38"/>
        <v>0.87300903899755899</v>
      </c>
      <c r="AI32" s="493">
        <f t="shared" si="39"/>
        <v>0.87300903899755899</v>
      </c>
      <c r="AJ32" s="493">
        <f t="shared" si="40"/>
        <v>0.87300903899755899</v>
      </c>
      <c r="AK32" s="493">
        <f t="shared" si="41"/>
        <v>0.87300903899755899</v>
      </c>
      <c r="AL32" s="493">
        <f t="shared" si="42"/>
        <v>0.87300903899755899</v>
      </c>
      <c r="AM32" s="493">
        <f t="shared" si="43"/>
        <v>0.87300903899755899</v>
      </c>
      <c r="AN32" s="493">
        <f t="shared" si="44"/>
        <v>0.87300903899755899</v>
      </c>
      <c r="AO32" s="493">
        <f t="shared" si="45"/>
        <v>0.87300903899755899</v>
      </c>
    </row>
    <row r="33" spans="1:41" hidden="1" x14ac:dyDescent="0.3">
      <c r="A33" s="112">
        <v>7</v>
      </c>
      <c r="B33" s="493">
        <f t="shared" si="6"/>
        <v>0.86809884282741423</v>
      </c>
      <c r="C33" s="493">
        <f t="shared" si="7"/>
        <v>0.86809884282741423</v>
      </c>
      <c r="D33" s="493">
        <f t="shared" si="8"/>
        <v>0.86809884282741423</v>
      </c>
      <c r="E33" s="493">
        <f t="shared" si="9"/>
        <v>0.86809884282741423</v>
      </c>
      <c r="F33" s="493">
        <f t="shared" si="10"/>
        <v>0.86809884282741423</v>
      </c>
      <c r="G33" s="493">
        <f t="shared" si="11"/>
        <v>0.86809884282741423</v>
      </c>
      <c r="H33" s="493">
        <f t="shared" si="12"/>
        <v>0.86809884282741423</v>
      </c>
      <c r="I33" s="493">
        <f t="shared" si="13"/>
        <v>0.86626069952002871</v>
      </c>
      <c r="J33" s="493">
        <f t="shared" si="14"/>
        <v>0.8644270456921197</v>
      </c>
      <c r="K33" s="493">
        <f t="shared" si="15"/>
        <v>0.86259786892061963</v>
      </c>
      <c r="L33" s="578">
        <f t="shared" si="16"/>
        <v>0.86150250669118245</v>
      </c>
      <c r="M33" s="493">
        <f t="shared" si="17"/>
        <v>0.86040874907437404</v>
      </c>
      <c r="N33" s="493">
        <f t="shared" si="18"/>
        <v>0.85931659340667577</v>
      </c>
      <c r="O33" s="493">
        <f t="shared" si="19"/>
        <v>0.85822603702951106</v>
      </c>
      <c r="P33" s="493">
        <f t="shared" si="20"/>
        <v>0.8571370772892335</v>
      </c>
      <c r="Q33" s="493">
        <f t="shared" si="21"/>
        <v>0.85604971153711695</v>
      </c>
      <c r="R33" s="493">
        <f t="shared" si="22"/>
        <v>0.85496393712934482</v>
      </c>
      <c r="S33" s="493">
        <f t="shared" si="23"/>
        <v>0.85387975142700134</v>
      </c>
      <c r="T33" s="493">
        <f t="shared" si="24"/>
        <v>0.85279715179606008</v>
      </c>
      <c r="U33" s="493">
        <f t="shared" si="25"/>
        <v>0.85171613560737458</v>
      </c>
      <c r="V33" s="493">
        <f t="shared" si="26"/>
        <v>0.85171613560737458</v>
      </c>
      <c r="W33" s="493">
        <f t="shared" si="27"/>
        <v>0.85171613560737458</v>
      </c>
      <c r="X33" s="493">
        <f t="shared" si="28"/>
        <v>0.85171613560737458</v>
      </c>
      <c r="Y33" s="493">
        <f t="shared" si="29"/>
        <v>0.85171613560737458</v>
      </c>
      <c r="Z33" s="493">
        <f t="shared" si="30"/>
        <v>0.85171613560737458</v>
      </c>
      <c r="AA33" s="493">
        <f t="shared" si="31"/>
        <v>0.85171613560737458</v>
      </c>
      <c r="AB33" s="493">
        <f t="shared" si="32"/>
        <v>0.85171613560737458</v>
      </c>
      <c r="AC33" s="493">
        <f t="shared" si="33"/>
        <v>0.85171613560737458</v>
      </c>
      <c r="AD33" s="493">
        <f t="shared" si="34"/>
        <v>0.85171613560737458</v>
      </c>
      <c r="AE33" s="493">
        <f t="shared" si="35"/>
        <v>0.85171613560737458</v>
      </c>
      <c r="AF33" s="493">
        <f t="shared" si="36"/>
        <v>0.85171613560737458</v>
      </c>
      <c r="AG33" s="493">
        <f t="shared" si="37"/>
        <v>0.85171613560737458</v>
      </c>
      <c r="AH33" s="493">
        <f t="shared" si="38"/>
        <v>0.85171613560737458</v>
      </c>
      <c r="AI33" s="493">
        <f t="shared" si="39"/>
        <v>0.85171613560737458</v>
      </c>
      <c r="AJ33" s="493">
        <f t="shared" si="40"/>
        <v>0.85171613560737458</v>
      </c>
      <c r="AK33" s="493">
        <f t="shared" si="41"/>
        <v>0.85171613560737458</v>
      </c>
      <c r="AL33" s="493">
        <f t="shared" si="42"/>
        <v>0.85171613560737458</v>
      </c>
      <c r="AM33" s="493">
        <f t="shared" si="43"/>
        <v>0.85171613560737458</v>
      </c>
      <c r="AN33" s="493">
        <f t="shared" si="44"/>
        <v>0.85171613560737458</v>
      </c>
      <c r="AO33" s="493">
        <f t="shared" si="45"/>
        <v>0.85171613560737458</v>
      </c>
    </row>
    <row r="34" spans="1:41" hidden="1" x14ac:dyDescent="0.3">
      <c r="A34" s="112">
        <v>8</v>
      </c>
      <c r="B34" s="493">
        <f t="shared" si="6"/>
        <v>0.84941178358846792</v>
      </c>
      <c r="C34" s="493">
        <f t="shared" si="7"/>
        <v>0.84941178358846792</v>
      </c>
      <c r="D34" s="493">
        <f t="shared" si="8"/>
        <v>0.84941178358846792</v>
      </c>
      <c r="E34" s="493">
        <f t="shared" si="9"/>
        <v>0.84941178358846792</v>
      </c>
      <c r="F34" s="493">
        <f t="shared" si="10"/>
        <v>0.84941178358846792</v>
      </c>
      <c r="G34" s="493">
        <f t="shared" si="11"/>
        <v>0.84941178358846792</v>
      </c>
      <c r="H34" s="493">
        <f t="shared" si="12"/>
        <v>0.84941178358846792</v>
      </c>
      <c r="I34" s="493">
        <f t="shared" si="13"/>
        <v>0.84733684335183757</v>
      </c>
      <c r="J34" s="493">
        <f t="shared" si="14"/>
        <v>0.84526764572241164</v>
      </c>
      <c r="K34" s="493">
        <f t="shared" si="15"/>
        <v>0.84320417294293226</v>
      </c>
      <c r="L34" s="578">
        <f t="shared" si="16"/>
        <v>0.84196882983891941</v>
      </c>
      <c r="M34" s="493">
        <f t="shared" si="17"/>
        <v>0.84073553749694541</v>
      </c>
      <c r="N34" s="493">
        <f t="shared" si="18"/>
        <v>0.83950429211281319</v>
      </c>
      <c r="O34" s="493">
        <f t="shared" si="19"/>
        <v>0.838275089890126</v>
      </c>
      <c r="P34" s="493">
        <f t="shared" si="20"/>
        <v>0.83704792704026709</v>
      </c>
      <c r="Q34" s="493">
        <f t="shared" si="21"/>
        <v>0.83582279978238316</v>
      </c>
      <c r="R34" s="493">
        <f t="shared" si="22"/>
        <v>0.83459970434336672</v>
      </c>
      <c r="S34" s="493">
        <f t="shared" si="23"/>
        <v>0.83337863695783854</v>
      </c>
      <c r="T34" s="493">
        <f t="shared" si="24"/>
        <v>0.83215959386813043</v>
      </c>
      <c r="U34" s="493">
        <f t="shared" si="25"/>
        <v>0.83094257132426796</v>
      </c>
      <c r="V34" s="493">
        <f t="shared" si="26"/>
        <v>0.83094257132426796</v>
      </c>
      <c r="W34" s="493">
        <f t="shared" si="27"/>
        <v>0.83094257132426796</v>
      </c>
      <c r="X34" s="493">
        <f t="shared" si="28"/>
        <v>0.83094257132426796</v>
      </c>
      <c r="Y34" s="493">
        <f t="shared" si="29"/>
        <v>0.83094257132426796</v>
      </c>
      <c r="Z34" s="493">
        <f t="shared" si="30"/>
        <v>0.83094257132426796</v>
      </c>
      <c r="AA34" s="493">
        <f t="shared" si="31"/>
        <v>0.83094257132426796</v>
      </c>
      <c r="AB34" s="493">
        <f t="shared" si="32"/>
        <v>0.83094257132426796</v>
      </c>
      <c r="AC34" s="493">
        <f t="shared" si="33"/>
        <v>0.83094257132426796</v>
      </c>
      <c r="AD34" s="493">
        <f t="shared" si="34"/>
        <v>0.83094257132426796</v>
      </c>
      <c r="AE34" s="493">
        <f t="shared" si="35"/>
        <v>0.83094257132426796</v>
      </c>
      <c r="AF34" s="493">
        <f t="shared" si="36"/>
        <v>0.83094257132426796</v>
      </c>
      <c r="AG34" s="493">
        <f t="shared" si="37"/>
        <v>0.83094257132426796</v>
      </c>
      <c r="AH34" s="493">
        <f t="shared" si="38"/>
        <v>0.83094257132426796</v>
      </c>
      <c r="AI34" s="493">
        <f t="shared" si="39"/>
        <v>0.83094257132426796</v>
      </c>
      <c r="AJ34" s="493">
        <f t="shared" si="40"/>
        <v>0.83094257132426796</v>
      </c>
      <c r="AK34" s="493">
        <f t="shared" si="41"/>
        <v>0.83094257132426796</v>
      </c>
      <c r="AL34" s="493">
        <f t="shared" si="42"/>
        <v>0.83094257132426796</v>
      </c>
      <c r="AM34" s="493">
        <f t="shared" si="43"/>
        <v>0.83094257132426796</v>
      </c>
      <c r="AN34" s="493">
        <f t="shared" si="44"/>
        <v>0.83094257132426796</v>
      </c>
      <c r="AO34" s="493">
        <f t="shared" si="45"/>
        <v>0.83094257132426796</v>
      </c>
    </row>
    <row r="35" spans="1:41" hidden="1" x14ac:dyDescent="0.3">
      <c r="A35" s="112">
        <v>9</v>
      </c>
      <c r="B35" s="493">
        <f t="shared" ref="B35:B86" si="46">1/((1+M$15)^(+$A35-0.5))</f>
        <v>0.83112698981259103</v>
      </c>
      <c r="C35" s="493">
        <f t="shared" ref="C35:C86" si="47">1/((1+N$15)^(+$A35-0.5))</f>
        <v>0.83112698981259103</v>
      </c>
      <c r="D35" s="493">
        <f t="shared" ref="D35:D86" si="48">1/((1+O$15)^(+$A35-0.5))</f>
        <v>0.83112698981259103</v>
      </c>
      <c r="E35" s="493">
        <f t="shared" ref="E35:E86" si="49">1/((1+P$15)^(+$A35-0.5))</f>
        <v>0.83112698981259103</v>
      </c>
      <c r="F35" s="493">
        <f t="shared" ref="F35:F86" si="50">1/((1+Q$15)^(+$A35-0.5))</f>
        <v>0.83112698981259103</v>
      </c>
      <c r="G35" s="493">
        <f t="shared" ref="G35:G86" si="51">1/((1+R$15)^(+$A35-0.5))</f>
        <v>0.83112698981259103</v>
      </c>
      <c r="H35" s="493">
        <f t="shared" ref="H35:H86" si="52">1/((1+S$15)^(+$A35-0.5))</f>
        <v>0.83112698981259103</v>
      </c>
      <c r="I35" s="493">
        <f t="shared" ref="I35:I86" si="53">1/((1+T$15)^(+$A35-0.5))</f>
        <v>0.82882638736730119</v>
      </c>
      <c r="J35" s="493">
        <f t="shared" ref="J35:J86" si="54">1/((1+U$15)^(+$A35-0.5))</f>
        <v>0.82653289998932056</v>
      </c>
      <c r="K35" s="493">
        <f t="shared" ref="K35:K86" si="55">1/((1+V$15)^(+$A35-0.5))</f>
        <v>0.82424650336552518</v>
      </c>
      <c r="L35" s="578">
        <f t="shared" ref="L35:L86" si="56">1/((1+W$15)^(+$A35-0.5))</f>
        <v>0.82287805887306431</v>
      </c>
      <c r="M35" s="493">
        <f t="shared" ref="M35:M86" si="57">1/((1+X$15)^(+$A35-0.5))</f>
        <v>0.82151215311407599</v>
      </c>
      <c r="N35" s="493">
        <f t="shared" ref="N35:N86" si="58">1/((1+Y$15)^(+$A35-0.5))</f>
        <v>0.82014878088395204</v>
      </c>
      <c r="O35" s="493">
        <f t="shared" ref="O35:O86" si="59">1/((1+Z$15)^(+$A35-0.5))</f>
        <v>0.81878793698976948</v>
      </c>
      <c r="P35" s="493">
        <f t="shared" ref="P35:P86" si="60">1/((1+AA$15)^(+$A35-0.5))</f>
        <v>0.81742961625026089</v>
      </c>
      <c r="Q35" s="493">
        <f t="shared" ref="Q35:Q86" si="61">1/((1+AB$15)^(+$A35-0.5))</f>
        <v>0.81607381349578512</v>
      </c>
      <c r="R35" s="493">
        <f t="shared" ref="R35:R86" si="62">1/((1+AC$15)^(+$A35-0.5))</f>
        <v>0.81472052356830016</v>
      </c>
      <c r="S35" s="493">
        <f t="shared" ref="S35:S86" si="63">1/((1+AD$15)^(+$A35-0.5))</f>
        <v>0.81336974132133366</v>
      </c>
      <c r="T35" s="493">
        <f t="shared" ref="T35:T86" si="64">1/((1+AE$15)^(+$A35-0.5))</f>
        <v>0.81202146161995548</v>
      </c>
      <c r="U35" s="493">
        <f t="shared" ref="U35:U86" si="65">1/((1+AF$15)^(+$A35-0.5))</f>
        <v>0.81067567934074936</v>
      </c>
      <c r="V35" s="493">
        <f t="shared" ref="V35:V86" si="66">1/((1+AG$15)^(+$A35-0.5))</f>
        <v>0.81067567934074936</v>
      </c>
      <c r="W35" s="493">
        <f t="shared" ref="W35:W86" si="67">1/((1+AH$15)^(+$A35-0.5))</f>
        <v>0.81067567934074936</v>
      </c>
      <c r="X35" s="493">
        <f t="shared" ref="X35:X86" si="68">1/((1+AI$15)^(+$A35-0.5))</f>
        <v>0.81067567934074936</v>
      </c>
      <c r="Y35" s="493">
        <f t="shared" ref="Y35:Y86" si="69">1/((1+AJ$15)^(+$A35-0.5))</f>
        <v>0.81067567934074936</v>
      </c>
      <c r="Z35" s="493">
        <f t="shared" ref="Z35:Z86" si="70">1/((1+AK$15)^(+$A35-0.5))</f>
        <v>0.81067567934074936</v>
      </c>
      <c r="AA35" s="493">
        <f t="shared" ref="AA35:AA86" si="71">1/((1+AL$15)^(+$A35-0.5))</f>
        <v>0.81067567934074936</v>
      </c>
      <c r="AB35" s="493">
        <f t="shared" ref="AB35:AB86" si="72">1/((1+AM$15)^(+$A35-0.5))</f>
        <v>0.81067567934074936</v>
      </c>
      <c r="AC35" s="493">
        <f t="shared" ref="AC35:AC86" si="73">1/((1+AN$15)^(+$A35-0.5))</f>
        <v>0.81067567934074936</v>
      </c>
      <c r="AD35" s="493">
        <f t="shared" ref="AD35:AD86" si="74">1/((1+AO$15)^(+$A35-0.5))</f>
        <v>0.81067567934074936</v>
      </c>
      <c r="AE35" s="493">
        <f t="shared" ref="AE35:AE86" si="75">1/((1+AP$15)^(+$A35-0.5))</f>
        <v>0.81067567934074936</v>
      </c>
      <c r="AF35" s="493">
        <f t="shared" ref="AF35:AF86" si="76">1/((1+AQ$15)^(+$A35-0.5))</f>
        <v>0.81067567934074936</v>
      </c>
      <c r="AG35" s="493">
        <f t="shared" ref="AG35:AG86" si="77">1/((1+AR$15)^(+$A35-0.5))</f>
        <v>0.81067567934074936</v>
      </c>
      <c r="AH35" s="493">
        <f t="shared" ref="AH35:AH86" si="78">1/((1+AS$15)^(+$A35-0.5))</f>
        <v>0.81067567934074936</v>
      </c>
      <c r="AI35" s="493">
        <f t="shared" ref="AI35:AI86" si="79">1/((1+AT$15)^(+$A35-0.5))</f>
        <v>0.81067567934074936</v>
      </c>
      <c r="AJ35" s="493">
        <f t="shared" ref="AJ35:AJ86" si="80">1/((1+AU$15)^(+$A35-0.5))</f>
        <v>0.81067567934074936</v>
      </c>
      <c r="AK35" s="493">
        <f t="shared" ref="AK35:AK86" si="81">1/((1+AV$15)^(+$A35-0.5))</f>
        <v>0.81067567934074936</v>
      </c>
      <c r="AL35" s="493">
        <f t="shared" ref="AL35:AL86" si="82">1/((1+AW$15)^(+$A35-0.5))</f>
        <v>0.81067567934074936</v>
      </c>
      <c r="AM35" s="493">
        <f t="shared" ref="AM35:AM86" si="83">1/((1+AX$15)^(+$A35-0.5))</f>
        <v>0.81067567934074936</v>
      </c>
      <c r="AN35" s="493">
        <f t="shared" ref="AN35:AN86" si="84">1/((1+AY$15)^(+$A35-0.5))</f>
        <v>0.81067567934074936</v>
      </c>
      <c r="AO35" s="493">
        <f t="shared" ref="AO35:AO86" si="85">1/((1+AZ$15)^(+$A35-0.5))</f>
        <v>0.81067567934074936</v>
      </c>
    </row>
    <row r="36" spans="1:41" hidden="1" x14ac:dyDescent="0.3">
      <c r="A36" s="112">
        <v>10</v>
      </c>
      <c r="B36" s="493">
        <f t="shared" si="46"/>
        <v>0.81323580216496172</v>
      </c>
      <c r="C36" s="493">
        <f t="shared" si="47"/>
        <v>0.81323580216496172</v>
      </c>
      <c r="D36" s="493">
        <f t="shared" si="48"/>
        <v>0.81323580216496172</v>
      </c>
      <c r="E36" s="493">
        <f t="shared" si="49"/>
        <v>0.81323580216496172</v>
      </c>
      <c r="F36" s="493">
        <f t="shared" si="50"/>
        <v>0.81323580216496172</v>
      </c>
      <c r="G36" s="493">
        <f t="shared" si="51"/>
        <v>0.81323580216496172</v>
      </c>
      <c r="H36" s="493">
        <f t="shared" si="52"/>
        <v>0.81323580216496172</v>
      </c>
      <c r="I36" s="493">
        <f t="shared" si="53"/>
        <v>0.81072030065272382</v>
      </c>
      <c r="J36" s="493">
        <f t="shared" si="54"/>
        <v>0.8082133963389706</v>
      </c>
      <c r="K36" s="493">
        <f t="shared" si="55"/>
        <v>0.80571505705329938</v>
      </c>
      <c r="L36" s="578">
        <f t="shared" si="56"/>
        <v>0.80422015136147784</v>
      </c>
      <c r="M36" s="493">
        <f t="shared" si="57"/>
        <v>0.80272831064498318</v>
      </c>
      <c r="N36" s="493">
        <f t="shared" si="58"/>
        <v>0.80123952802261811</v>
      </c>
      <c r="O36" s="493">
        <f t="shared" si="59"/>
        <v>0.79975379662997603</v>
      </c>
      <c r="P36" s="493">
        <f t="shared" si="60"/>
        <v>0.7982711096193954</v>
      </c>
      <c r="Q36" s="493">
        <f t="shared" si="61"/>
        <v>0.7967914601599152</v>
      </c>
      <c r="R36" s="493">
        <f t="shared" si="62"/>
        <v>0.79531484143723186</v>
      </c>
      <c r="S36" s="493">
        <f t="shared" si="63"/>
        <v>0.79384124665365385</v>
      </c>
      <c r="T36" s="493">
        <f t="shared" si="64"/>
        <v>0.79237066902805975</v>
      </c>
      <c r="U36" s="493">
        <f t="shared" si="65"/>
        <v>0.7909031017958531</v>
      </c>
      <c r="V36" s="493">
        <f t="shared" si="66"/>
        <v>0.7909031017958531</v>
      </c>
      <c r="W36" s="493">
        <f t="shared" si="67"/>
        <v>0.7909031017958531</v>
      </c>
      <c r="X36" s="493">
        <f t="shared" si="68"/>
        <v>0.7909031017958531</v>
      </c>
      <c r="Y36" s="493">
        <f t="shared" si="69"/>
        <v>0.7909031017958531</v>
      </c>
      <c r="Z36" s="493">
        <f t="shared" si="70"/>
        <v>0.7909031017958531</v>
      </c>
      <c r="AA36" s="493">
        <f t="shared" si="71"/>
        <v>0.7909031017958531</v>
      </c>
      <c r="AB36" s="493">
        <f t="shared" si="72"/>
        <v>0.7909031017958531</v>
      </c>
      <c r="AC36" s="493">
        <f t="shared" si="73"/>
        <v>0.7909031017958531</v>
      </c>
      <c r="AD36" s="493">
        <f t="shared" si="74"/>
        <v>0.7909031017958531</v>
      </c>
      <c r="AE36" s="493">
        <f t="shared" si="75"/>
        <v>0.7909031017958531</v>
      </c>
      <c r="AF36" s="493">
        <f t="shared" si="76"/>
        <v>0.7909031017958531</v>
      </c>
      <c r="AG36" s="493">
        <f t="shared" si="77"/>
        <v>0.7909031017958531</v>
      </c>
      <c r="AH36" s="493">
        <f t="shared" si="78"/>
        <v>0.7909031017958531</v>
      </c>
      <c r="AI36" s="493">
        <f t="shared" si="79"/>
        <v>0.7909031017958531</v>
      </c>
      <c r="AJ36" s="493">
        <f t="shared" si="80"/>
        <v>0.7909031017958531</v>
      </c>
      <c r="AK36" s="493">
        <f t="shared" si="81"/>
        <v>0.7909031017958531</v>
      </c>
      <c r="AL36" s="493">
        <f t="shared" si="82"/>
        <v>0.7909031017958531</v>
      </c>
      <c r="AM36" s="493">
        <f t="shared" si="83"/>
        <v>0.7909031017958531</v>
      </c>
      <c r="AN36" s="493">
        <f t="shared" si="84"/>
        <v>0.7909031017958531</v>
      </c>
      <c r="AO36" s="493">
        <f t="shared" si="85"/>
        <v>0.7909031017958531</v>
      </c>
    </row>
    <row r="37" spans="1:41" hidden="1" x14ac:dyDescent="0.3">
      <c r="A37" s="112">
        <v>11</v>
      </c>
      <c r="B37" s="493">
        <f t="shared" si="46"/>
        <v>0.79572974771522686</v>
      </c>
      <c r="C37" s="493">
        <f t="shared" si="47"/>
        <v>0.79572974771522686</v>
      </c>
      <c r="D37" s="493">
        <f t="shared" si="48"/>
        <v>0.79572974771522686</v>
      </c>
      <c r="E37" s="493">
        <f t="shared" si="49"/>
        <v>0.79572974771522686</v>
      </c>
      <c r="F37" s="493">
        <f t="shared" si="50"/>
        <v>0.79572974771522686</v>
      </c>
      <c r="G37" s="493">
        <f t="shared" si="51"/>
        <v>0.79572974771522686</v>
      </c>
      <c r="H37" s="493">
        <f t="shared" si="52"/>
        <v>0.79572974771522686</v>
      </c>
      <c r="I37" s="493">
        <f t="shared" si="53"/>
        <v>0.79300974957879733</v>
      </c>
      <c r="J37" s="493">
        <f t="shared" si="54"/>
        <v>0.79029993123106634</v>
      </c>
      <c r="K37" s="493">
        <f t="shared" si="55"/>
        <v>0.78760025127399758</v>
      </c>
      <c r="L37" s="578">
        <f t="shared" si="56"/>
        <v>0.78598529257376648</v>
      </c>
      <c r="M37" s="493">
        <f t="shared" si="57"/>
        <v>0.78437395998141801</v>
      </c>
      <c r="N37" s="493">
        <f t="shared" si="58"/>
        <v>0.78276624464890399</v>
      </c>
      <c r="O37" s="493">
        <f t="shared" si="59"/>
        <v>0.78116213775149046</v>
      </c>
      <c r="P37" s="493">
        <f t="shared" si="60"/>
        <v>0.77956163048769067</v>
      </c>
      <c r="Q37" s="493">
        <f t="shared" si="61"/>
        <v>0.77796471407919865</v>
      </c>
      <c r="R37" s="493">
        <f t="shared" si="62"/>
        <v>0.77637137977082371</v>
      </c>
      <c r="S37" s="493">
        <f t="shared" si="63"/>
        <v>0.7747816188304254</v>
      </c>
      <c r="T37" s="493">
        <f t="shared" si="64"/>
        <v>0.77319542254884832</v>
      </c>
      <c r="U37" s="493">
        <f t="shared" si="65"/>
        <v>0.77161278223985674</v>
      </c>
      <c r="V37" s="493">
        <f t="shared" si="66"/>
        <v>0.77161278223985674</v>
      </c>
      <c r="W37" s="493">
        <f t="shared" si="67"/>
        <v>0.77161278223985674</v>
      </c>
      <c r="X37" s="493">
        <f t="shared" si="68"/>
        <v>0.77161278223985674</v>
      </c>
      <c r="Y37" s="493">
        <f t="shared" si="69"/>
        <v>0.77161278223985674</v>
      </c>
      <c r="Z37" s="493">
        <f t="shared" si="70"/>
        <v>0.77161278223985674</v>
      </c>
      <c r="AA37" s="493">
        <f t="shared" si="71"/>
        <v>0.77161278223985674</v>
      </c>
      <c r="AB37" s="493">
        <f t="shared" si="72"/>
        <v>0.77161278223985674</v>
      </c>
      <c r="AC37" s="493">
        <f t="shared" si="73"/>
        <v>0.77161278223985674</v>
      </c>
      <c r="AD37" s="493">
        <f t="shared" si="74"/>
        <v>0.77161278223985674</v>
      </c>
      <c r="AE37" s="493">
        <f t="shared" si="75"/>
        <v>0.77161278223985674</v>
      </c>
      <c r="AF37" s="493">
        <f t="shared" si="76"/>
        <v>0.77161278223985674</v>
      </c>
      <c r="AG37" s="493">
        <f t="shared" si="77"/>
        <v>0.77161278223985674</v>
      </c>
      <c r="AH37" s="493">
        <f t="shared" si="78"/>
        <v>0.77161278223985674</v>
      </c>
      <c r="AI37" s="493">
        <f t="shared" si="79"/>
        <v>0.77161278223985674</v>
      </c>
      <c r="AJ37" s="493">
        <f t="shared" si="80"/>
        <v>0.77161278223985674</v>
      </c>
      <c r="AK37" s="493">
        <f t="shared" si="81"/>
        <v>0.77161278223985674</v>
      </c>
      <c r="AL37" s="493">
        <f t="shared" si="82"/>
        <v>0.77161278223985674</v>
      </c>
      <c r="AM37" s="493">
        <f t="shared" si="83"/>
        <v>0.77161278223985674</v>
      </c>
      <c r="AN37" s="493">
        <f t="shared" si="84"/>
        <v>0.77161278223985674</v>
      </c>
      <c r="AO37" s="493">
        <f t="shared" si="85"/>
        <v>0.77161278223985674</v>
      </c>
    </row>
    <row r="38" spans="1:41" hidden="1" x14ac:dyDescent="0.3">
      <c r="A38" s="112">
        <v>12</v>
      </c>
      <c r="B38" s="493">
        <f t="shared" si="46"/>
        <v>0.77860053592487943</v>
      </c>
      <c r="C38" s="493">
        <f t="shared" si="47"/>
        <v>0.77860053592487943</v>
      </c>
      <c r="D38" s="493">
        <f t="shared" si="48"/>
        <v>0.77860053592487943</v>
      </c>
      <c r="E38" s="493">
        <f t="shared" si="49"/>
        <v>0.77860053592487943</v>
      </c>
      <c r="F38" s="493">
        <f t="shared" si="50"/>
        <v>0.77860053592487943</v>
      </c>
      <c r="G38" s="493">
        <f t="shared" si="51"/>
        <v>0.77860053592487943</v>
      </c>
      <c r="H38" s="493">
        <f t="shared" si="52"/>
        <v>0.77860053592487943</v>
      </c>
      <c r="I38" s="493">
        <f t="shared" si="53"/>
        <v>0.77568609349083539</v>
      </c>
      <c r="J38" s="493">
        <f t="shared" si="54"/>
        <v>0.77278350511512373</v>
      </c>
      <c r="K38" s="493">
        <f t="shared" si="55"/>
        <v>0.76989271874291065</v>
      </c>
      <c r="L38" s="578">
        <f t="shared" si="56"/>
        <v>0.76816389031837995</v>
      </c>
      <c r="M38" s="493">
        <f t="shared" si="57"/>
        <v>0.76643928081045332</v>
      </c>
      <c r="N38" s="493">
        <f t="shared" si="58"/>
        <v>0.76471887910209446</v>
      </c>
      <c r="O38" s="493">
        <f t="shared" si="59"/>
        <v>0.7630026741077266</v>
      </c>
      <c r="P38" s="493">
        <f t="shared" si="60"/>
        <v>0.7612906547731354</v>
      </c>
      <c r="Q38" s="493">
        <f t="shared" si="61"/>
        <v>0.75958281007537454</v>
      </c>
      <c r="R38" s="493">
        <f t="shared" si="62"/>
        <v>0.75787912902267052</v>
      </c>
      <c r="S38" s="493">
        <f t="shared" si="63"/>
        <v>0.7561796006543291</v>
      </c>
      <c r="T38" s="493">
        <f t="shared" si="64"/>
        <v>0.75448421404064048</v>
      </c>
      <c r="U38" s="493">
        <f t="shared" si="65"/>
        <v>0.75279295828278714</v>
      </c>
      <c r="V38" s="493">
        <f t="shared" si="66"/>
        <v>0.75279295828278714</v>
      </c>
      <c r="W38" s="493">
        <f t="shared" si="67"/>
        <v>0.75279295828278714</v>
      </c>
      <c r="X38" s="493">
        <f t="shared" si="68"/>
        <v>0.75279295828278714</v>
      </c>
      <c r="Y38" s="493">
        <f t="shared" si="69"/>
        <v>0.75279295828278714</v>
      </c>
      <c r="Z38" s="493">
        <f t="shared" si="70"/>
        <v>0.75279295828278714</v>
      </c>
      <c r="AA38" s="493">
        <f t="shared" si="71"/>
        <v>0.75279295828278714</v>
      </c>
      <c r="AB38" s="493">
        <f t="shared" si="72"/>
        <v>0.75279295828278714</v>
      </c>
      <c r="AC38" s="493">
        <f t="shared" si="73"/>
        <v>0.75279295828278714</v>
      </c>
      <c r="AD38" s="493">
        <f t="shared" si="74"/>
        <v>0.75279295828278714</v>
      </c>
      <c r="AE38" s="493">
        <f t="shared" si="75"/>
        <v>0.75279295828278714</v>
      </c>
      <c r="AF38" s="493">
        <f t="shared" si="76"/>
        <v>0.75279295828278714</v>
      </c>
      <c r="AG38" s="493">
        <f t="shared" si="77"/>
        <v>0.75279295828278714</v>
      </c>
      <c r="AH38" s="493">
        <f t="shared" si="78"/>
        <v>0.75279295828278714</v>
      </c>
      <c r="AI38" s="493">
        <f t="shared" si="79"/>
        <v>0.75279295828278714</v>
      </c>
      <c r="AJ38" s="493">
        <f t="shared" si="80"/>
        <v>0.75279295828278714</v>
      </c>
      <c r="AK38" s="493">
        <f t="shared" si="81"/>
        <v>0.75279295828278714</v>
      </c>
      <c r="AL38" s="493">
        <f t="shared" si="82"/>
        <v>0.75279295828278714</v>
      </c>
      <c r="AM38" s="493">
        <f t="shared" si="83"/>
        <v>0.75279295828278714</v>
      </c>
      <c r="AN38" s="493">
        <f t="shared" si="84"/>
        <v>0.75279295828278714</v>
      </c>
      <c r="AO38" s="493">
        <f t="shared" si="85"/>
        <v>0.75279295828278714</v>
      </c>
    </row>
    <row r="39" spans="1:41" hidden="1" x14ac:dyDescent="0.3">
      <c r="A39" s="112">
        <v>13</v>
      </c>
      <c r="B39" s="493">
        <f t="shared" si="46"/>
        <v>0.76184005472101701</v>
      </c>
      <c r="C39" s="493">
        <f t="shared" si="47"/>
        <v>0.76184005472101701</v>
      </c>
      <c r="D39" s="493">
        <f t="shared" si="48"/>
        <v>0.76184005472101701</v>
      </c>
      <c r="E39" s="493">
        <f t="shared" si="49"/>
        <v>0.76184005472101701</v>
      </c>
      <c r="F39" s="493">
        <f t="shared" si="50"/>
        <v>0.76184005472101701</v>
      </c>
      <c r="G39" s="493">
        <f t="shared" si="51"/>
        <v>0.76184005472101701</v>
      </c>
      <c r="H39" s="493">
        <f t="shared" si="52"/>
        <v>0.76184005472101701</v>
      </c>
      <c r="I39" s="493">
        <f t="shared" si="53"/>
        <v>0.75874088049315502</v>
      </c>
      <c r="J39" s="493">
        <f t="shared" si="54"/>
        <v>0.75565531790918228</v>
      </c>
      <c r="K39" s="493">
        <f t="shared" si="55"/>
        <v>0.75258330277899377</v>
      </c>
      <c r="L39" s="578">
        <f t="shared" si="56"/>
        <v>0.75074656989677468</v>
      </c>
      <c r="M39" s="493">
        <f t="shared" si="57"/>
        <v>0.74891467736022399</v>
      </c>
      <c r="N39" s="493">
        <f t="shared" si="58"/>
        <v>0.74708761147137015</v>
      </c>
      <c r="O39" s="493">
        <f t="shared" si="59"/>
        <v>0.74526535857367315</v>
      </c>
      <c r="P39" s="493">
        <f t="shared" si="60"/>
        <v>0.74344790505189007</v>
      </c>
      <c r="Q39" s="493">
        <f t="shared" si="61"/>
        <v>0.74163523733194148</v>
      </c>
      <c r="R39" s="493">
        <f t="shared" si="62"/>
        <v>0.73982734188077948</v>
      </c>
      <c r="S39" s="493">
        <f t="shared" si="63"/>
        <v>0.73802420520625511</v>
      </c>
      <c r="T39" s="493">
        <f t="shared" si="64"/>
        <v>0.73622581385698715</v>
      </c>
      <c r="U39" s="493">
        <f t="shared" si="65"/>
        <v>0.73443215442223142</v>
      </c>
      <c r="V39" s="493">
        <f t="shared" si="66"/>
        <v>0.73443215442223142</v>
      </c>
      <c r="W39" s="493">
        <f t="shared" si="67"/>
        <v>0.73443215442223142</v>
      </c>
      <c r="X39" s="493">
        <f t="shared" si="68"/>
        <v>0.73443215442223142</v>
      </c>
      <c r="Y39" s="493">
        <f t="shared" si="69"/>
        <v>0.73443215442223142</v>
      </c>
      <c r="Z39" s="493">
        <f t="shared" si="70"/>
        <v>0.73443215442223142</v>
      </c>
      <c r="AA39" s="493">
        <f t="shared" si="71"/>
        <v>0.73443215442223142</v>
      </c>
      <c r="AB39" s="493">
        <f t="shared" si="72"/>
        <v>0.73443215442223142</v>
      </c>
      <c r="AC39" s="493">
        <f t="shared" si="73"/>
        <v>0.73443215442223142</v>
      </c>
      <c r="AD39" s="493">
        <f t="shared" si="74"/>
        <v>0.73443215442223142</v>
      </c>
      <c r="AE39" s="493">
        <f t="shared" si="75"/>
        <v>0.73443215442223142</v>
      </c>
      <c r="AF39" s="493">
        <f t="shared" si="76"/>
        <v>0.73443215442223142</v>
      </c>
      <c r="AG39" s="493">
        <f t="shared" si="77"/>
        <v>0.73443215442223142</v>
      </c>
      <c r="AH39" s="493">
        <f t="shared" si="78"/>
        <v>0.73443215442223142</v>
      </c>
      <c r="AI39" s="493">
        <f t="shared" si="79"/>
        <v>0.73443215442223142</v>
      </c>
      <c r="AJ39" s="493">
        <f t="shared" si="80"/>
        <v>0.73443215442223142</v>
      </c>
      <c r="AK39" s="493">
        <f t="shared" si="81"/>
        <v>0.73443215442223142</v>
      </c>
      <c r="AL39" s="493">
        <f t="shared" si="82"/>
        <v>0.73443215442223142</v>
      </c>
      <c r="AM39" s="493">
        <f t="shared" si="83"/>
        <v>0.73443215442223142</v>
      </c>
      <c r="AN39" s="493">
        <f t="shared" si="84"/>
        <v>0.73443215442223142</v>
      </c>
      <c r="AO39" s="493">
        <f t="shared" si="85"/>
        <v>0.73443215442223142</v>
      </c>
    </row>
    <row r="40" spans="1:41" hidden="1" x14ac:dyDescent="0.3">
      <c r="A40" s="112">
        <v>14</v>
      </c>
      <c r="B40" s="493">
        <f t="shared" si="46"/>
        <v>0.74544036665461555</v>
      </c>
      <c r="C40" s="493">
        <f t="shared" si="47"/>
        <v>0.74544036665461555</v>
      </c>
      <c r="D40" s="493">
        <f t="shared" si="48"/>
        <v>0.74544036665461555</v>
      </c>
      <c r="E40" s="493">
        <f t="shared" si="49"/>
        <v>0.74544036665461555</v>
      </c>
      <c r="F40" s="493">
        <f t="shared" si="50"/>
        <v>0.74544036665461555</v>
      </c>
      <c r="G40" s="493">
        <f t="shared" si="51"/>
        <v>0.74544036665461555</v>
      </c>
      <c r="H40" s="493">
        <f t="shared" si="52"/>
        <v>0.74544036665461555</v>
      </c>
      <c r="I40" s="493">
        <f t="shared" si="53"/>
        <v>0.74216584332555102</v>
      </c>
      <c r="J40" s="493">
        <f t="shared" si="54"/>
        <v>0.73890676457873095</v>
      </c>
      <c r="K40" s="493">
        <f t="shared" si="55"/>
        <v>0.73566305256988651</v>
      </c>
      <c r="L40" s="578">
        <f t="shared" si="56"/>
        <v>0.73372416917198457</v>
      </c>
      <c r="M40" s="493">
        <f t="shared" si="57"/>
        <v>0.73179077326580422</v>
      </c>
      <c r="N40" s="493">
        <f t="shared" si="58"/>
        <v>0.7298628482526085</v>
      </c>
      <c r="O40" s="493">
        <f t="shared" si="59"/>
        <v>0.72794037758710017</v>
      </c>
      <c r="P40" s="493">
        <f t="shared" si="60"/>
        <v>0.7260233447772364</v>
      </c>
      <c r="Q40" s="493">
        <f t="shared" si="61"/>
        <v>0.72411173338404755</v>
      </c>
      <c r="R40" s="493">
        <f t="shared" si="62"/>
        <v>0.72220552702145602</v>
      </c>
      <c r="S40" s="493">
        <f t="shared" si="63"/>
        <v>0.72030470935609514</v>
      </c>
      <c r="T40" s="493">
        <f t="shared" si="64"/>
        <v>0.71840926410713046</v>
      </c>
      <c r="U40" s="493">
        <f t="shared" si="65"/>
        <v>0.71651917504607954</v>
      </c>
      <c r="V40" s="493">
        <f t="shared" si="66"/>
        <v>0.71651917504607954</v>
      </c>
      <c r="W40" s="493">
        <f t="shared" si="67"/>
        <v>0.71651917504607954</v>
      </c>
      <c r="X40" s="493">
        <f t="shared" si="68"/>
        <v>0.71651917504607954</v>
      </c>
      <c r="Y40" s="493">
        <f t="shared" si="69"/>
        <v>0.71651917504607954</v>
      </c>
      <c r="Z40" s="493">
        <f t="shared" si="70"/>
        <v>0.71651917504607954</v>
      </c>
      <c r="AA40" s="493">
        <f t="shared" si="71"/>
        <v>0.71651917504607954</v>
      </c>
      <c r="AB40" s="493">
        <f t="shared" si="72"/>
        <v>0.71651917504607954</v>
      </c>
      <c r="AC40" s="493">
        <f t="shared" si="73"/>
        <v>0.71651917504607954</v>
      </c>
      <c r="AD40" s="493">
        <f t="shared" si="74"/>
        <v>0.71651917504607954</v>
      </c>
      <c r="AE40" s="493">
        <f t="shared" si="75"/>
        <v>0.71651917504607954</v>
      </c>
      <c r="AF40" s="493">
        <f t="shared" si="76"/>
        <v>0.71651917504607954</v>
      </c>
      <c r="AG40" s="493">
        <f t="shared" si="77"/>
        <v>0.71651917504607954</v>
      </c>
      <c r="AH40" s="493">
        <f t="shared" si="78"/>
        <v>0.71651917504607954</v>
      </c>
      <c r="AI40" s="493">
        <f t="shared" si="79"/>
        <v>0.71651917504607954</v>
      </c>
      <c r="AJ40" s="493">
        <f t="shared" si="80"/>
        <v>0.71651917504607954</v>
      </c>
      <c r="AK40" s="493">
        <f t="shared" si="81"/>
        <v>0.71651917504607954</v>
      </c>
      <c r="AL40" s="493">
        <f t="shared" si="82"/>
        <v>0.71651917504607954</v>
      </c>
      <c r="AM40" s="493">
        <f t="shared" si="83"/>
        <v>0.71651917504607954</v>
      </c>
      <c r="AN40" s="493">
        <f t="shared" si="84"/>
        <v>0.71651917504607954</v>
      </c>
      <c r="AO40" s="493">
        <f t="shared" si="85"/>
        <v>0.71651917504607954</v>
      </c>
    </row>
    <row r="41" spans="1:41" hidden="1" x14ac:dyDescent="0.3">
      <c r="A41" s="112">
        <v>15</v>
      </c>
      <c r="B41" s="493">
        <f t="shared" si="46"/>
        <v>0.72939370514150248</v>
      </c>
      <c r="C41" s="493">
        <f t="shared" si="47"/>
        <v>0.72939370514150248</v>
      </c>
      <c r="D41" s="493">
        <f t="shared" si="48"/>
        <v>0.72939370514150248</v>
      </c>
      <c r="E41" s="493">
        <f t="shared" si="49"/>
        <v>0.72939370514150248</v>
      </c>
      <c r="F41" s="493">
        <f t="shared" si="50"/>
        <v>0.72939370514150248</v>
      </c>
      <c r="G41" s="493">
        <f t="shared" si="51"/>
        <v>0.72939370514150248</v>
      </c>
      <c r="H41" s="493">
        <f t="shared" si="52"/>
        <v>0.72939370514150248</v>
      </c>
      <c r="I41" s="493">
        <f t="shared" si="53"/>
        <v>0.72595289532985108</v>
      </c>
      <c r="J41" s="493">
        <f t="shared" si="54"/>
        <v>0.7225294308136222</v>
      </c>
      <c r="K41" s="493">
        <f t="shared" si="55"/>
        <v>0.71912321854338868</v>
      </c>
      <c r="L41" s="578">
        <f t="shared" si="56"/>
        <v>0.71708773374900747</v>
      </c>
      <c r="M41" s="493">
        <f t="shared" si="57"/>
        <v>0.71505840655247621</v>
      </c>
      <c r="N41" s="493">
        <f t="shared" si="58"/>
        <v>0.71303521712837858</v>
      </c>
      <c r="O41" s="493">
        <f t="shared" si="59"/>
        <v>0.71101814571898825</v>
      </c>
      <c r="P41" s="493">
        <f t="shared" si="60"/>
        <v>0.70900717263401991</v>
      </c>
      <c r="Q41" s="493">
        <f t="shared" si="61"/>
        <v>0.70700227825038819</v>
      </c>
      <c r="R41" s="493">
        <f t="shared" si="62"/>
        <v>0.70500344301196416</v>
      </c>
      <c r="S41" s="493">
        <f t="shared" si="63"/>
        <v>0.70301064742933361</v>
      </c>
      <c r="T41" s="493">
        <f t="shared" si="64"/>
        <v>0.70102387207955752</v>
      </c>
      <c r="U41" s="493">
        <f t="shared" si="65"/>
        <v>0.6990430976059312</v>
      </c>
      <c r="V41" s="493">
        <f t="shared" si="66"/>
        <v>0.6990430976059312</v>
      </c>
      <c r="W41" s="493">
        <f t="shared" si="67"/>
        <v>0.6990430976059312</v>
      </c>
      <c r="X41" s="493">
        <f t="shared" si="68"/>
        <v>0.6990430976059312</v>
      </c>
      <c r="Y41" s="493">
        <f t="shared" si="69"/>
        <v>0.6990430976059312</v>
      </c>
      <c r="Z41" s="493">
        <f t="shared" si="70"/>
        <v>0.6990430976059312</v>
      </c>
      <c r="AA41" s="493">
        <f t="shared" si="71"/>
        <v>0.6990430976059312</v>
      </c>
      <c r="AB41" s="493">
        <f t="shared" si="72"/>
        <v>0.6990430976059312</v>
      </c>
      <c r="AC41" s="493">
        <f t="shared" si="73"/>
        <v>0.6990430976059312</v>
      </c>
      <c r="AD41" s="493">
        <f t="shared" si="74"/>
        <v>0.6990430976059312</v>
      </c>
      <c r="AE41" s="493">
        <f t="shared" si="75"/>
        <v>0.6990430976059312</v>
      </c>
      <c r="AF41" s="493">
        <f t="shared" si="76"/>
        <v>0.6990430976059312</v>
      </c>
      <c r="AG41" s="493">
        <f t="shared" si="77"/>
        <v>0.6990430976059312</v>
      </c>
      <c r="AH41" s="493">
        <f t="shared" si="78"/>
        <v>0.6990430976059312</v>
      </c>
      <c r="AI41" s="493">
        <f t="shared" si="79"/>
        <v>0.6990430976059312</v>
      </c>
      <c r="AJ41" s="493">
        <f t="shared" si="80"/>
        <v>0.6990430976059312</v>
      </c>
      <c r="AK41" s="493">
        <f t="shared" si="81"/>
        <v>0.6990430976059312</v>
      </c>
      <c r="AL41" s="493">
        <f t="shared" si="82"/>
        <v>0.6990430976059312</v>
      </c>
      <c r="AM41" s="493">
        <f t="shared" si="83"/>
        <v>0.6990430976059312</v>
      </c>
      <c r="AN41" s="493">
        <f t="shared" si="84"/>
        <v>0.6990430976059312</v>
      </c>
      <c r="AO41" s="493">
        <f t="shared" si="85"/>
        <v>0.6990430976059312</v>
      </c>
    </row>
    <row r="42" spans="1:41" hidden="1" x14ac:dyDescent="0.3">
      <c r="A42" s="112">
        <v>16</v>
      </c>
      <c r="B42" s="493">
        <f t="shared" si="46"/>
        <v>0.71369247078424902</v>
      </c>
      <c r="C42" s="493">
        <f t="shared" si="47"/>
        <v>0.71369247078424902</v>
      </c>
      <c r="D42" s="493">
        <f t="shared" si="48"/>
        <v>0.71369247078424902</v>
      </c>
      <c r="E42" s="493">
        <f t="shared" si="49"/>
        <v>0.71369247078424902</v>
      </c>
      <c r="F42" s="493">
        <f t="shared" si="50"/>
        <v>0.71369247078424902</v>
      </c>
      <c r="G42" s="493">
        <f t="shared" si="51"/>
        <v>0.71369247078424902</v>
      </c>
      <c r="H42" s="493">
        <f t="shared" si="52"/>
        <v>0.71369247078424902</v>
      </c>
      <c r="I42" s="493">
        <f t="shared" si="53"/>
        <v>0.71009412650458203</v>
      </c>
      <c r="J42" s="493">
        <f t="shared" si="54"/>
        <v>0.70651508880080405</v>
      </c>
      <c r="K42" s="493">
        <f t="shared" si="55"/>
        <v>0.70295524784299979</v>
      </c>
      <c r="L42" s="578">
        <f t="shared" si="56"/>
        <v>0.70082851226447163</v>
      </c>
      <c r="M42" s="493">
        <f t="shared" si="57"/>
        <v>0.69870862473370732</v>
      </c>
      <c r="N42" s="493">
        <f t="shared" si="58"/>
        <v>0.69659556186828708</v>
      </c>
      <c r="O42" s="493">
        <f t="shared" si="59"/>
        <v>0.69448930037017786</v>
      </c>
      <c r="P42" s="493">
        <f t="shared" si="60"/>
        <v>0.69238981702541003</v>
      </c>
      <c r="Q42" s="493">
        <f t="shared" si="61"/>
        <v>0.69029708870375728</v>
      </c>
      <c r="R42" s="493">
        <f t="shared" si="62"/>
        <v>0.68821109235841871</v>
      </c>
      <c r="S42" s="493">
        <f t="shared" si="63"/>
        <v>0.68613180502570137</v>
      </c>
      <c r="T42" s="493">
        <f t="shared" si="64"/>
        <v>0.68405920382470486</v>
      </c>
      <c r="U42" s="493">
        <f t="shared" si="65"/>
        <v>0.68199326595700616</v>
      </c>
      <c r="V42" s="493">
        <f t="shared" si="66"/>
        <v>0.68199326595700616</v>
      </c>
      <c r="W42" s="493">
        <f t="shared" si="67"/>
        <v>0.68199326595700616</v>
      </c>
      <c r="X42" s="493">
        <f t="shared" si="68"/>
        <v>0.68199326595700616</v>
      </c>
      <c r="Y42" s="493">
        <f t="shared" si="69"/>
        <v>0.68199326595700616</v>
      </c>
      <c r="Z42" s="493">
        <f t="shared" si="70"/>
        <v>0.68199326595700616</v>
      </c>
      <c r="AA42" s="493">
        <f t="shared" si="71"/>
        <v>0.68199326595700616</v>
      </c>
      <c r="AB42" s="493">
        <f t="shared" si="72"/>
        <v>0.68199326595700616</v>
      </c>
      <c r="AC42" s="493">
        <f t="shared" si="73"/>
        <v>0.68199326595700616</v>
      </c>
      <c r="AD42" s="493">
        <f t="shared" si="74"/>
        <v>0.68199326595700616</v>
      </c>
      <c r="AE42" s="493">
        <f t="shared" si="75"/>
        <v>0.68199326595700616</v>
      </c>
      <c r="AF42" s="493">
        <f t="shared" si="76"/>
        <v>0.68199326595700616</v>
      </c>
      <c r="AG42" s="493">
        <f t="shared" si="77"/>
        <v>0.68199326595700616</v>
      </c>
      <c r="AH42" s="493">
        <f t="shared" si="78"/>
        <v>0.68199326595700616</v>
      </c>
      <c r="AI42" s="493">
        <f t="shared" si="79"/>
        <v>0.68199326595700616</v>
      </c>
      <c r="AJ42" s="493">
        <f t="shared" si="80"/>
        <v>0.68199326595700616</v>
      </c>
      <c r="AK42" s="493">
        <f t="shared" si="81"/>
        <v>0.68199326595700616</v>
      </c>
      <c r="AL42" s="493">
        <f t="shared" si="82"/>
        <v>0.68199326595700616</v>
      </c>
      <c r="AM42" s="493">
        <f t="shared" si="83"/>
        <v>0.68199326595700616</v>
      </c>
      <c r="AN42" s="493">
        <f t="shared" si="84"/>
        <v>0.68199326595700616</v>
      </c>
      <c r="AO42" s="493">
        <f t="shared" si="85"/>
        <v>0.68199326595700616</v>
      </c>
    </row>
    <row r="43" spans="1:41" hidden="1" x14ac:dyDescent="0.3">
      <c r="A43" s="112">
        <v>17</v>
      </c>
      <c r="B43" s="493">
        <f t="shared" si="46"/>
        <v>0.69832922777323769</v>
      </c>
      <c r="C43" s="493">
        <f t="shared" si="47"/>
        <v>0.69832922777323769</v>
      </c>
      <c r="D43" s="493">
        <f t="shared" si="48"/>
        <v>0.69832922777323769</v>
      </c>
      <c r="E43" s="493">
        <f t="shared" si="49"/>
        <v>0.69832922777323769</v>
      </c>
      <c r="F43" s="493">
        <f t="shared" si="50"/>
        <v>0.69832922777323769</v>
      </c>
      <c r="G43" s="493">
        <f t="shared" si="51"/>
        <v>0.69832922777323769</v>
      </c>
      <c r="H43" s="493">
        <f t="shared" si="52"/>
        <v>0.69832922777323769</v>
      </c>
      <c r="I43" s="493">
        <f t="shared" si="53"/>
        <v>0.69458179964582523</v>
      </c>
      <c r="J43" s="493">
        <f t="shared" si="54"/>
        <v>0.69085569309074724</v>
      </c>
      <c r="K43" s="493">
        <f t="shared" si="55"/>
        <v>0.6871507799051807</v>
      </c>
      <c r="L43" s="578">
        <f t="shared" si="56"/>
        <v>0.68493795178310357</v>
      </c>
      <c r="M43" s="493">
        <f t="shared" si="57"/>
        <v>0.68273268002121101</v>
      </c>
      <c r="N43" s="493">
        <f t="shared" si="58"/>
        <v>0.68053493734690018</v>
      </c>
      <c r="O43" s="493">
        <f t="shared" si="59"/>
        <v>0.67834469659130481</v>
      </c>
      <c r="P43" s="493">
        <f t="shared" si="60"/>
        <v>0.67616193068887698</v>
      </c>
      <c r="Q43" s="493">
        <f t="shared" si="61"/>
        <v>0.67398661267697457</v>
      </c>
      <c r="R43" s="493">
        <f t="shared" si="62"/>
        <v>0.67181871569544982</v>
      </c>
      <c r="S43" s="493">
        <f t="shared" si="63"/>
        <v>0.66965821298623995</v>
      </c>
      <c r="T43" s="493">
        <f t="shared" si="64"/>
        <v>0.66750507789295954</v>
      </c>
      <c r="U43" s="493">
        <f t="shared" si="65"/>
        <v>0.66535928386049392</v>
      </c>
      <c r="V43" s="493">
        <f t="shared" si="66"/>
        <v>0.66535928386049392</v>
      </c>
      <c r="W43" s="493">
        <f t="shared" si="67"/>
        <v>0.66535928386049392</v>
      </c>
      <c r="X43" s="493">
        <f t="shared" si="68"/>
        <v>0.66535928386049392</v>
      </c>
      <c r="Y43" s="493">
        <f t="shared" si="69"/>
        <v>0.66535928386049392</v>
      </c>
      <c r="Z43" s="493">
        <f t="shared" si="70"/>
        <v>0.66535928386049392</v>
      </c>
      <c r="AA43" s="493">
        <f t="shared" si="71"/>
        <v>0.66535928386049392</v>
      </c>
      <c r="AB43" s="493">
        <f t="shared" si="72"/>
        <v>0.66535928386049392</v>
      </c>
      <c r="AC43" s="493">
        <f t="shared" si="73"/>
        <v>0.66535928386049392</v>
      </c>
      <c r="AD43" s="493">
        <f t="shared" si="74"/>
        <v>0.66535928386049392</v>
      </c>
      <c r="AE43" s="493">
        <f t="shared" si="75"/>
        <v>0.66535928386049392</v>
      </c>
      <c r="AF43" s="493">
        <f t="shared" si="76"/>
        <v>0.66535928386049392</v>
      </c>
      <c r="AG43" s="493">
        <f t="shared" si="77"/>
        <v>0.66535928386049392</v>
      </c>
      <c r="AH43" s="493">
        <f t="shared" si="78"/>
        <v>0.66535928386049392</v>
      </c>
      <c r="AI43" s="493">
        <f t="shared" si="79"/>
        <v>0.66535928386049392</v>
      </c>
      <c r="AJ43" s="493">
        <f t="shared" si="80"/>
        <v>0.66535928386049392</v>
      </c>
      <c r="AK43" s="493">
        <f t="shared" si="81"/>
        <v>0.66535928386049392</v>
      </c>
      <c r="AL43" s="493">
        <f t="shared" si="82"/>
        <v>0.66535928386049392</v>
      </c>
      <c r="AM43" s="493">
        <f t="shared" si="83"/>
        <v>0.66535928386049392</v>
      </c>
      <c r="AN43" s="493">
        <f t="shared" si="84"/>
        <v>0.66535928386049392</v>
      </c>
      <c r="AO43" s="493">
        <f t="shared" si="85"/>
        <v>0.66535928386049392</v>
      </c>
    </row>
    <row r="44" spans="1:41" hidden="1" x14ac:dyDescent="0.3">
      <c r="A44" s="112">
        <v>18</v>
      </c>
      <c r="B44" s="493">
        <f t="shared" si="46"/>
        <v>0.68329670036520318</v>
      </c>
      <c r="C44" s="493">
        <f t="shared" si="47"/>
        <v>0.68329670036520318</v>
      </c>
      <c r="D44" s="493">
        <f t="shared" si="48"/>
        <v>0.68329670036520318</v>
      </c>
      <c r="E44" s="493">
        <f t="shared" si="49"/>
        <v>0.68329670036520318</v>
      </c>
      <c r="F44" s="493">
        <f t="shared" si="50"/>
        <v>0.68329670036520318</v>
      </c>
      <c r="G44" s="493">
        <f t="shared" si="51"/>
        <v>0.68329670036520318</v>
      </c>
      <c r="H44" s="493">
        <f t="shared" si="52"/>
        <v>0.68329670036520318</v>
      </c>
      <c r="I44" s="493">
        <f t="shared" si="53"/>
        <v>0.67940834657237548</v>
      </c>
      <c r="J44" s="493">
        <f t="shared" si="54"/>
        <v>0.67554337655548946</v>
      </c>
      <c r="K44" s="493">
        <f t="shared" si="55"/>
        <v>0.67170164213605144</v>
      </c>
      <c r="L44" s="578">
        <f t="shared" si="56"/>
        <v>0.66940769329857663</v>
      </c>
      <c r="M44" s="493">
        <f t="shared" si="57"/>
        <v>0.66712202464452897</v>
      </c>
      <c r="N44" s="493">
        <f t="shared" si="58"/>
        <v>0.66484460467653395</v>
      </c>
      <c r="O44" s="493">
        <f t="shared" si="59"/>
        <v>0.66257540202315368</v>
      </c>
      <c r="P44" s="493">
        <f t="shared" si="60"/>
        <v>0.66031438543835641</v>
      </c>
      <c r="Q44" s="493">
        <f t="shared" si="61"/>
        <v>0.65806152380099048</v>
      </c>
      <c r="R44" s="493">
        <f t="shared" si="62"/>
        <v>0.65581678611426186</v>
      </c>
      <c r="S44" s="493">
        <f t="shared" si="63"/>
        <v>0.65358014150521171</v>
      </c>
      <c r="T44" s="493">
        <f t="shared" si="64"/>
        <v>0.65135155922419941</v>
      </c>
      <c r="U44" s="493">
        <f t="shared" si="65"/>
        <v>0.64913100864438433</v>
      </c>
      <c r="V44" s="493">
        <f t="shared" si="66"/>
        <v>0.64913100864438433</v>
      </c>
      <c r="W44" s="493">
        <f t="shared" si="67"/>
        <v>0.64913100864438433</v>
      </c>
      <c r="X44" s="493">
        <f t="shared" si="68"/>
        <v>0.64913100864438433</v>
      </c>
      <c r="Y44" s="493">
        <f t="shared" si="69"/>
        <v>0.64913100864438433</v>
      </c>
      <c r="Z44" s="493">
        <f t="shared" si="70"/>
        <v>0.64913100864438433</v>
      </c>
      <c r="AA44" s="493">
        <f t="shared" si="71"/>
        <v>0.64913100864438433</v>
      </c>
      <c r="AB44" s="493">
        <f t="shared" si="72"/>
        <v>0.64913100864438433</v>
      </c>
      <c r="AC44" s="493">
        <f t="shared" si="73"/>
        <v>0.64913100864438433</v>
      </c>
      <c r="AD44" s="493">
        <f t="shared" si="74"/>
        <v>0.64913100864438433</v>
      </c>
      <c r="AE44" s="493">
        <f t="shared" si="75"/>
        <v>0.64913100864438433</v>
      </c>
      <c r="AF44" s="493">
        <f t="shared" si="76"/>
        <v>0.64913100864438433</v>
      </c>
      <c r="AG44" s="493">
        <f t="shared" si="77"/>
        <v>0.64913100864438433</v>
      </c>
      <c r="AH44" s="493">
        <f t="shared" si="78"/>
        <v>0.64913100864438433</v>
      </c>
      <c r="AI44" s="493">
        <f t="shared" si="79"/>
        <v>0.64913100864438433</v>
      </c>
      <c r="AJ44" s="493">
        <f t="shared" si="80"/>
        <v>0.64913100864438433</v>
      </c>
      <c r="AK44" s="493">
        <f t="shared" si="81"/>
        <v>0.64913100864438433</v>
      </c>
      <c r="AL44" s="493">
        <f t="shared" si="82"/>
        <v>0.64913100864438433</v>
      </c>
      <c r="AM44" s="493">
        <f t="shared" si="83"/>
        <v>0.64913100864438433</v>
      </c>
      <c r="AN44" s="493">
        <f t="shared" si="84"/>
        <v>0.64913100864438433</v>
      </c>
      <c r="AO44" s="493">
        <f t="shared" si="85"/>
        <v>0.64913100864438433</v>
      </c>
    </row>
    <row r="45" spans="1:41" hidden="1" x14ac:dyDescent="0.3">
      <c r="A45" s="112">
        <v>19</v>
      </c>
      <c r="B45" s="493">
        <f t="shared" si="46"/>
        <v>0.66858776943757647</v>
      </c>
      <c r="C45" s="493">
        <f t="shared" si="47"/>
        <v>0.66858776943757647</v>
      </c>
      <c r="D45" s="493">
        <f t="shared" si="48"/>
        <v>0.66858776943757647</v>
      </c>
      <c r="E45" s="493">
        <f t="shared" si="49"/>
        <v>0.66858776943757647</v>
      </c>
      <c r="F45" s="493">
        <f t="shared" si="50"/>
        <v>0.66858776943757647</v>
      </c>
      <c r="G45" s="493">
        <f t="shared" si="51"/>
        <v>0.66858776943757647</v>
      </c>
      <c r="H45" s="493">
        <f t="shared" si="52"/>
        <v>0.66858776943757647</v>
      </c>
      <c r="I45" s="493">
        <f t="shared" si="53"/>
        <v>0.6645663644333637</v>
      </c>
      <c r="J45" s="493">
        <f t="shared" si="54"/>
        <v>0.66057044643626739</v>
      </c>
      <c r="K45" s="493">
        <f t="shared" si="55"/>
        <v>0.65659984568528995</v>
      </c>
      <c r="L45" s="578">
        <f t="shared" si="56"/>
        <v>0.65422956733637261</v>
      </c>
      <c r="M45" s="493">
        <f t="shared" si="57"/>
        <v>0.65186830627763226</v>
      </c>
      <c r="N45" s="493">
        <f t="shared" si="58"/>
        <v>0.64951602645226048</v>
      </c>
      <c r="O45" s="493">
        <f t="shared" si="59"/>
        <v>0.64717269195463334</v>
      </c>
      <c r="P45" s="493">
        <f t="shared" si="60"/>
        <v>0.64483826702964486</v>
      </c>
      <c r="Q45" s="493">
        <f t="shared" si="61"/>
        <v>0.64251271607204696</v>
      </c>
      <c r="R45" s="493">
        <f t="shared" si="62"/>
        <v>0.64019600362579254</v>
      </c>
      <c r="S45" s="493">
        <f t="shared" si="63"/>
        <v>0.63788809438338068</v>
      </c>
      <c r="T45" s="493">
        <f t="shared" si="64"/>
        <v>0.63558895318520636</v>
      </c>
      <c r="U45" s="493">
        <f t="shared" si="65"/>
        <v>0.63329854501891159</v>
      </c>
      <c r="V45" s="493">
        <f t="shared" si="66"/>
        <v>0.63329854501891159</v>
      </c>
      <c r="W45" s="493">
        <f t="shared" si="67"/>
        <v>0.63329854501891159</v>
      </c>
      <c r="X45" s="493">
        <f t="shared" si="68"/>
        <v>0.63329854501891159</v>
      </c>
      <c r="Y45" s="493">
        <f t="shared" si="69"/>
        <v>0.63329854501891159</v>
      </c>
      <c r="Z45" s="493">
        <f t="shared" si="70"/>
        <v>0.63329854501891159</v>
      </c>
      <c r="AA45" s="493">
        <f t="shared" si="71"/>
        <v>0.63329854501891159</v>
      </c>
      <c r="AB45" s="493">
        <f t="shared" si="72"/>
        <v>0.63329854501891159</v>
      </c>
      <c r="AC45" s="493">
        <f t="shared" si="73"/>
        <v>0.63329854501891159</v>
      </c>
      <c r="AD45" s="493">
        <f t="shared" si="74"/>
        <v>0.63329854501891159</v>
      </c>
      <c r="AE45" s="493">
        <f t="shared" si="75"/>
        <v>0.63329854501891159</v>
      </c>
      <c r="AF45" s="493">
        <f t="shared" si="76"/>
        <v>0.63329854501891159</v>
      </c>
      <c r="AG45" s="493">
        <f t="shared" si="77"/>
        <v>0.63329854501891159</v>
      </c>
      <c r="AH45" s="493">
        <f t="shared" si="78"/>
        <v>0.63329854501891159</v>
      </c>
      <c r="AI45" s="493">
        <f t="shared" si="79"/>
        <v>0.63329854501891159</v>
      </c>
      <c r="AJ45" s="493">
        <f t="shared" si="80"/>
        <v>0.63329854501891159</v>
      </c>
      <c r="AK45" s="493">
        <f t="shared" si="81"/>
        <v>0.63329854501891159</v>
      </c>
      <c r="AL45" s="493">
        <f t="shared" si="82"/>
        <v>0.63329854501891159</v>
      </c>
      <c r="AM45" s="493">
        <f t="shared" si="83"/>
        <v>0.63329854501891159</v>
      </c>
      <c r="AN45" s="493">
        <f t="shared" si="84"/>
        <v>0.63329854501891159</v>
      </c>
      <c r="AO45" s="493">
        <f t="shared" si="85"/>
        <v>0.63329854501891159</v>
      </c>
    </row>
    <row r="46" spans="1:41" hidden="1" x14ac:dyDescent="0.3">
      <c r="A46" s="112">
        <v>20</v>
      </c>
      <c r="B46" s="493">
        <f t="shared" si="46"/>
        <v>0.65419546911700244</v>
      </c>
      <c r="C46" s="493">
        <f t="shared" si="47"/>
        <v>0.65419546911700244</v>
      </c>
      <c r="D46" s="493">
        <f t="shared" si="48"/>
        <v>0.65419546911700244</v>
      </c>
      <c r="E46" s="493">
        <f t="shared" si="49"/>
        <v>0.65419546911700244</v>
      </c>
      <c r="F46" s="493">
        <f t="shared" si="50"/>
        <v>0.65419546911700244</v>
      </c>
      <c r="G46" s="493">
        <f t="shared" si="51"/>
        <v>0.65419546911700244</v>
      </c>
      <c r="H46" s="493">
        <f t="shared" si="52"/>
        <v>0.65419546911700244</v>
      </c>
      <c r="I46" s="493">
        <f t="shared" si="53"/>
        <v>0.65004861209654108</v>
      </c>
      <c r="J46" s="493">
        <f t="shared" si="54"/>
        <v>0.64592938047874915</v>
      </c>
      <c r="K46" s="493">
        <f t="shared" si="55"/>
        <v>0.64183758131504398</v>
      </c>
      <c r="L46" s="578">
        <f t="shared" si="56"/>
        <v>0.63939558965634535</v>
      </c>
      <c r="M46" s="493">
        <f t="shared" si="57"/>
        <v>0.63696336357009209</v>
      </c>
      <c r="N46" s="493">
        <f t="shared" si="58"/>
        <v>0.63454086210654592</v>
      </c>
      <c r="O46" s="493">
        <f t="shared" si="59"/>
        <v>0.6321280444956372</v>
      </c>
      <c r="P46" s="493">
        <f t="shared" si="60"/>
        <v>0.62972487014613754</v>
      </c>
      <c r="Q46" s="493">
        <f t="shared" si="61"/>
        <v>0.62733129864484183</v>
      </c>
      <c r="R46" s="493">
        <f t="shared" si="62"/>
        <v>0.6249472897557522</v>
      </c>
      <c r="S46" s="493">
        <f t="shared" si="63"/>
        <v>0.62257280341926668</v>
      </c>
      <c r="T46" s="493">
        <f t="shared" si="64"/>
        <v>0.6202077997513723</v>
      </c>
      <c r="U46" s="493">
        <f t="shared" si="65"/>
        <v>0.6178522390428407</v>
      </c>
      <c r="V46" s="493">
        <f t="shared" si="66"/>
        <v>0.6178522390428407</v>
      </c>
      <c r="W46" s="493">
        <f t="shared" si="67"/>
        <v>0.6178522390428407</v>
      </c>
      <c r="X46" s="493">
        <f t="shared" si="68"/>
        <v>0.6178522390428407</v>
      </c>
      <c r="Y46" s="493">
        <f t="shared" si="69"/>
        <v>0.6178522390428407</v>
      </c>
      <c r="Z46" s="493">
        <f t="shared" si="70"/>
        <v>0.6178522390428407</v>
      </c>
      <c r="AA46" s="493">
        <f t="shared" si="71"/>
        <v>0.6178522390428407</v>
      </c>
      <c r="AB46" s="493">
        <f t="shared" si="72"/>
        <v>0.6178522390428407</v>
      </c>
      <c r="AC46" s="493">
        <f t="shared" si="73"/>
        <v>0.6178522390428407</v>
      </c>
      <c r="AD46" s="493">
        <f t="shared" si="74"/>
        <v>0.6178522390428407</v>
      </c>
      <c r="AE46" s="493">
        <f t="shared" si="75"/>
        <v>0.6178522390428407</v>
      </c>
      <c r="AF46" s="493">
        <f t="shared" si="76"/>
        <v>0.6178522390428407</v>
      </c>
      <c r="AG46" s="493">
        <f t="shared" si="77"/>
        <v>0.6178522390428407</v>
      </c>
      <c r="AH46" s="493">
        <f t="shared" si="78"/>
        <v>0.6178522390428407</v>
      </c>
      <c r="AI46" s="493">
        <f t="shared" si="79"/>
        <v>0.6178522390428407</v>
      </c>
      <c r="AJ46" s="493">
        <f t="shared" si="80"/>
        <v>0.6178522390428407</v>
      </c>
      <c r="AK46" s="493">
        <f t="shared" si="81"/>
        <v>0.6178522390428407</v>
      </c>
      <c r="AL46" s="493">
        <f t="shared" si="82"/>
        <v>0.6178522390428407</v>
      </c>
      <c r="AM46" s="493">
        <f t="shared" si="83"/>
        <v>0.6178522390428407</v>
      </c>
      <c r="AN46" s="493">
        <f t="shared" si="84"/>
        <v>0.6178522390428407</v>
      </c>
      <c r="AO46" s="493">
        <f t="shared" si="85"/>
        <v>0.6178522390428407</v>
      </c>
    </row>
    <row r="47" spans="1:41" hidden="1" x14ac:dyDescent="0.3">
      <c r="A47" s="112">
        <v>21</v>
      </c>
      <c r="B47" s="493">
        <f t="shared" si="46"/>
        <v>0.64011298348043288</v>
      </c>
      <c r="C47" s="493">
        <f t="shared" si="47"/>
        <v>0.64011298348043288</v>
      </c>
      <c r="D47" s="493">
        <f t="shared" si="48"/>
        <v>0.64011298348043288</v>
      </c>
      <c r="E47" s="493">
        <f t="shared" si="49"/>
        <v>0.64011298348043288</v>
      </c>
      <c r="F47" s="493">
        <f t="shared" si="50"/>
        <v>0.64011298348043288</v>
      </c>
      <c r="G47" s="493">
        <f t="shared" si="51"/>
        <v>0.64011298348043288</v>
      </c>
      <c r="H47" s="493">
        <f t="shared" si="52"/>
        <v>0.64011298348043288</v>
      </c>
      <c r="I47" s="493">
        <f t="shared" si="53"/>
        <v>0.63584800661546237</v>
      </c>
      <c r="J47" s="493">
        <f t="shared" si="54"/>
        <v>0.63161282315392686</v>
      </c>
      <c r="K47" s="493">
        <f t="shared" si="55"/>
        <v>0.62740721536172439</v>
      </c>
      <c r="L47" s="578">
        <f t="shared" si="56"/>
        <v>0.62489795705272222</v>
      </c>
      <c r="M47" s="493">
        <f t="shared" si="57"/>
        <v>0.62239922178042995</v>
      </c>
      <c r="N47" s="493">
        <f t="shared" si="58"/>
        <v>0.6199109633709905</v>
      </c>
      <c r="O47" s="493">
        <f t="shared" si="59"/>
        <v>0.61743313586211879</v>
      </c>
      <c r="P47" s="493">
        <f t="shared" si="60"/>
        <v>0.61496569350208752</v>
      </c>
      <c r="Q47" s="493">
        <f t="shared" si="61"/>
        <v>0.61250859074872266</v>
      </c>
      <c r="R47" s="493">
        <f t="shared" si="62"/>
        <v>0.61006178226840313</v>
      </c>
      <c r="S47" s="493">
        <f t="shared" si="63"/>
        <v>0.60762522293506416</v>
      </c>
      <c r="T47" s="493">
        <f t="shared" si="64"/>
        <v>0.60519886782920806</v>
      </c>
      <c r="U47" s="493">
        <f t="shared" si="65"/>
        <v>0.60278267223691784</v>
      </c>
      <c r="V47" s="493">
        <f t="shared" si="66"/>
        <v>0.60278267223691784</v>
      </c>
      <c r="W47" s="493">
        <f t="shared" si="67"/>
        <v>0.60278267223691784</v>
      </c>
      <c r="X47" s="493">
        <f t="shared" si="68"/>
        <v>0.60278267223691784</v>
      </c>
      <c r="Y47" s="493">
        <f t="shared" si="69"/>
        <v>0.60278267223691784</v>
      </c>
      <c r="Z47" s="493">
        <f t="shared" si="70"/>
        <v>0.60278267223691784</v>
      </c>
      <c r="AA47" s="493">
        <f t="shared" si="71"/>
        <v>0.60278267223691784</v>
      </c>
      <c r="AB47" s="493">
        <f t="shared" si="72"/>
        <v>0.60278267223691784</v>
      </c>
      <c r="AC47" s="493">
        <f t="shared" si="73"/>
        <v>0.60278267223691784</v>
      </c>
      <c r="AD47" s="493">
        <f t="shared" si="74"/>
        <v>0.60278267223691784</v>
      </c>
      <c r="AE47" s="493">
        <f t="shared" si="75"/>
        <v>0.60278267223691784</v>
      </c>
      <c r="AF47" s="493">
        <f t="shared" si="76"/>
        <v>0.60278267223691784</v>
      </c>
      <c r="AG47" s="493">
        <f t="shared" si="77"/>
        <v>0.60278267223691784</v>
      </c>
      <c r="AH47" s="493">
        <f t="shared" si="78"/>
        <v>0.60278267223691784</v>
      </c>
      <c r="AI47" s="493">
        <f t="shared" si="79"/>
        <v>0.60278267223691784</v>
      </c>
      <c r="AJ47" s="493">
        <f t="shared" si="80"/>
        <v>0.60278267223691784</v>
      </c>
      <c r="AK47" s="493">
        <f t="shared" si="81"/>
        <v>0.60278267223691784</v>
      </c>
      <c r="AL47" s="493">
        <f t="shared" si="82"/>
        <v>0.60278267223691784</v>
      </c>
      <c r="AM47" s="493">
        <f t="shared" si="83"/>
        <v>0.60278267223691784</v>
      </c>
      <c r="AN47" s="493">
        <f t="shared" si="84"/>
        <v>0.60278267223691784</v>
      </c>
      <c r="AO47" s="493">
        <f t="shared" si="85"/>
        <v>0.60278267223691784</v>
      </c>
    </row>
    <row r="48" spans="1:41" hidden="1" x14ac:dyDescent="0.3">
      <c r="A48" s="112">
        <v>22</v>
      </c>
      <c r="B48" s="493">
        <f t="shared" si="46"/>
        <v>0.62633364332723374</v>
      </c>
      <c r="C48" s="493">
        <f t="shared" si="47"/>
        <v>0.62633364332723374</v>
      </c>
      <c r="D48" s="493">
        <f t="shared" si="48"/>
        <v>0.62633364332723374</v>
      </c>
      <c r="E48" s="493">
        <f t="shared" si="49"/>
        <v>0.62633364332723374</v>
      </c>
      <c r="F48" s="493">
        <f t="shared" si="50"/>
        <v>0.62633364332723374</v>
      </c>
      <c r="G48" s="493">
        <f t="shared" si="51"/>
        <v>0.62633364332723374</v>
      </c>
      <c r="H48" s="493">
        <f t="shared" si="52"/>
        <v>0.62633364332723374</v>
      </c>
      <c r="I48" s="493">
        <f t="shared" si="53"/>
        <v>0.62195761977384656</v>
      </c>
      <c r="J48" s="493">
        <f t="shared" si="54"/>
        <v>0.61761358196277083</v>
      </c>
      <c r="K48" s="493">
        <f t="shared" si="55"/>
        <v>0.61330128578858689</v>
      </c>
      <c r="L48" s="578">
        <f t="shared" si="56"/>
        <v>0.61072904324933752</v>
      </c>
      <c r="M48" s="493">
        <f t="shared" si="57"/>
        <v>0.60816808850931203</v>
      </c>
      <c r="N48" s="493">
        <f t="shared" si="58"/>
        <v>0.60561836984270279</v>
      </c>
      <c r="O48" s="493">
        <f t="shared" si="59"/>
        <v>0.60307983577077429</v>
      </c>
      <c r="P48" s="493">
        <f t="shared" si="60"/>
        <v>0.60055243506063227</v>
      </c>
      <c r="Q48" s="493">
        <f t="shared" si="61"/>
        <v>0.59803611672400192</v>
      </c>
      <c r="R48" s="493">
        <f t="shared" si="62"/>
        <v>0.59553083001601248</v>
      </c>
      <c r="S48" s="493">
        <f t="shared" si="63"/>
        <v>0.59303652443398802</v>
      </c>
      <c r="T48" s="493">
        <f t="shared" si="64"/>
        <v>0.59055314971624517</v>
      </c>
      <c r="U48" s="493">
        <f t="shared" si="65"/>
        <v>0.58808065584089542</v>
      </c>
      <c r="V48" s="493">
        <f t="shared" si="66"/>
        <v>0.58808065584089542</v>
      </c>
      <c r="W48" s="493">
        <f t="shared" si="67"/>
        <v>0.58808065584089542</v>
      </c>
      <c r="X48" s="493">
        <f t="shared" si="68"/>
        <v>0.58808065584089542</v>
      </c>
      <c r="Y48" s="493">
        <f t="shared" si="69"/>
        <v>0.58808065584089542</v>
      </c>
      <c r="Z48" s="493">
        <f t="shared" si="70"/>
        <v>0.58808065584089542</v>
      </c>
      <c r="AA48" s="493">
        <f t="shared" si="71"/>
        <v>0.58808065584089542</v>
      </c>
      <c r="AB48" s="493">
        <f t="shared" si="72"/>
        <v>0.58808065584089542</v>
      </c>
      <c r="AC48" s="493">
        <f t="shared" si="73"/>
        <v>0.58808065584089542</v>
      </c>
      <c r="AD48" s="493">
        <f t="shared" si="74"/>
        <v>0.58808065584089542</v>
      </c>
      <c r="AE48" s="493">
        <f t="shared" si="75"/>
        <v>0.58808065584089542</v>
      </c>
      <c r="AF48" s="493">
        <f t="shared" si="76"/>
        <v>0.58808065584089542</v>
      </c>
      <c r="AG48" s="493">
        <f t="shared" si="77"/>
        <v>0.58808065584089542</v>
      </c>
      <c r="AH48" s="493">
        <f t="shared" si="78"/>
        <v>0.58808065584089542</v>
      </c>
      <c r="AI48" s="493">
        <f t="shared" si="79"/>
        <v>0.58808065584089542</v>
      </c>
      <c r="AJ48" s="493">
        <f t="shared" si="80"/>
        <v>0.58808065584089542</v>
      </c>
      <c r="AK48" s="493">
        <f t="shared" si="81"/>
        <v>0.58808065584089542</v>
      </c>
      <c r="AL48" s="493">
        <f t="shared" si="82"/>
        <v>0.58808065584089542</v>
      </c>
      <c r="AM48" s="493">
        <f t="shared" si="83"/>
        <v>0.58808065584089542</v>
      </c>
      <c r="AN48" s="493">
        <f t="shared" si="84"/>
        <v>0.58808065584089542</v>
      </c>
      <c r="AO48" s="493">
        <f t="shared" si="85"/>
        <v>0.58808065584089542</v>
      </c>
    </row>
    <row r="49" spans="1:41" hidden="1" x14ac:dyDescent="0.3">
      <c r="A49" s="112">
        <v>23</v>
      </c>
      <c r="B49" s="493">
        <f t="shared" si="46"/>
        <v>0.61285092302077659</v>
      </c>
      <c r="C49" s="493">
        <f t="shared" si="47"/>
        <v>0.61285092302077659</v>
      </c>
      <c r="D49" s="493">
        <f t="shared" si="48"/>
        <v>0.61285092302077659</v>
      </c>
      <c r="E49" s="493">
        <f t="shared" si="49"/>
        <v>0.61285092302077659</v>
      </c>
      <c r="F49" s="493">
        <f t="shared" si="50"/>
        <v>0.61285092302077659</v>
      </c>
      <c r="G49" s="493">
        <f t="shared" si="51"/>
        <v>0.61285092302077659</v>
      </c>
      <c r="H49" s="493">
        <f t="shared" si="52"/>
        <v>0.61285092302077659</v>
      </c>
      <c r="I49" s="493">
        <f t="shared" si="53"/>
        <v>0.60837067470542538</v>
      </c>
      <c r="J49" s="493">
        <f t="shared" si="54"/>
        <v>0.60392462382278767</v>
      </c>
      <c r="K49" s="493">
        <f t="shared" si="55"/>
        <v>0.59951249832706455</v>
      </c>
      <c r="L49" s="578">
        <f t="shared" si="56"/>
        <v>0.59688139488793712</v>
      </c>
      <c r="M49" s="493">
        <f t="shared" si="57"/>
        <v>0.59426234953030288</v>
      </c>
      <c r="N49" s="493">
        <f t="shared" si="58"/>
        <v>0.5916553046528944</v>
      </c>
      <c r="O49" s="493">
        <f t="shared" si="59"/>
        <v>0.58906020294078365</v>
      </c>
      <c r="P49" s="493">
        <f t="shared" si="60"/>
        <v>0.58647698736389864</v>
      </c>
      <c r="Q49" s="493">
        <f t="shared" si="61"/>
        <v>0.58390560117555357</v>
      </c>
      <c r="R49" s="493">
        <f t="shared" si="62"/>
        <v>0.58134598791098435</v>
      </c>
      <c r="S49" s="493">
        <f t="shared" si="63"/>
        <v>0.57879809138589511</v>
      </c>
      <c r="T49" s="493">
        <f t="shared" si="64"/>
        <v>0.5762618556950091</v>
      </c>
      <c r="U49" s="493">
        <f t="shared" si="65"/>
        <v>0.57373722521062975</v>
      </c>
      <c r="V49" s="493">
        <f t="shared" si="66"/>
        <v>0.57373722521062975</v>
      </c>
      <c r="W49" s="493">
        <f t="shared" si="67"/>
        <v>0.57373722521062975</v>
      </c>
      <c r="X49" s="493">
        <f t="shared" si="68"/>
        <v>0.57373722521062975</v>
      </c>
      <c r="Y49" s="493">
        <f t="shared" si="69"/>
        <v>0.57373722521062975</v>
      </c>
      <c r="Z49" s="493">
        <f t="shared" si="70"/>
        <v>0.57373722521062975</v>
      </c>
      <c r="AA49" s="493">
        <f t="shared" si="71"/>
        <v>0.57373722521062975</v>
      </c>
      <c r="AB49" s="493">
        <f t="shared" si="72"/>
        <v>0.57373722521062975</v>
      </c>
      <c r="AC49" s="493">
        <f t="shared" si="73"/>
        <v>0.57373722521062975</v>
      </c>
      <c r="AD49" s="493">
        <f t="shared" si="74"/>
        <v>0.57373722521062975</v>
      </c>
      <c r="AE49" s="493">
        <f t="shared" si="75"/>
        <v>0.57373722521062975</v>
      </c>
      <c r="AF49" s="493">
        <f t="shared" si="76"/>
        <v>0.57373722521062975</v>
      </c>
      <c r="AG49" s="493">
        <f t="shared" si="77"/>
        <v>0.57373722521062975</v>
      </c>
      <c r="AH49" s="493">
        <f t="shared" si="78"/>
        <v>0.57373722521062975</v>
      </c>
      <c r="AI49" s="493">
        <f t="shared" si="79"/>
        <v>0.57373722521062975</v>
      </c>
      <c r="AJ49" s="493">
        <f t="shared" si="80"/>
        <v>0.57373722521062975</v>
      </c>
      <c r="AK49" s="493">
        <f t="shared" si="81"/>
        <v>0.57373722521062975</v>
      </c>
      <c r="AL49" s="493">
        <f t="shared" si="82"/>
        <v>0.57373722521062975</v>
      </c>
      <c r="AM49" s="493">
        <f t="shared" si="83"/>
        <v>0.57373722521062975</v>
      </c>
      <c r="AN49" s="493">
        <f t="shared" si="84"/>
        <v>0.57373722521062975</v>
      </c>
      <c r="AO49" s="493">
        <f t="shared" si="85"/>
        <v>0.57373722521062975</v>
      </c>
    </row>
    <row r="50" spans="1:41" hidden="1" x14ac:dyDescent="0.3">
      <c r="A50" s="112">
        <v>24</v>
      </c>
      <c r="B50" s="493">
        <f t="shared" si="46"/>
        <v>0.59965843739802016</v>
      </c>
      <c r="C50" s="493">
        <f t="shared" si="47"/>
        <v>0.59965843739802016</v>
      </c>
      <c r="D50" s="493">
        <f t="shared" si="48"/>
        <v>0.59965843739802016</v>
      </c>
      <c r="E50" s="493">
        <f t="shared" si="49"/>
        <v>0.59965843739802016</v>
      </c>
      <c r="F50" s="493">
        <f t="shared" si="50"/>
        <v>0.59965843739802016</v>
      </c>
      <c r="G50" s="493">
        <f t="shared" si="51"/>
        <v>0.59965843739802016</v>
      </c>
      <c r="H50" s="493">
        <f t="shared" si="52"/>
        <v>0.59965843739802016</v>
      </c>
      <c r="I50" s="493">
        <f t="shared" si="53"/>
        <v>0.59508054258763476</v>
      </c>
      <c r="J50" s="493">
        <f t="shared" si="54"/>
        <v>0.59053907153466845</v>
      </c>
      <c r="K50" s="493">
        <f t="shared" si="55"/>
        <v>0.58603372270485299</v>
      </c>
      <c r="L50" s="578">
        <f t="shared" si="56"/>
        <v>0.58334772760744447</v>
      </c>
      <c r="M50" s="493">
        <f t="shared" si="57"/>
        <v>0.58067456471594958</v>
      </c>
      <c r="N50" s="493">
        <f t="shared" si="58"/>
        <v>0.57801417023534041</v>
      </c>
      <c r="O50" s="493">
        <f t="shared" si="59"/>
        <v>0.57536648070012075</v>
      </c>
      <c r="P50" s="493">
        <f t="shared" si="60"/>
        <v>0.57273143297255724</v>
      </c>
      <c r="Q50" s="493">
        <f t="shared" si="61"/>
        <v>0.57010896424092317</v>
      </c>
      <c r="R50" s="493">
        <f t="shared" si="62"/>
        <v>0.56749901201775121</v>
      </c>
      <c r="S50" s="493">
        <f t="shared" si="63"/>
        <v>0.56490151413809786</v>
      </c>
      <c r="T50" s="493">
        <f t="shared" si="64"/>
        <v>0.5623164087578153</v>
      </c>
      <c r="U50" s="493">
        <f t="shared" si="65"/>
        <v>0.55974363435183394</v>
      </c>
      <c r="V50" s="493">
        <f t="shared" si="66"/>
        <v>0.55974363435183394</v>
      </c>
      <c r="W50" s="493">
        <f t="shared" si="67"/>
        <v>0.55974363435183394</v>
      </c>
      <c r="X50" s="493">
        <f t="shared" si="68"/>
        <v>0.55974363435183394</v>
      </c>
      <c r="Y50" s="493">
        <f t="shared" si="69"/>
        <v>0.55974363435183394</v>
      </c>
      <c r="Z50" s="493">
        <f t="shared" si="70"/>
        <v>0.55974363435183394</v>
      </c>
      <c r="AA50" s="493">
        <f t="shared" si="71"/>
        <v>0.55974363435183394</v>
      </c>
      <c r="AB50" s="493">
        <f t="shared" si="72"/>
        <v>0.55974363435183394</v>
      </c>
      <c r="AC50" s="493">
        <f t="shared" si="73"/>
        <v>0.55974363435183394</v>
      </c>
      <c r="AD50" s="493">
        <f t="shared" si="74"/>
        <v>0.55974363435183394</v>
      </c>
      <c r="AE50" s="493">
        <f t="shared" si="75"/>
        <v>0.55974363435183394</v>
      </c>
      <c r="AF50" s="493">
        <f t="shared" si="76"/>
        <v>0.55974363435183394</v>
      </c>
      <c r="AG50" s="493">
        <f t="shared" si="77"/>
        <v>0.55974363435183394</v>
      </c>
      <c r="AH50" s="493">
        <f t="shared" si="78"/>
        <v>0.55974363435183394</v>
      </c>
      <c r="AI50" s="493">
        <f t="shared" si="79"/>
        <v>0.55974363435183394</v>
      </c>
      <c r="AJ50" s="493">
        <f t="shared" si="80"/>
        <v>0.55974363435183394</v>
      </c>
      <c r="AK50" s="493">
        <f t="shared" si="81"/>
        <v>0.55974363435183394</v>
      </c>
      <c r="AL50" s="493">
        <f t="shared" si="82"/>
        <v>0.55974363435183394</v>
      </c>
      <c r="AM50" s="493">
        <f t="shared" si="83"/>
        <v>0.55974363435183394</v>
      </c>
      <c r="AN50" s="493">
        <f t="shared" si="84"/>
        <v>0.55974363435183394</v>
      </c>
      <c r="AO50" s="493">
        <f t="shared" si="85"/>
        <v>0.55974363435183394</v>
      </c>
    </row>
    <row r="51" spans="1:41" hidden="1" x14ac:dyDescent="0.3">
      <c r="A51" s="112">
        <v>25</v>
      </c>
      <c r="B51" s="493">
        <f t="shared" si="46"/>
        <v>0.58674993874561665</v>
      </c>
      <c r="C51" s="493">
        <f t="shared" si="47"/>
        <v>0.58674993874561665</v>
      </c>
      <c r="D51" s="493">
        <f t="shared" si="48"/>
        <v>0.58674993874561665</v>
      </c>
      <c r="E51" s="493">
        <f t="shared" si="49"/>
        <v>0.58674993874561665</v>
      </c>
      <c r="F51" s="493">
        <f t="shared" si="50"/>
        <v>0.58674993874561665</v>
      </c>
      <c r="G51" s="493">
        <f t="shared" si="51"/>
        <v>0.58674993874561665</v>
      </c>
      <c r="H51" s="493">
        <f t="shared" si="52"/>
        <v>0.58674993874561665</v>
      </c>
      <c r="I51" s="493">
        <f t="shared" si="53"/>
        <v>0.58208073940753335</v>
      </c>
      <c r="J51" s="493">
        <f t="shared" si="54"/>
        <v>0.57745020032725081</v>
      </c>
      <c r="K51" s="493">
        <f t="shared" si="55"/>
        <v>0.57285798895880058</v>
      </c>
      <c r="L51" s="578">
        <f t="shared" si="56"/>
        <v>0.57012092221212318</v>
      </c>
      <c r="M51" s="493">
        <f t="shared" si="57"/>
        <v>0.56739746405701541</v>
      </c>
      <c r="N51" s="493">
        <f t="shared" si="58"/>
        <v>0.56468754419239964</v>
      </c>
      <c r="O51" s="493">
        <f t="shared" si="59"/>
        <v>0.56199109269400349</v>
      </c>
      <c r="P51" s="493">
        <f t="shared" si="60"/>
        <v>0.55930804001226297</v>
      </c>
      <c r="Q51" s="493">
        <f t="shared" si="61"/>
        <v>0.55663831697024324</v>
      </c>
      <c r="R51" s="493">
        <f t="shared" si="62"/>
        <v>0.55398185476156903</v>
      </c>
      <c r="S51" s="493">
        <f t="shared" si="63"/>
        <v>0.55133858494836807</v>
      </c>
      <c r="T51" s="493">
        <f t="shared" si="64"/>
        <v>0.54870843945922643</v>
      </c>
      <c r="U51" s="493">
        <f t="shared" si="65"/>
        <v>0.54609135058715508</v>
      </c>
      <c r="V51" s="493">
        <f t="shared" si="66"/>
        <v>0.54609135058715508</v>
      </c>
      <c r="W51" s="493">
        <f t="shared" si="67"/>
        <v>0.54609135058715508</v>
      </c>
      <c r="X51" s="493">
        <f t="shared" si="68"/>
        <v>0.54609135058715508</v>
      </c>
      <c r="Y51" s="493">
        <f t="shared" si="69"/>
        <v>0.54609135058715508</v>
      </c>
      <c r="Z51" s="493">
        <f t="shared" si="70"/>
        <v>0.54609135058715508</v>
      </c>
      <c r="AA51" s="493">
        <f t="shared" si="71"/>
        <v>0.54609135058715508</v>
      </c>
      <c r="AB51" s="493">
        <f t="shared" si="72"/>
        <v>0.54609135058715508</v>
      </c>
      <c r="AC51" s="493">
        <f t="shared" si="73"/>
        <v>0.54609135058715508</v>
      </c>
      <c r="AD51" s="493">
        <f t="shared" si="74"/>
        <v>0.54609135058715508</v>
      </c>
      <c r="AE51" s="493">
        <f t="shared" si="75"/>
        <v>0.54609135058715508</v>
      </c>
      <c r="AF51" s="493">
        <f t="shared" si="76"/>
        <v>0.54609135058715508</v>
      </c>
      <c r="AG51" s="493">
        <f t="shared" si="77"/>
        <v>0.54609135058715508</v>
      </c>
      <c r="AH51" s="493">
        <f t="shared" si="78"/>
        <v>0.54609135058715508</v>
      </c>
      <c r="AI51" s="493">
        <f t="shared" si="79"/>
        <v>0.54609135058715508</v>
      </c>
      <c r="AJ51" s="493">
        <f t="shared" si="80"/>
        <v>0.54609135058715508</v>
      </c>
      <c r="AK51" s="493">
        <f t="shared" si="81"/>
        <v>0.54609135058715508</v>
      </c>
      <c r="AL51" s="493">
        <f t="shared" si="82"/>
        <v>0.54609135058715508</v>
      </c>
      <c r="AM51" s="493">
        <f t="shared" si="83"/>
        <v>0.54609135058715508</v>
      </c>
      <c r="AN51" s="493">
        <f t="shared" si="84"/>
        <v>0.54609135058715508</v>
      </c>
      <c r="AO51" s="493">
        <f t="shared" si="85"/>
        <v>0.54609135058715508</v>
      </c>
    </row>
    <row r="52" spans="1:41" hidden="1" x14ac:dyDescent="0.3">
      <c r="A52" s="112">
        <v>26</v>
      </c>
      <c r="B52" s="493">
        <f t="shared" si="46"/>
        <v>0.57411931384111214</v>
      </c>
      <c r="C52" s="493">
        <f t="shared" si="47"/>
        <v>0.57411931384111214</v>
      </c>
      <c r="D52" s="493">
        <f t="shared" si="48"/>
        <v>0.57411931384111214</v>
      </c>
      <c r="E52" s="493">
        <f t="shared" si="49"/>
        <v>0.57411931384111214</v>
      </c>
      <c r="F52" s="493">
        <f t="shared" si="50"/>
        <v>0.57411931384111214</v>
      </c>
      <c r="G52" s="493">
        <f t="shared" si="51"/>
        <v>0.57411931384111214</v>
      </c>
      <c r="H52" s="493">
        <f t="shared" si="52"/>
        <v>0.57411931384111214</v>
      </c>
      <c r="I52" s="493">
        <f t="shared" si="53"/>
        <v>0.5693649227983697</v>
      </c>
      <c r="J52" s="493">
        <f t="shared" si="54"/>
        <v>0.56465143447905886</v>
      </c>
      <c r="K52" s="493">
        <f t="shared" si="55"/>
        <v>0.55997848383069471</v>
      </c>
      <c r="L52" s="578">
        <f t="shared" si="56"/>
        <v>0.5571940209266254</v>
      </c>
      <c r="M52" s="493">
        <f t="shared" si="57"/>
        <v>0.5544239437727333</v>
      </c>
      <c r="N52" s="493">
        <f t="shared" si="58"/>
        <v>0.55166817525634981</v>
      </c>
      <c r="O52" s="493">
        <f t="shared" si="59"/>
        <v>0.54892663869310743</v>
      </c>
      <c r="P52" s="493">
        <f t="shared" si="60"/>
        <v>0.54619925782447554</v>
      </c>
      <c r="Q52" s="493">
        <f t="shared" si="61"/>
        <v>0.54348595681531275</v>
      </c>
      <c r="R52" s="493">
        <f t="shared" si="62"/>
        <v>0.54078666025143407</v>
      </c>
      <c r="S52" s="493">
        <f t="shared" si="63"/>
        <v>0.53810129313719313</v>
      </c>
      <c r="T52" s="493">
        <f t="shared" si="64"/>
        <v>0.53542978089307813</v>
      </c>
      <c r="U52" s="493">
        <f t="shared" si="65"/>
        <v>0.53277204935332201</v>
      </c>
      <c r="V52" s="493">
        <f t="shared" si="66"/>
        <v>0.53277204935332201</v>
      </c>
      <c r="W52" s="493">
        <f t="shared" si="67"/>
        <v>0.53277204935332201</v>
      </c>
      <c r="X52" s="493">
        <f t="shared" si="68"/>
        <v>0.53277204935332201</v>
      </c>
      <c r="Y52" s="493">
        <f t="shared" si="69"/>
        <v>0.53277204935332201</v>
      </c>
      <c r="Z52" s="493">
        <f t="shared" si="70"/>
        <v>0.53277204935332201</v>
      </c>
      <c r="AA52" s="493">
        <f t="shared" si="71"/>
        <v>0.53277204935332201</v>
      </c>
      <c r="AB52" s="493">
        <f t="shared" si="72"/>
        <v>0.53277204935332201</v>
      </c>
      <c r="AC52" s="493">
        <f t="shared" si="73"/>
        <v>0.53277204935332201</v>
      </c>
      <c r="AD52" s="493">
        <f t="shared" si="74"/>
        <v>0.53277204935332201</v>
      </c>
      <c r="AE52" s="493">
        <f t="shared" si="75"/>
        <v>0.53277204935332201</v>
      </c>
      <c r="AF52" s="493">
        <f t="shared" si="76"/>
        <v>0.53277204935332201</v>
      </c>
      <c r="AG52" s="493">
        <f t="shared" si="77"/>
        <v>0.53277204935332201</v>
      </c>
      <c r="AH52" s="493">
        <f t="shared" si="78"/>
        <v>0.53277204935332201</v>
      </c>
      <c r="AI52" s="493">
        <f t="shared" si="79"/>
        <v>0.53277204935332201</v>
      </c>
      <c r="AJ52" s="493">
        <f t="shared" si="80"/>
        <v>0.53277204935332201</v>
      </c>
      <c r="AK52" s="493">
        <f t="shared" si="81"/>
        <v>0.53277204935332201</v>
      </c>
      <c r="AL52" s="493">
        <f t="shared" si="82"/>
        <v>0.53277204935332201</v>
      </c>
      <c r="AM52" s="493">
        <f t="shared" si="83"/>
        <v>0.53277204935332201</v>
      </c>
      <c r="AN52" s="493">
        <f t="shared" si="84"/>
        <v>0.53277204935332201</v>
      </c>
      <c r="AO52" s="493">
        <f t="shared" si="85"/>
        <v>0.53277204935332201</v>
      </c>
    </row>
    <row r="53" spans="1:41" hidden="1" x14ac:dyDescent="0.3">
      <c r="A53" s="112">
        <v>27</v>
      </c>
      <c r="B53" s="493">
        <f t="shared" si="46"/>
        <v>0.56176058105783966</v>
      </c>
      <c r="C53" s="493">
        <f t="shared" si="47"/>
        <v>0.56176058105783966</v>
      </c>
      <c r="D53" s="493">
        <f t="shared" si="48"/>
        <v>0.56176058105783966</v>
      </c>
      <c r="E53" s="493">
        <f t="shared" si="49"/>
        <v>0.56176058105783966</v>
      </c>
      <c r="F53" s="493">
        <f t="shared" si="50"/>
        <v>0.56176058105783966</v>
      </c>
      <c r="G53" s="493">
        <f t="shared" si="51"/>
        <v>0.56176058105783966</v>
      </c>
      <c r="H53" s="493">
        <f t="shared" si="52"/>
        <v>0.56176058105783966</v>
      </c>
      <c r="I53" s="493">
        <f t="shared" si="53"/>
        <v>0.55692688894525888</v>
      </c>
      <c r="J53" s="493">
        <f t="shared" si="54"/>
        <v>0.55213634401472511</v>
      </c>
      <c r="K53" s="493">
        <f t="shared" si="55"/>
        <v>0.54738854724408093</v>
      </c>
      <c r="L53" s="578">
        <f t="shared" si="56"/>
        <v>0.54456022373595125</v>
      </c>
      <c r="M53" s="493">
        <f t="shared" si="57"/>
        <v>0.54174706250999938</v>
      </c>
      <c r="N53" s="493">
        <f t="shared" si="58"/>
        <v>0.53894897934383523</v>
      </c>
      <c r="O53" s="493">
        <f t="shared" si="59"/>
        <v>0.53616589049922581</v>
      </c>
      <c r="P53" s="493">
        <f t="shared" si="60"/>
        <v>0.53339771271921443</v>
      </c>
      <c r="Q53" s="493">
        <f t="shared" si="61"/>
        <v>0.53064436322526132</v>
      </c>
      <c r="R53" s="493">
        <f t="shared" si="62"/>
        <v>0.52790575971440257</v>
      </c>
      <c r="S53" s="493">
        <f t="shared" si="63"/>
        <v>0.52518182035642513</v>
      </c>
      <c r="T53" s="493">
        <f t="shared" si="64"/>
        <v>0.52247246379105994</v>
      </c>
      <c r="U53" s="493">
        <f t="shared" si="65"/>
        <v>0.51977760912519233</v>
      </c>
      <c r="V53" s="493">
        <f t="shared" si="66"/>
        <v>0.51977760912519233</v>
      </c>
      <c r="W53" s="493">
        <f t="shared" si="67"/>
        <v>0.51977760912519233</v>
      </c>
      <c r="X53" s="493">
        <f t="shared" si="68"/>
        <v>0.51977760912519233</v>
      </c>
      <c r="Y53" s="493">
        <f t="shared" si="69"/>
        <v>0.51977760912519233</v>
      </c>
      <c r="Z53" s="493">
        <f t="shared" si="70"/>
        <v>0.51977760912519233</v>
      </c>
      <c r="AA53" s="493">
        <f t="shared" si="71"/>
        <v>0.51977760912519233</v>
      </c>
      <c r="AB53" s="493">
        <f t="shared" si="72"/>
        <v>0.51977760912519233</v>
      </c>
      <c r="AC53" s="493">
        <f t="shared" si="73"/>
        <v>0.51977760912519233</v>
      </c>
      <c r="AD53" s="493">
        <f t="shared" si="74"/>
        <v>0.51977760912519233</v>
      </c>
      <c r="AE53" s="493">
        <f t="shared" si="75"/>
        <v>0.51977760912519233</v>
      </c>
      <c r="AF53" s="493">
        <f t="shared" si="76"/>
        <v>0.51977760912519233</v>
      </c>
      <c r="AG53" s="493">
        <f t="shared" si="77"/>
        <v>0.51977760912519233</v>
      </c>
      <c r="AH53" s="493">
        <f t="shared" si="78"/>
        <v>0.51977760912519233</v>
      </c>
      <c r="AI53" s="493">
        <f t="shared" si="79"/>
        <v>0.51977760912519233</v>
      </c>
      <c r="AJ53" s="493">
        <f t="shared" si="80"/>
        <v>0.51977760912519233</v>
      </c>
      <c r="AK53" s="493">
        <f t="shared" si="81"/>
        <v>0.51977760912519233</v>
      </c>
      <c r="AL53" s="493">
        <f t="shared" si="82"/>
        <v>0.51977760912519233</v>
      </c>
      <c r="AM53" s="493">
        <f t="shared" si="83"/>
        <v>0.51977760912519233</v>
      </c>
      <c r="AN53" s="493">
        <f t="shared" si="84"/>
        <v>0.51977760912519233</v>
      </c>
      <c r="AO53" s="493">
        <f t="shared" si="85"/>
        <v>0.51977760912519233</v>
      </c>
    </row>
    <row r="54" spans="1:41" hidden="1" x14ac:dyDescent="0.3">
      <c r="A54" s="112">
        <v>28</v>
      </c>
      <c r="B54" s="493">
        <f t="shared" si="46"/>
        <v>0.54966788753213269</v>
      </c>
      <c r="C54" s="493">
        <f t="shared" si="47"/>
        <v>0.54966788753213269</v>
      </c>
      <c r="D54" s="493">
        <f t="shared" si="48"/>
        <v>0.54966788753213269</v>
      </c>
      <c r="E54" s="493">
        <f t="shared" si="49"/>
        <v>0.54966788753213269</v>
      </c>
      <c r="F54" s="493">
        <f t="shared" si="50"/>
        <v>0.54966788753213269</v>
      </c>
      <c r="G54" s="493">
        <f t="shared" si="51"/>
        <v>0.54966788753213269</v>
      </c>
      <c r="H54" s="493">
        <f t="shared" si="52"/>
        <v>0.54966788753213269</v>
      </c>
      <c r="I54" s="493">
        <f t="shared" si="53"/>
        <v>0.54476056955845342</v>
      </c>
      <c r="J54" s="493">
        <f t="shared" si="54"/>
        <v>0.5398986414746334</v>
      </c>
      <c r="K54" s="493">
        <f t="shared" si="55"/>
        <v>0.53508166886029418</v>
      </c>
      <c r="L54" s="578">
        <f t="shared" si="56"/>
        <v>0.53221288480839635</v>
      </c>
      <c r="M54" s="493">
        <f t="shared" si="57"/>
        <v>0.5293600376294697</v>
      </c>
      <c r="N54" s="493">
        <f t="shared" si="58"/>
        <v>0.52652303570128489</v>
      </c>
      <c r="O54" s="493">
        <f t="shared" si="59"/>
        <v>0.52370178794610844</v>
      </c>
      <c r="P54" s="493">
        <f t="shared" si="60"/>
        <v>0.5208962038273578</v>
      </c>
      <c r="Q54" s="493">
        <f t="shared" si="61"/>
        <v>0.51810619334628139</v>
      </c>
      <c r="R54" s="493">
        <f t="shared" si="62"/>
        <v>0.5153316670386594</v>
      </c>
      <c r="S54" s="493">
        <f t="shared" si="63"/>
        <v>0.51257253597152563</v>
      </c>
      <c r="T54" s="493">
        <f t="shared" si="64"/>
        <v>0.50982871173991018</v>
      </c>
      <c r="U54" s="493">
        <f t="shared" si="65"/>
        <v>0.50710010646360226</v>
      </c>
      <c r="V54" s="493">
        <f t="shared" si="66"/>
        <v>0.50710010646360226</v>
      </c>
      <c r="W54" s="493">
        <f t="shared" si="67"/>
        <v>0.50710010646360226</v>
      </c>
      <c r="X54" s="493">
        <f t="shared" si="68"/>
        <v>0.50710010646360226</v>
      </c>
      <c r="Y54" s="493">
        <f t="shared" si="69"/>
        <v>0.50710010646360226</v>
      </c>
      <c r="Z54" s="493">
        <f t="shared" si="70"/>
        <v>0.50710010646360226</v>
      </c>
      <c r="AA54" s="493">
        <f t="shared" si="71"/>
        <v>0.50710010646360226</v>
      </c>
      <c r="AB54" s="493">
        <f t="shared" si="72"/>
        <v>0.50710010646360226</v>
      </c>
      <c r="AC54" s="493">
        <f t="shared" si="73"/>
        <v>0.50710010646360226</v>
      </c>
      <c r="AD54" s="493">
        <f t="shared" si="74"/>
        <v>0.50710010646360226</v>
      </c>
      <c r="AE54" s="493">
        <f t="shared" si="75"/>
        <v>0.50710010646360226</v>
      </c>
      <c r="AF54" s="493">
        <f t="shared" si="76"/>
        <v>0.50710010646360226</v>
      </c>
      <c r="AG54" s="493">
        <f t="shared" si="77"/>
        <v>0.50710010646360226</v>
      </c>
      <c r="AH54" s="493">
        <f t="shared" si="78"/>
        <v>0.50710010646360226</v>
      </c>
      <c r="AI54" s="493">
        <f t="shared" si="79"/>
        <v>0.50710010646360226</v>
      </c>
      <c r="AJ54" s="493">
        <f t="shared" si="80"/>
        <v>0.50710010646360226</v>
      </c>
      <c r="AK54" s="493">
        <f t="shared" si="81"/>
        <v>0.50710010646360226</v>
      </c>
      <c r="AL54" s="493">
        <f t="shared" si="82"/>
        <v>0.50710010646360226</v>
      </c>
      <c r="AM54" s="493">
        <f t="shared" si="83"/>
        <v>0.50710010646360226</v>
      </c>
      <c r="AN54" s="493">
        <f t="shared" si="84"/>
        <v>0.50710010646360226</v>
      </c>
      <c r="AO54" s="493">
        <f t="shared" si="85"/>
        <v>0.50710010646360226</v>
      </c>
    </row>
    <row r="55" spans="1:41" hidden="1" x14ac:dyDescent="0.3">
      <c r="A55" s="112">
        <v>29</v>
      </c>
      <c r="B55" s="493">
        <f t="shared" si="46"/>
        <v>0.53783550639151934</v>
      </c>
      <c r="C55" s="493">
        <f t="shared" si="47"/>
        <v>0.53783550639151934</v>
      </c>
      <c r="D55" s="493">
        <f t="shared" si="48"/>
        <v>0.53783550639151934</v>
      </c>
      <c r="E55" s="493">
        <f t="shared" si="49"/>
        <v>0.53783550639151934</v>
      </c>
      <c r="F55" s="493">
        <f t="shared" si="50"/>
        <v>0.53783550639151934</v>
      </c>
      <c r="G55" s="493">
        <f t="shared" si="51"/>
        <v>0.53783550639151934</v>
      </c>
      <c r="H55" s="493">
        <f t="shared" si="52"/>
        <v>0.53783550639151934</v>
      </c>
      <c r="I55" s="493">
        <f t="shared" si="53"/>
        <v>0.53286002891273565</v>
      </c>
      <c r="J55" s="493">
        <f t="shared" si="54"/>
        <v>0.5279321787561605</v>
      </c>
      <c r="K55" s="493">
        <f t="shared" si="55"/>
        <v>0.52305148471192009</v>
      </c>
      <c r="L55" s="578">
        <f t="shared" si="56"/>
        <v>0.52014550899960543</v>
      </c>
      <c r="M55" s="493">
        <f t="shared" si="57"/>
        <v>0.51725624157657768</v>
      </c>
      <c r="N55" s="493">
        <f t="shared" si="58"/>
        <v>0.51438358313919974</v>
      </c>
      <c r="O55" s="493">
        <f t="shared" si="59"/>
        <v>0.51152743499326858</v>
      </c>
      <c r="P55" s="493">
        <f t="shared" si="60"/>
        <v>0.5086876990501541</v>
      </c>
      <c r="Q55" s="493">
        <f t="shared" si="61"/>
        <v>0.50586427782296561</v>
      </c>
      <c r="R55" s="493">
        <f t="shared" si="62"/>
        <v>0.50305707442274439</v>
      </c>
      <c r="S55" s="493">
        <f t="shared" si="63"/>
        <v>0.50026599255468052</v>
      </c>
      <c r="T55" s="493">
        <f t="shared" si="64"/>
        <v>0.49749093651435422</v>
      </c>
      <c r="U55" s="493">
        <f t="shared" si="65"/>
        <v>0.49473181118400233</v>
      </c>
      <c r="V55" s="493">
        <f t="shared" si="66"/>
        <v>0.49473181118400233</v>
      </c>
      <c r="W55" s="493">
        <f t="shared" si="67"/>
        <v>0.49473181118400233</v>
      </c>
      <c r="X55" s="493">
        <f t="shared" si="68"/>
        <v>0.49473181118400233</v>
      </c>
      <c r="Y55" s="493">
        <f t="shared" si="69"/>
        <v>0.49473181118400233</v>
      </c>
      <c r="Z55" s="493">
        <f t="shared" si="70"/>
        <v>0.49473181118400233</v>
      </c>
      <c r="AA55" s="493">
        <f t="shared" si="71"/>
        <v>0.49473181118400233</v>
      </c>
      <c r="AB55" s="493">
        <f t="shared" si="72"/>
        <v>0.49473181118400233</v>
      </c>
      <c r="AC55" s="493">
        <f t="shared" si="73"/>
        <v>0.49473181118400233</v>
      </c>
      <c r="AD55" s="493">
        <f t="shared" si="74"/>
        <v>0.49473181118400233</v>
      </c>
      <c r="AE55" s="493">
        <f t="shared" si="75"/>
        <v>0.49473181118400233</v>
      </c>
      <c r="AF55" s="493">
        <f t="shared" si="76"/>
        <v>0.49473181118400233</v>
      </c>
      <c r="AG55" s="493">
        <f t="shared" si="77"/>
        <v>0.49473181118400233</v>
      </c>
      <c r="AH55" s="493">
        <f t="shared" si="78"/>
        <v>0.49473181118400233</v>
      </c>
      <c r="AI55" s="493">
        <f t="shared" si="79"/>
        <v>0.49473181118400233</v>
      </c>
      <c r="AJ55" s="493">
        <f t="shared" si="80"/>
        <v>0.49473181118400233</v>
      </c>
      <c r="AK55" s="493">
        <f t="shared" si="81"/>
        <v>0.49473181118400233</v>
      </c>
      <c r="AL55" s="493">
        <f t="shared" si="82"/>
        <v>0.49473181118400233</v>
      </c>
      <c r="AM55" s="493">
        <f t="shared" si="83"/>
        <v>0.49473181118400233</v>
      </c>
      <c r="AN55" s="493">
        <f t="shared" si="84"/>
        <v>0.49473181118400233</v>
      </c>
      <c r="AO55" s="493">
        <f t="shared" si="85"/>
        <v>0.49473181118400233</v>
      </c>
    </row>
    <row r="56" spans="1:41" hidden="1" x14ac:dyDescent="0.3">
      <c r="A56" s="112">
        <v>30</v>
      </c>
      <c r="B56" s="493">
        <f t="shared" si="46"/>
        <v>0.52625783404258242</v>
      </c>
      <c r="C56" s="493">
        <f t="shared" si="47"/>
        <v>0.52625783404258242</v>
      </c>
      <c r="D56" s="493">
        <f t="shared" si="48"/>
        <v>0.52625783404258242</v>
      </c>
      <c r="E56" s="493">
        <f t="shared" si="49"/>
        <v>0.52625783404258242</v>
      </c>
      <c r="F56" s="493">
        <f t="shared" si="50"/>
        <v>0.52625783404258242</v>
      </c>
      <c r="G56" s="493">
        <f t="shared" si="51"/>
        <v>0.52625783404258242</v>
      </c>
      <c r="H56" s="493">
        <f t="shared" si="52"/>
        <v>0.52625783404258242</v>
      </c>
      <c r="I56" s="493">
        <f t="shared" si="53"/>
        <v>0.52121946095148586</v>
      </c>
      <c r="J56" s="493">
        <f t="shared" si="54"/>
        <v>0.51623094402492886</v>
      </c>
      <c r="K56" s="493">
        <f t="shared" si="55"/>
        <v>0.51129177391194536</v>
      </c>
      <c r="L56" s="578">
        <f t="shared" si="56"/>
        <v>0.5083517484358927</v>
      </c>
      <c r="M56" s="493">
        <f t="shared" si="57"/>
        <v>0.50542919833552635</v>
      </c>
      <c r="N56" s="493">
        <f t="shared" si="58"/>
        <v>0.5025240163532626</v>
      </c>
      <c r="O56" s="493">
        <f t="shared" si="59"/>
        <v>0.49963609591059638</v>
      </c>
      <c r="P56" s="493">
        <f t="shared" si="60"/>
        <v>0.49676533110366611</v>
      </c>
      <c r="Q56" s="493">
        <f t="shared" si="61"/>
        <v>0.49391161669885331</v>
      </c>
      <c r="R56" s="493">
        <f t="shared" si="62"/>
        <v>0.49107484812841112</v>
      </c>
      <c r="S56" s="493">
        <f t="shared" si="63"/>
        <v>0.48825492148612193</v>
      </c>
      <c r="T56" s="493">
        <f t="shared" si="64"/>
        <v>0.48545173352298426</v>
      </c>
      <c r="U56" s="493">
        <f t="shared" si="65"/>
        <v>0.48266518164292915</v>
      </c>
      <c r="V56" s="493">
        <f t="shared" si="66"/>
        <v>0.48266518164292915</v>
      </c>
      <c r="W56" s="493">
        <f t="shared" si="67"/>
        <v>0.48266518164292915</v>
      </c>
      <c r="X56" s="493">
        <f t="shared" si="68"/>
        <v>0.48266518164292915</v>
      </c>
      <c r="Y56" s="493">
        <f t="shared" si="69"/>
        <v>0.48266518164292915</v>
      </c>
      <c r="Z56" s="493">
        <f t="shared" si="70"/>
        <v>0.48266518164292915</v>
      </c>
      <c r="AA56" s="493">
        <f t="shared" si="71"/>
        <v>0.48266518164292915</v>
      </c>
      <c r="AB56" s="493">
        <f t="shared" si="72"/>
        <v>0.48266518164292915</v>
      </c>
      <c r="AC56" s="493">
        <f t="shared" si="73"/>
        <v>0.48266518164292915</v>
      </c>
      <c r="AD56" s="493">
        <f t="shared" si="74"/>
        <v>0.48266518164292915</v>
      </c>
      <c r="AE56" s="493">
        <f t="shared" si="75"/>
        <v>0.48266518164292915</v>
      </c>
      <c r="AF56" s="493">
        <f t="shared" si="76"/>
        <v>0.48266518164292915</v>
      </c>
      <c r="AG56" s="493">
        <f t="shared" si="77"/>
        <v>0.48266518164292915</v>
      </c>
      <c r="AH56" s="493">
        <f t="shared" si="78"/>
        <v>0.48266518164292915</v>
      </c>
      <c r="AI56" s="493">
        <f t="shared" si="79"/>
        <v>0.48266518164292915</v>
      </c>
      <c r="AJ56" s="493">
        <f t="shared" si="80"/>
        <v>0.48266518164292915</v>
      </c>
      <c r="AK56" s="493">
        <f t="shared" si="81"/>
        <v>0.48266518164292915</v>
      </c>
      <c r="AL56" s="493">
        <f t="shared" si="82"/>
        <v>0.48266518164292915</v>
      </c>
      <c r="AM56" s="493">
        <f t="shared" si="83"/>
        <v>0.48266518164292915</v>
      </c>
      <c r="AN56" s="493">
        <f t="shared" si="84"/>
        <v>0.48266518164292915</v>
      </c>
      <c r="AO56" s="493">
        <f t="shared" si="85"/>
        <v>0.48266518164292915</v>
      </c>
    </row>
    <row r="57" spans="1:41" hidden="1" x14ac:dyDescent="0.3">
      <c r="A57" s="112">
        <v>31</v>
      </c>
      <c r="B57" s="493">
        <f t="shared" si="46"/>
        <v>0.51492938751720396</v>
      </c>
      <c r="C57" s="493">
        <f t="shared" si="47"/>
        <v>0.51492938751720396</v>
      </c>
      <c r="D57" s="493">
        <f t="shared" si="48"/>
        <v>0.51492938751720396</v>
      </c>
      <c r="E57" s="493">
        <f t="shared" si="49"/>
        <v>0.51492938751720396</v>
      </c>
      <c r="F57" s="493">
        <f t="shared" si="50"/>
        <v>0.51492938751720396</v>
      </c>
      <c r="G57" s="493">
        <f t="shared" si="51"/>
        <v>0.51492938751720396</v>
      </c>
      <c r="H57" s="493">
        <f t="shared" si="52"/>
        <v>0.51492938751720396</v>
      </c>
      <c r="I57" s="493">
        <f t="shared" si="53"/>
        <v>0.50983318645401288</v>
      </c>
      <c r="J57" s="493">
        <f t="shared" si="54"/>
        <v>0.50478905869451973</v>
      </c>
      <c r="K57" s="493">
        <f t="shared" si="55"/>
        <v>0.49979645543689677</v>
      </c>
      <c r="L57" s="578">
        <f t="shared" si="56"/>
        <v>0.49682539917503199</v>
      </c>
      <c r="M57" s="493">
        <f t="shared" si="57"/>
        <v>0.49387257996436029</v>
      </c>
      <c r="N57" s="493">
        <f t="shared" si="58"/>
        <v>0.4909378823302683</v>
      </c>
      <c r="O57" s="493">
        <f t="shared" si="59"/>
        <v>0.48802119155166679</v>
      </c>
      <c r="P57" s="493">
        <f t="shared" si="60"/>
        <v>0.48512239365592391</v>
      </c>
      <c r="Q57" s="493">
        <f t="shared" si="61"/>
        <v>0.48224137541383844</v>
      </c>
      <c r="R57" s="493">
        <f t="shared" si="62"/>
        <v>0.47937802433464588</v>
      </c>
      <c r="S57" s="493">
        <f t="shared" si="63"/>
        <v>0.47653222866105982</v>
      </c>
      <c r="T57" s="493">
        <f t="shared" si="64"/>
        <v>0.47370387736434844</v>
      </c>
      <c r="U57" s="493">
        <f t="shared" si="65"/>
        <v>0.47089286013944304</v>
      </c>
      <c r="V57" s="493">
        <f t="shared" si="66"/>
        <v>0.47089286013944304</v>
      </c>
      <c r="W57" s="493">
        <f t="shared" si="67"/>
        <v>0.47089286013944304</v>
      </c>
      <c r="X57" s="493">
        <f t="shared" si="68"/>
        <v>0.47089286013944304</v>
      </c>
      <c r="Y57" s="493">
        <f t="shared" si="69"/>
        <v>0.47089286013944304</v>
      </c>
      <c r="Z57" s="493">
        <f t="shared" si="70"/>
        <v>0.47089286013944304</v>
      </c>
      <c r="AA57" s="493">
        <f t="shared" si="71"/>
        <v>0.47089286013944304</v>
      </c>
      <c r="AB57" s="493">
        <f t="shared" si="72"/>
        <v>0.47089286013944304</v>
      </c>
      <c r="AC57" s="493">
        <f t="shared" si="73"/>
        <v>0.47089286013944304</v>
      </c>
      <c r="AD57" s="493">
        <f t="shared" si="74"/>
        <v>0.47089286013944304</v>
      </c>
      <c r="AE57" s="493">
        <f t="shared" si="75"/>
        <v>0.47089286013944304</v>
      </c>
      <c r="AF57" s="493">
        <f t="shared" si="76"/>
        <v>0.47089286013944304</v>
      </c>
      <c r="AG57" s="493">
        <f t="shared" si="77"/>
        <v>0.47089286013944304</v>
      </c>
      <c r="AH57" s="493">
        <f t="shared" si="78"/>
        <v>0.47089286013944304</v>
      </c>
      <c r="AI57" s="493">
        <f t="shared" si="79"/>
        <v>0.47089286013944304</v>
      </c>
      <c r="AJ57" s="493">
        <f t="shared" si="80"/>
        <v>0.47089286013944304</v>
      </c>
      <c r="AK57" s="493">
        <f t="shared" si="81"/>
        <v>0.47089286013944304</v>
      </c>
      <c r="AL57" s="493">
        <f t="shared" si="82"/>
        <v>0.47089286013944304</v>
      </c>
      <c r="AM57" s="493">
        <f t="shared" si="83"/>
        <v>0.47089286013944304</v>
      </c>
      <c r="AN57" s="493">
        <f t="shared" si="84"/>
        <v>0.47089286013944304</v>
      </c>
      <c r="AO57" s="493">
        <f t="shared" si="85"/>
        <v>0.47089286013944304</v>
      </c>
    </row>
    <row r="58" spans="1:41" hidden="1" x14ac:dyDescent="0.3">
      <c r="A58" s="112">
        <v>32</v>
      </c>
      <c r="B58" s="493">
        <f t="shared" si="46"/>
        <v>0.5038448018759335</v>
      </c>
      <c r="C58" s="493">
        <f t="shared" si="47"/>
        <v>0.5038448018759335</v>
      </c>
      <c r="D58" s="493">
        <f t="shared" si="48"/>
        <v>0.5038448018759335</v>
      </c>
      <c r="E58" s="493">
        <f t="shared" si="49"/>
        <v>0.5038448018759335</v>
      </c>
      <c r="F58" s="493">
        <f t="shared" si="50"/>
        <v>0.5038448018759335</v>
      </c>
      <c r="G58" s="493">
        <f t="shared" si="51"/>
        <v>0.5038448018759335</v>
      </c>
      <c r="H58" s="493">
        <f t="shared" si="52"/>
        <v>0.5038448018759335</v>
      </c>
      <c r="I58" s="493">
        <f t="shared" si="53"/>
        <v>0.49869565026476648</v>
      </c>
      <c r="J58" s="493">
        <f t="shared" si="54"/>
        <v>0.49360077447312883</v>
      </c>
      <c r="K58" s="493">
        <f t="shared" si="55"/>
        <v>0.48855958498230379</v>
      </c>
      <c r="L58" s="578">
        <f t="shared" si="56"/>
        <v>0.4855603979427599</v>
      </c>
      <c r="M58" s="493">
        <f t="shared" si="57"/>
        <v>0.48258020320926348</v>
      </c>
      <c r="N58" s="493">
        <f t="shared" si="58"/>
        <v>0.47961887683691701</v>
      </c>
      <c r="O58" s="493">
        <f t="shared" si="59"/>
        <v>0.47667629571368109</v>
      </c>
      <c r="P58" s="493">
        <f t="shared" si="60"/>
        <v>0.47375233755461316</v>
      </c>
      <c r="Q58" s="493">
        <f t="shared" si="61"/>
        <v>0.47084688089615157</v>
      </c>
      <c r="R58" s="493">
        <f t="shared" si="62"/>
        <v>0.46795980509043911</v>
      </c>
      <c r="S58" s="493">
        <f t="shared" si="63"/>
        <v>0.46509099029968759</v>
      </c>
      <c r="T58" s="493">
        <f t="shared" si="64"/>
        <v>0.46224031749058209</v>
      </c>
      <c r="U58" s="493">
        <f t="shared" si="65"/>
        <v>0.45940766842872505</v>
      </c>
      <c r="V58" s="493">
        <f t="shared" si="66"/>
        <v>0.45940766842872505</v>
      </c>
      <c r="W58" s="493">
        <f t="shared" si="67"/>
        <v>0.45940766842872505</v>
      </c>
      <c r="X58" s="493">
        <f t="shared" si="68"/>
        <v>0.45940766842872505</v>
      </c>
      <c r="Y58" s="493">
        <f t="shared" si="69"/>
        <v>0.45940766842872505</v>
      </c>
      <c r="Z58" s="493">
        <f t="shared" si="70"/>
        <v>0.45940766842872505</v>
      </c>
      <c r="AA58" s="493">
        <f t="shared" si="71"/>
        <v>0.45940766842872505</v>
      </c>
      <c r="AB58" s="493">
        <f t="shared" si="72"/>
        <v>0.45940766842872505</v>
      </c>
      <c r="AC58" s="493">
        <f t="shared" si="73"/>
        <v>0.45940766842872505</v>
      </c>
      <c r="AD58" s="493">
        <f t="shared" si="74"/>
        <v>0.45940766842872505</v>
      </c>
      <c r="AE58" s="493">
        <f t="shared" si="75"/>
        <v>0.45940766842872505</v>
      </c>
      <c r="AF58" s="493">
        <f t="shared" si="76"/>
        <v>0.45940766842872505</v>
      </c>
      <c r="AG58" s="493">
        <f t="shared" si="77"/>
        <v>0.45940766842872505</v>
      </c>
      <c r="AH58" s="493">
        <f t="shared" si="78"/>
        <v>0.45940766842872505</v>
      </c>
      <c r="AI58" s="493">
        <f t="shared" si="79"/>
        <v>0.45940766842872505</v>
      </c>
      <c r="AJ58" s="493">
        <f t="shared" si="80"/>
        <v>0.45940766842872505</v>
      </c>
      <c r="AK58" s="493">
        <f t="shared" si="81"/>
        <v>0.45940766842872505</v>
      </c>
      <c r="AL58" s="493">
        <f t="shared" si="82"/>
        <v>0.45940766842872505</v>
      </c>
      <c r="AM58" s="493">
        <f t="shared" si="83"/>
        <v>0.45940766842872505</v>
      </c>
      <c r="AN58" s="493">
        <f t="shared" si="84"/>
        <v>0.45940766842872505</v>
      </c>
      <c r="AO58" s="493">
        <f t="shared" si="85"/>
        <v>0.45940766842872505</v>
      </c>
    </row>
    <row r="59" spans="1:41" hidden="1" x14ac:dyDescent="0.3">
      <c r="A59" s="112">
        <v>33</v>
      </c>
      <c r="B59" s="493">
        <f t="shared" si="46"/>
        <v>0.49299882766725384</v>
      </c>
      <c r="C59" s="493">
        <f t="shared" si="47"/>
        <v>0.49299882766725384</v>
      </c>
      <c r="D59" s="493">
        <f t="shared" si="48"/>
        <v>0.49299882766725384</v>
      </c>
      <c r="E59" s="493">
        <f t="shared" si="49"/>
        <v>0.49299882766725384</v>
      </c>
      <c r="F59" s="493">
        <f t="shared" si="50"/>
        <v>0.49299882766725384</v>
      </c>
      <c r="G59" s="493">
        <f t="shared" si="51"/>
        <v>0.49299882766725384</v>
      </c>
      <c r="H59" s="493">
        <f t="shared" si="52"/>
        <v>0.49299882766725384</v>
      </c>
      <c r="I59" s="493">
        <f t="shared" si="53"/>
        <v>0.48780141858307774</v>
      </c>
      <c r="J59" s="493">
        <f t="shared" si="54"/>
        <v>0.48266047047568006</v>
      </c>
      <c r="K59" s="493">
        <f t="shared" si="55"/>
        <v>0.47757535188886002</v>
      </c>
      <c r="L59" s="578">
        <f t="shared" si="56"/>
        <v>0.47455081894327578</v>
      </c>
      <c r="M59" s="493">
        <f t="shared" si="57"/>
        <v>0.47154602619627067</v>
      </c>
      <c r="N59" s="493">
        <f t="shared" si="58"/>
        <v>0.4685608409895633</v>
      </c>
      <c r="O59" s="493">
        <f t="shared" si="59"/>
        <v>0.46559513158202881</v>
      </c>
      <c r="P59" s="493">
        <f t="shared" si="60"/>
        <v>0.46264876714317693</v>
      </c>
      <c r="Q59" s="493">
        <f t="shared" si="61"/>
        <v>0.45972161774668191</v>
      </c>
      <c r="R59" s="493">
        <f t="shared" si="62"/>
        <v>0.45681355436395854</v>
      </c>
      <c r="S59" s="493">
        <f t="shared" si="63"/>
        <v>0.45392444885778604</v>
      </c>
      <c r="T59" s="493">
        <f t="shared" si="64"/>
        <v>0.4510541739759778</v>
      </c>
      <c r="U59" s="493">
        <f t="shared" si="65"/>
        <v>0.44820260334509759</v>
      </c>
      <c r="V59" s="493">
        <f t="shared" si="66"/>
        <v>0.44820260334509759</v>
      </c>
      <c r="W59" s="493">
        <f t="shared" si="67"/>
        <v>0.44820260334509759</v>
      </c>
      <c r="X59" s="493">
        <f t="shared" si="68"/>
        <v>0.44820260334509759</v>
      </c>
      <c r="Y59" s="493">
        <f t="shared" si="69"/>
        <v>0.44820260334509759</v>
      </c>
      <c r="Z59" s="493">
        <f t="shared" si="70"/>
        <v>0.44820260334509759</v>
      </c>
      <c r="AA59" s="493">
        <f t="shared" si="71"/>
        <v>0.44820260334509759</v>
      </c>
      <c r="AB59" s="493">
        <f t="shared" si="72"/>
        <v>0.44820260334509759</v>
      </c>
      <c r="AC59" s="493">
        <f t="shared" si="73"/>
        <v>0.44820260334509759</v>
      </c>
      <c r="AD59" s="493">
        <f t="shared" si="74"/>
        <v>0.44820260334509759</v>
      </c>
      <c r="AE59" s="493">
        <f t="shared" si="75"/>
        <v>0.44820260334509759</v>
      </c>
      <c r="AF59" s="493">
        <f t="shared" si="76"/>
        <v>0.44820260334509759</v>
      </c>
      <c r="AG59" s="493">
        <f t="shared" si="77"/>
        <v>0.44820260334509759</v>
      </c>
      <c r="AH59" s="493">
        <f t="shared" si="78"/>
        <v>0.44820260334509759</v>
      </c>
      <c r="AI59" s="493">
        <f t="shared" si="79"/>
        <v>0.44820260334509759</v>
      </c>
      <c r="AJ59" s="493">
        <f t="shared" si="80"/>
        <v>0.44820260334509759</v>
      </c>
      <c r="AK59" s="493">
        <f t="shared" si="81"/>
        <v>0.44820260334509759</v>
      </c>
      <c r="AL59" s="493">
        <f t="shared" si="82"/>
        <v>0.44820260334509759</v>
      </c>
      <c r="AM59" s="493">
        <f t="shared" si="83"/>
        <v>0.44820260334509759</v>
      </c>
      <c r="AN59" s="493">
        <f t="shared" si="84"/>
        <v>0.44820260334509759</v>
      </c>
      <c r="AO59" s="493">
        <f t="shared" si="85"/>
        <v>0.44820260334509759</v>
      </c>
    </row>
    <row r="60" spans="1:41" hidden="1" x14ac:dyDescent="0.3">
      <c r="A60" s="112">
        <v>34</v>
      </c>
      <c r="B60" s="493">
        <f t="shared" si="46"/>
        <v>0.48238632844153995</v>
      </c>
      <c r="C60" s="493">
        <f t="shared" si="47"/>
        <v>0.48238632844153995</v>
      </c>
      <c r="D60" s="493">
        <f t="shared" si="48"/>
        <v>0.48238632844153995</v>
      </c>
      <c r="E60" s="493">
        <f t="shared" si="49"/>
        <v>0.48238632844153995</v>
      </c>
      <c r="F60" s="493">
        <f t="shared" si="50"/>
        <v>0.48238632844153995</v>
      </c>
      <c r="G60" s="493">
        <f t="shared" si="51"/>
        <v>0.48238632844153995</v>
      </c>
      <c r="H60" s="493">
        <f t="shared" si="52"/>
        <v>0.48238632844153995</v>
      </c>
      <c r="I60" s="493">
        <f t="shared" si="53"/>
        <v>0.47714517631210734</v>
      </c>
      <c r="J60" s="493">
        <f t="shared" si="54"/>
        <v>0.471962650399948</v>
      </c>
      <c r="K60" s="493">
        <f t="shared" si="55"/>
        <v>0.46683807613769313</v>
      </c>
      <c r="L60" s="578">
        <f t="shared" si="56"/>
        <v>0.46379087074205994</v>
      </c>
      <c r="M60" s="493">
        <f t="shared" si="57"/>
        <v>0.46076414519862291</v>
      </c>
      <c r="N60" s="493">
        <f t="shared" si="58"/>
        <v>0.45775775790305129</v>
      </c>
      <c r="O60" s="493">
        <f t="shared" si="59"/>
        <v>0.4547715682575002</v>
      </c>
      <c r="P60" s="493">
        <f t="shared" si="60"/>
        <v>0.45180543666325873</v>
      </c>
      <c r="Q60" s="493">
        <f t="shared" si="61"/>
        <v>0.44885922451345628</v>
      </c>
      <c r="R60" s="493">
        <f t="shared" si="62"/>
        <v>0.44593279418582443</v>
      </c>
      <c r="S60" s="493">
        <f t="shared" si="63"/>
        <v>0.44302600903551248</v>
      </c>
      <c r="T60" s="493">
        <f t="shared" si="64"/>
        <v>0.4401387333879565</v>
      </c>
      <c r="U60" s="493">
        <f t="shared" si="65"/>
        <v>0.43727083253180254</v>
      </c>
      <c r="V60" s="493">
        <f t="shared" si="66"/>
        <v>0.43727083253180254</v>
      </c>
      <c r="W60" s="493">
        <f t="shared" si="67"/>
        <v>0.43727083253180254</v>
      </c>
      <c r="X60" s="493">
        <f t="shared" si="68"/>
        <v>0.43727083253180254</v>
      </c>
      <c r="Y60" s="493">
        <f t="shared" si="69"/>
        <v>0.43727083253180254</v>
      </c>
      <c r="Z60" s="493">
        <f t="shared" si="70"/>
        <v>0.43727083253180254</v>
      </c>
      <c r="AA60" s="493">
        <f t="shared" si="71"/>
        <v>0.43727083253180254</v>
      </c>
      <c r="AB60" s="493">
        <f t="shared" si="72"/>
        <v>0.43727083253180254</v>
      </c>
      <c r="AC60" s="493">
        <f t="shared" si="73"/>
        <v>0.43727083253180254</v>
      </c>
      <c r="AD60" s="493">
        <f t="shared" si="74"/>
        <v>0.43727083253180254</v>
      </c>
      <c r="AE60" s="493">
        <f t="shared" si="75"/>
        <v>0.43727083253180254</v>
      </c>
      <c r="AF60" s="493">
        <f t="shared" si="76"/>
        <v>0.43727083253180254</v>
      </c>
      <c r="AG60" s="493">
        <f t="shared" si="77"/>
        <v>0.43727083253180254</v>
      </c>
      <c r="AH60" s="493">
        <f t="shared" si="78"/>
        <v>0.43727083253180254</v>
      </c>
      <c r="AI60" s="493">
        <f t="shared" si="79"/>
        <v>0.43727083253180254</v>
      </c>
      <c r="AJ60" s="493">
        <f t="shared" si="80"/>
        <v>0.43727083253180254</v>
      </c>
      <c r="AK60" s="493">
        <f t="shared" si="81"/>
        <v>0.43727083253180254</v>
      </c>
      <c r="AL60" s="493">
        <f t="shared" si="82"/>
        <v>0.43727083253180254</v>
      </c>
      <c r="AM60" s="493">
        <f t="shared" si="83"/>
        <v>0.43727083253180254</v>
      </c>
      <c r="AN60" s="493">
        <f t="shared" si="84"/>
        <v>0.43727083253180254</v>
      </c>
      <c r="AO60" s="493">
        <f t="shared" si="85"/>
        <v>0.43727083253180254</v>
      </c>
    </row>
    <row r="61" spans="1:41" hidden="1" x14ac:dyDescent="0.3">
      <c r="A61" s="112">
        <v>35</v>
      </c>
      <c r="B61" s="493">
        <f t="shared" si="46"/>
        <v>0.47200227831853225</v>
      </c>
      <c r="C61" s="493">
        <f t="shared" si="47"/>
        <v>0.47200227831853225</v>
      </c>
      <c r="D61" s="493">
        <f t="shared" si="48"/>
        <v>0.47200227831853225</v>
      </c>
      <c r="E61" s="493">
        <f t="shared" si="49"/>
        <v>0.47200227831853225</v>
      </c>
      <c r="F61" s="493">
        <f t="shared" si="50"/>
        <v>0.47200227831853225</v>
      </c>
      <c r="G61" s="493">
        <f t="shared" si="51"/>
        <v>0.47200227831853225</v>
      </c>
      <c r="H61" s="493">
        <f t="shared" si="52"/>
        <v>0.47200227831853225</v>
      </c>
      <c r="I61" s="493">
        <f t="shared" si="53"/>
        <v>0.46672172446570659</v>
      </c>
      <c r="J61" s="493">
        <f t="shared" si="54"/>
        <v>0.46150193976526854</v>
      </c>
      <c r="K61" s="493">
        <f t="shared" si="55"/>
        <v>0.45634220541318982</v>
      </c>
      <c r="L61" s="578">
        <f t="shared" si="56"/>
        <v>0.45327489321937053</v>
      </c>
      <c r="M61" s="493">
        <f t="shared" si="57"/>
        <v>0.45022879147803685</v>
      </c>
      <c r="N61" s="493">
        <f t="shared" si="58"/>
        <v>0.44720374941681446</v>
      </c>
      <c r="O61" s="493">
        <f t="shared" si="59"/>
        <v>0.44419961736423152</v>
      </c>
      <c r="P61" s="493">
        <f t="shared" si="60"/>
        <v>0.44121624674146359</v>
      </c>
      <c r="Q61" s="493">
        <f t="shared" si="61"/>
        <v>0.43825349005414593</v>
      </c>
      <c r="R61" s="493">
        <f t="shared" si="62"/>
        <v>0.43531120088424879</v>
      </c>
      <c r="S61" s="493">
        <f t="shared" si="63"/>
        <v>0.43238923388201495</v>
      </c>
      <c r="T61" s="493">
        <f t="shared" si="64"/>
        <v>0.42948744475795914</v>
      </c>
      <c r="U61" s="493">
        <f t="shared" si="65"/>
        <v>0.42660569027492934</v>
      </c>
      <c r="V61" s="493">
        <f t="shared" si="66"/>
        <v>0.42660569027492934</v>
      </c>
      <c r="W61" s="493">
        <f t="shared" si="67"/>
        <v>0.42660569027492934</v>
      </c>
      <c r="X61" s="493">
        <f t="shared" si="68"/>
        <v>0.42660569027492934</v>
      </c>
      <c r="Y61" s="493">
        <f t="shared" si="69"/>
        <v>0.42660569027492934</v>
      </c>
      <c r="Z61" s="493">
        <f t="shared" si="70"/>
        <v>0.42660569027492934</v>
      </c>
      <c r="AA61" s="493">
        <f t="shared" si="71"/>
        <v>0.42660569027492934</v>
      </c>
      <c r="AB61" s="493">
        <f t="shared" si="72"/>
        <v>0.42660569027492934</v>
      </c>
      <c r="AC61" s="493">
        <f t="shared" si="73"/>
        <v>0.42660569027492934</v>
      </c>
      <c r="AD61" s="493">
        <f t="shared" si="74"/>
        <v>0.42660569027492934</v>
      </c>
      <c r="AE61" s="493">
        <f t="shared" si="75"/>
        <v>0.42660569027492934</v>
      </c>
      <c r="AF61" s="493">
        <f t="shared" si="76"/>
        <v>0.42660569027492934</v>
      </c>
      <c r="AG61" s="493">
        <f t="shared" si="77"/>
        <v>0.42660569027492934</v>
      </c>
      <c r="AH61" s="493">
        <f t="shared" si="78"/>
        <v>0.42660569027492934</v>
      </c>
      <c r="AI61" s="493">
        <f t="shared" si="79"/>
        <v>0.42660569027492934</v>
      </c>
      <c r="AJ61" s="493">
        <f t="shared" si="80"/>
        <v>0.42660569027492934</v>
      </c>
      <c r="AK61" s="493">
        <f t="shared" si="81"/>
        <v>0.42660569027492934</v>
      </c>
      <c r="AL61" s="493">
        <f t="shared" si="82"/>
        <v>0.42660569027492934</v>
      </c>
      <c r="AM61" s="493">
        <f t="shared" si="83"/>
        <v>0.42660569027492934</v>
      </c>
      <c r="AN61" s="493">
        <f t="shared" si="84"/>
        <v>0.42660569027492934</v>
      </c>
      <c r="AO61" s="493">
        <f t="shared" si="85"/>
        <v>0.42660569027492934</v>
      </c>
    </row>
    <row r="62" spans="1:41" hidden="1" x14ac:dyDescent="0.3">
      <c r="A62" s="112">
        <v>36</v>
      </c>
      <c r="B62" s="493">
        <f t="shared" si="46"/>
        <v>0.46184175960717438</v>
      </c>
      <c r="C62" s="493">
        <f t="shared" si="47"/>
        <v>0.46184175960717438</v>
      </c>
      <c r="D62" s="493">
        <f t="shared" si="48"/>
        <v>0.46184175960717438</v>
      </c>
      <c r="E62" s="493">
        <f t="shared" si="49"/>
        <v>0.46184175960717438</v>
      </c>
      <c r="F62" s="493">
        <f t="shared" si="50"/>
        <v>0.46184175960717438</v>
      </c>
      <c r="G62" s="493">
        <f t="shared" si="51"/>
        <v>0.46184175960717438</v>
      </c>
      <c r="H62" s="493">
        <f t="shared" si="52"/>
        <v>0.46184175960717438</v>
      </c>
      <c r="I62" s="493">
        <f t="shared" si="53"/>
        <v>0.45652597763192693</v>
      </c>
      <c r="J62" s="493">
        <f t="shared" si="54"/>
        <v>0.45127308321245307</v>
      </c>
      <c r="K62" s="493">
        <f t="shared" si="55"/>
        <v>0.44608231223185718</v>
      </c>
      <c r="L62" s="578">
        <f t="shared" si="56"/>
        <v>0.44299735459281714</v>
      </c>
      <c r="M62" s="493">
        <f t="shared" si="57"/>
        <v>0.43993432819819889</v>
      </c>
      <c r="N62" s="493">
        <f t="shared" si="58"/>
        <v>0.43689307289645801</v>
      </c>
      <c r="O62" s="493">
        <f t="shared" si="59"/>
        <v>0.43387342973650272</v>
      </c>
      <c r="P62" s="493">
        <f t="shared" si="60"/>
        <v>0.43087524095846047</v>
      </c>
      <c r="Q62" s="493">
        <f t="shared" si="61"/>
        <v>0.42789834998452053</v>
      </c>
      <c r="R62" s="493">
        <f t="shared" si="62"/>
        <v>0.42494260140984852</v>
      </c>
      <c r="S62" s="493">
        <f t="shared" si="63"/>
        <v>0.42200784099357302</v>
      </c>
      <c r="T62" s="493">
        <f t="shared" si="64"/>
        <v>0.41909391564984305</v>
      </c>
      <c r="U62" s="493">
        <f t="shared" si="65"/>
        <v>0.4162006734389555</v>
      </c>
      <c r="V62" s="493">
        <f t="shared" si="66"/>
        <v>0.4162006734389555</v>
      </c>
      <c r="W62" s="493">
        <f t="shared" si="67"/>
        <v>0.4162006734389555</v>
      </c>
      <c r="X62" s="493">
        <f t="shared" si="68"/>
        <v>0.4162006734389555</v>
      </c>
      <c r="Y62" s="493">
        <f t="shared" si="69"/>
        <v>0.4162006734389555</v>
      </c>
      <c r="Z62" s="493">
        <f t="shared" si="70"/>
        <v>0.4162006734389555</v>
      </c>
      <c r="AA62" s="493">
        <f t="shared" si="71"/>
        <v>0.4162006734389555</v>
      </c>
      <c r="AB62" s="493">
        <f t="shared" si="72"/>
        <v>0.4162006734389555</v>
      </c>
      <c r="AC62" s="493">
        <f t="shared" si="73"/>
        <v>0.4162006734389555</v>
      </c>
      <c r="AD62" s="493">
        <f t="shared" si="74"/>
        <v>0.4162006734389555</v>
      </c>
      <c r="AE62" s="493">
        <f t="shared" si="75"/>
        <v>0.4162006734389555</v>
      </c>
      <c r="AF62" s="493">
        <f t="shared" si="76"/>
        <v>0.4162006734389555</v>
      </c>
      <c r="AG62" s="493">
        <f t="shared" si="77"/>
        <v>0.4162006734389555</v>
      </c>
      <c r="AH62" s="493">
        <f t="shared" si="78"/>
        <v>0.4162006734389555</v>
      </c>
      <c r="AI62" s="493">
        <f t="shared" si="79"/>
        <v>0.4162006734389555</v>
      </c>
      <c r="AJ62" s="493">
        <f t="shared" si="80"/>
        <v>0.4162006734389555</v>
      </c>
      <c r="AK62" s="493">
        <f t="shared" si="81"/>
        <v>0.4162006734389555</v>
      </c>
      <c r="AL62" s="493">
        <f t="shared" si="82"/>
        <v>0.4162006734389555</v>
      </c>
      <c r="AM62" s="493">
        <f t="shared" si="83"/>
        <v>0.4162006734389555</v>
      </c>
      <c r="AN62" s="493">
        <f t="shared" si="84"/>
        <v>0.4162006734389555</v>
      </c>
      <c r="AO62" s="493">
        <f t="shared" si="85"/>
        <v>0.4162006734389555</v>
      </c>
    </row>
    <row r="63" spans="1:41" hidden="1" x14ac:dyDescent="0.3">
      <c r="A63" s="112">
        <v>37</v>
      </c>
      <c r="B63" s="493">
        <f t="shared" si="46"/>
        <v>0.45189996047668723</v>
      </c>
      <c r="C63" s="493">
        <f t="shared" si="47"/>
        <v>0.45189996047668723</v>
      </c>
      <c r="D63" s="493">
        <f t="shared" si="48"/>
        <v>0.45189996047668723</v>
      </c>
      <c r="E63" s="493">
        <f t="shared" si="49"/>
        <v>0.45189996047668723</v>
      </c>
      <c r="F63" s="493">
        <f t="shared" si="50"/>
        <v>0.45189996047668723</v>
      </c>
      <c r="G63" s="493">
        <f t="shared" si="51"/>
        <v>0.45189996047668723</v>
      </c>
      <c r="H63" s="493">
        <f t="shared" si="52"/>
        <v>0.45189996047668723</v>
      </c>
      <c r="I63" s="493">
        <f t="shared" si="53"/>
        <v>0.44655296149194024</v>
      </c>
      <c r="J63" s="493">
        <f t="shared" si="54"/>
        <v>0.44127094186354598</v>
      </c>
      <c r="K63" s="493">
        <f t="shared" si="55"/>
        <v>0.43605309113573526</v>
      </c>
      <c r="L63" s="578">
        <f t="shared" si="56"/>
        <v>0.43295284850744431</v>
      </c>
      <c r="M63" s="493">
        <f t="shared" si="57"/>
        <v>0.42987524740883215</v>
      </c>
      <c r="N63" s="493">
        <f t="shared" si="58"/>
        <v>0.4268201181090836</v>
      </c>
      <c r="O63" s="493">
        <f t="shared" si="59"/>
        <v>0.42378729218255784</v>
      </c>
      <c r="P63" s="493">
        <f t="shared" si="60"/>
        <v>0.42077660249849658</v>
      </c>
      <c r="Q63" s="493">
        <f t="shared" si="61"/>
        <v>0.41778788321081872</v>
      </c>
      <c r="R63" s="493">
        <f t="shared" si="62"/>
        <v>0.41482096974799731</v>
      </c>
      <c r="S63" s="493">
        <f t="shared" si="63"/>
        <v>0.41187569880301877</v>
      </c>
      <c r="T63" s="493">
        <f t="shared" si="64"/>
        <v>0.40895190832342221</v>
      </c>
      <c r="U63" s="493">
        <f t="shared" si="65"/>
        <v>0.40604943750142009</v>
      </c>
      <c r="V63" s="493">
        <f t="shared" si="66"/>
        <v>0.40604943750142009</v>
      </c>
      <c r="W63" s="493">
        <f t="shared" si="67"/>
        <v>0.40604943750142009</v>
      </c>
      <c r="X63" s="493">
        <f t="shared" si="68"/>
        <v>0.40604943750142009</v>
      </c>
      <c r="Y63" s="493">
        <f t="shared" si="69"/>
        <v>0.40604943750142009</v>
      </c>
      <c r="Z63" s="493">
        <f t="shared" si="70"/>
        <v>0.40604943750142009</v>
      </c>
      <c r="AA63" s="493">
        <f t="shared" si="71"/>
        <v>0.40604943750142009</v>
      </c>
      <c r="AB63" s="493">
        <f t="shared" si="72"/>
        <v>0.40604943750142009</v>
      </c>
      <c r="AC63" s="493">
        <f t="shared" si="73"/>
        <v>0.40604943750142009</v>
      </c>
      <c r="AD63" s="493">
        <f t="shared" si="74"/>
        <v>0.40604943750142009</v>
      </c>
      <c r="AE63" s="493">
        <f t="shared" si="75"/>
        <v>0.40604943750142009</v>
      </c>
      <c r="AF63" s="493">
        <f t="shared" si="76"/>
        <v>0.40604943750142009</v>
      </c>
      <c r="AG63" s="493">
        <f t="shared" si="77"/>
        <v>0.40604943750142009</v>
      </c>
      <c r="AH63" s="493">
        <f t="shared" si="78"/>
        <v>0.40604943750142009</v>
      </c>
      <c r="AI63" s="493">
        <f t="shared" si="79"/>
        <v>0.40604943750142009</v>
      </c>
      <c r="AJ63" s="493">
        <f t="shared" si="80"/>
        <v>0.40604943750142009</v>
      </c>
      <c r="AK63" s="493">
        <f t="shared" si="81"/>
        <v>0.40604943750142009</v>
      </c>
      <c r="AL63" s="493">
        <f t="shared" si="82"/>
        <v>0.40604943750142009</v>
      </c>
      <c r="AM63" s="493">
        <f t="shared" si="83"/>
        <v>0.40604943750142009</v>
      </c>
      <c r="AN63" s="493">
        <f t="shared" si="84"/>
        <v>0.40604943750142009</v>
      </c>
      <c r="AO63" s="493">
        <f t="shared" si="85"/>
        <v>0.40604943750142009</v>
      </c>
    </row>
    <row r="64" spans="1:41" hidden="1" x14ac:dyDescent="0.3">
      <c r="A64" s="112">
        <v>38</v>
      </c>
      <c r="B64" s="493">
        <f t="shared" si="46"/>
        <v>0.4421721726777762</v>
      </c>
      <c r="C64" s="493">
        <f t="shared" si="47"/>
        <v>0.4421721726777762</v>
      </c>
      <c r="D64" s="493">
        <f t="shared" si="48"/>
        <v>0.4421721726777762</v>
      </c>
      <c r="E64" s="493">
        <f t="shared" si="49"/>
        <v>0.4421721726777762</v>
      </c>
      <c r="F64" s="493">
        <f t="shared" si="50"/>
        <v>0.4421721726777762</v>
      </c>
      <c r="G64" s="493">
        <f t="shared" si="51"/>
        <v>0.4421721726777762</v>
      </c>
      <c r="H64" s="493">
        <f t="shared" si="52"/>
        <v>0.4421721726777762</v>
      </c>
      <c r="I64" s="493">
        <f t="shared" si="53"/>
        <v>0.43679781039315962</v>
      </c>
      <c r="J64" s="493">
        <f t="shared" si="54"/>
        <v>0.43149049074010365</v>
      </c>
      <c r="K64" s="493">
        <f t="shared" si="55"/>
        <v>0.42624935594891034</v>
      </c>
      <c r="L64" s="578">
        <f t="shared" si="56"/>
        <v>0.42313609119179463</v>
      </c>
      <c r="M64" s="493">
        <f t="shared" si="57"/>
        <v>0.42004616709872206</v>
      </c>
      <c r="N64" s="493">
        <f t="shared" si="58"/>
        <v>0.4169794041706561</v>
      </c>
      <c r="O64" s="493">
        <f t="shared" si="59"/>
        <v>0.41393562432365483</v>
      </c>
      <c r="P64" s="493">
        <f t="shared" si="60"/>
        <v>0.41091465087743806</v>
      </c>
      <c r="Q64" s="493">
        <f t="shared" si="61"/>
        <v>0.40791630854405264</v>
      </c>
      <c r="R64" s="493">
        <f t="shared" si="62"/>
        <v>0.40494042341663156</v>
      </c>
      <c r="S64" s="493">
        <f t="shared" si="63"/>
        <v>0.40198682295824595</v>
      </c>
      <c r="T64" s="493">
        <f t="shared" si="64"/>
        <v>0.39905533599084919</v>
      </c>
      <c r="U64" s="493">
        <f t="shared" si="65"/>
        <v>0.39614579268431233</v>
      </c>
      <c r="V64" s="493">
        <f t="shared" si="66"/>
        <v>0.39614579268431233</v>
      </c>
      <c r="W64" s="493">
        <f t="shared" si="67"/>
        <v>0.39614579268431233</v>
      </c>
      <c r="X64" s="493">
        <f t="shared" si="68"/>
        <v>0.39614579268431233</v>
      </c>
      <c r="Y64" s="493">
        <f t="shared" si="69"/>
        <v>0.39614579268431233</v>
      </c>
      <c r="Z64" s="493">
        <f t="shared" si="70"/>
        <v>0.39614579268431233</v>
      </c>
      <c r="AA64" s="493">
        <f t="shared" si="71"/>
        <v>0.39614579268431233</v>
      </c>
      <c r="AB64" s="493">
        <f t="shared" si="72"/>
        <v>0.39614579268431233</v>
      </c>
      <c r="AC64" s="493">
        <f t="shared" si="73"/>
        <v>0.39614579268431233</v>
      </c>
      <c r="AD64" s="493">
        <f t="shared" si="74"/>
        <v>0.39614579268431233</v>
      </c>
      <c r="AE64" s="493">
        <f t="shared" si="75"/>
        <v>0.39614579268431233</v>
      </c>
      <c r="AF64" s="493">
        <f t="shared" si="76"/>
        <v>0.39614579268431233</v>
      </c>
      <c r="AG64" s="493">
        <f t="shared" si="77"/>
        <v>0.39614579268431233</v>
      </c>
      <c r="AH64" s="493">
        <f t="shared" si="78"/>
        <v>0.39614579268431233</v>
      </c>
      <c r="AI64" s="493">
        <f t="shared" si="79"/>
        <v>0.39614579268431233</v>
      </c>
      <c r="AJ64" s="493">
        <f t="shared" si="80"/>
        <v>0.39614579268431233</v>
      </c>
      <c r="AK64" s="493">
        <f t="shared" si="81"/>
        <v>0.39614579268431233</v>
      </c>
      <c r="AL64" s="493">
        <f t="shared" si="82"/>
        <v>0.39614579268431233</v>
      </c>
      <c r="AM64" s="493">
        <f t="shared" si="83"/>
        <v>0.39614579268431233</v>
      </c>
      <c r="AN64" s="493">
        <f t="shared" si="84"/>
        <v>0.39614579268431233</v>
      </c>
      <c r="AO64" s="493">
        <f t="shared" si="85"/>
        <v>0.39614579268431233</v>
      </c>
    </row>
    <row r="65" spans="1:41" hidden="1" x14ac:dyDescent="0.3">
      <c r="A65" s="112">
        <v>39</v>
      </c>
      <c r="B65" s="493">
        <f t="shared" si="46"/>
        <v>0.43265378931289256</v>
      </c>
      <c r="C65" s="493">
        <f t="shared" si="47"/>
        <v>0.43265378931289256</v>
      </c>
      <c r="D65" s="493">
        <f t="shared" si="48"/>
        <v>0.43265378931289256</v>
      </c>
      <c r="E65" s="493">
        <f t="shared" si="49"/>
        <v>0.43265378931289256</v>
      </c>
      <c r="F65" s="493">
        <f t="shared" si="50"/>
        <v>0.43265378931289256</v>
      </c>
      <c r="G65" s="493">
        <f t="shared" si="51"/>
        <v>0.43265378931289256</v>
      </c>
      <c r="H65" s="493">
        <f t="shared" si="52"/>
        <v>0.43265378931289256</v>
      </c>
      <c r="I65" s="493">
        <f t="shared" si="53"/>
        <v>0.42725576497537626</v>
      </c>
      <c r="J65" s="493">
        <f t="shared" si="54"/>
        <v>0.42192681623869333</v>
      </c>
      <c r="K65" s="493">
        <f t="shared" si="55"/>
        <v>0.41666603709570915</v>
      </c>
      <c r="L65" s="578">
        <f t="shared" si="56"/>
        <v>0.41354191867845447</v>
      </c>
      <c r="M65" s="493">
        <f t="shared" si="57"/>
        <v>0.41044182831612469</v>
      </c>
      <c r="N65" s="493">
        <f t="shared" si="58"/>
        <v>0.40736557656375155</v>
      </c>
      <c r="O65" s="493">
        <f t="shared" si="59"/>
        <v>0.40431297550659784</v>
      </c>
      <c r="P65" s="493">
        <f t="shared" si="60"/>
        <v>0.40128383874749807</v>
      </c>
      <c r="Q65" s="493">
        <f t="shared" si="61"/>
        <v>0.39827798139431037</v>
      </c>
      <c r="R65" s="493">
        <f t="shared" si="62"/>
        <v>0.39529522004747319</v>
      </c>
      <c r="S65" s="493">
        <f t="shared" si="63"/>
        <v>0.39233537278766928</v>
      </c>
      <c r="T65" s="493">
        <f t="shared" si="64"/>
        <v>0.38939825916359216</v>
      </c>
      <c r="U65" s="493">
        <f t="shared" si="65"/>
        <v>0.38648370017981692</v>
      </c>
      <c r="V65" s="493">
        <f t="shared" si="66"/>
        <v>0.38648370017981692</v>
      </c>
      <c r="W65" s="493">
        <f t="shared" si="67"/>
        <v>0.38648370017981692</v>
      </c>
      <c r="X65" s="493">
        <f t="shared" si="68"/>
        <v>0.38648370017981692</v>
      </c>
      <c r="Y65" s="493">
        <f t="shared" si="69"/>
        <v>0.38648370017981692</v>
      </c>
      <c r="Z65" s="493">
        <f t="shared" si="70"/>
        <v>0.38648370017981692</v>
      </c>
      <c r="AA65" s="493">
        <f t="shared" si="71"/>
        <v>0.38648370017981692</v>
      </c>
      <c r="AB65" s="493">
        <f t="shared" si="72"/>
        <v>0.38648370017981692</v>
      </c>
      <c r="AC65" s="493">
        <f t="shared" si="73"/>
        <v>0.38648370017981692</v>
      </c>
      <c r="AD65" s="493">
        <f t="shared" si="74"/>
        <v>0.38648370017981692</v>
      </c>
      <c r="AE65" s="493">
        <f t="shared" si="75"/>
        <v>0.38648370017981692</v>
      </c>
      <c r="AF65" s="493">
        <f t="shared" si="76"/>
        <v>0.38648370017981692</v>
      </c>
      <c r="AG65" s="493">
        <f t="shared" si="77"/>
        <v>0.38648370017981692</v>
      </c>
      <c r="AH65" s="493">
        <f t="shared" si="78"/>
        <v>0.38648370017981692</v>
      </c>
      <c r="AI65" s="493">
        <f t="shared" si="79"/>
        <v>0.38648370017981692</v>
      </c>
      <c r="AJ65" s="493">
        <f t="shared" si="80"/>
        <v>0.38648370017981692</v>
      </c>
      <c r="AK65" s="493">
        <f t="shared" si="81"/>
        <v>0.38648370017981692</v>
      </c>
      <c r="AL65" s="493">
        <f t="shared" si="82"/>
        <v>0.38648370017981692</v>
      </c>
      <c r="AM65" s="493">
        <f t="shared" si="83"/>
        <v>0.38648370017981692</v>
      </c>
      <c r="AN65" s="493">
        <f t="shared" si="84"/>
        <v>0.38648370017981692</v>
      </c>
      <c r="AO65" s="493">
        <f t="shared" si="85"/>
        <v>0.38648370017981692</v>
      </c>
    </row>
    <row r="66" spans="1:41" hidden="1" x14ac:dyDescent="0.3">
      <c r="A66" s="112">
        <v>40</v>
      </c>
      <c r="B66" s="493">
        <f t="shared" si="46"/>
        <v>0.42334030265449368</v>
      </c>
      <c r="C66" s="493">
        <f t="shared" si="47"/>
        <v>0.42334030265449368</v>
      </c>
      <c r="D66" s="493">
        <f t="shared" si="48"/>
        <v>0.42334030265449368</v>
      </c>
      <c r="E66" s="493">
        <f t="shared" si="49"/>
        <v>0.42334030265449368</v>
      </c>
      <c r="F66" s="493">
        <f t="shared" si="50"/>
        <v>0.42334030265449368</v>
      </c>
      <c r="G66" s="493">
        <f t="shared" si="51"/>
        <v>0.42334030265449368</v>
      </c>
      <c r="H66" s="493">
        <f t="shared" si="52"/>
        <v>0.42334030265449368</v>
      </c>
      <c r="I66" s="493">
        <f t="shared" si="53"/>
        <v>0.41792216984875408</v>
      </c>
      <c r="J66" s="493">
        <f t="shared" si="54"/>
        <v>0.41257511366234678</v>
      </c>
      <c r="K66" s="493">
        <f t="shared" si="55"/>
        <v>0.4072981789791878</v>
      </c>
      <c r="L66" s="578">
        <f t="shared" si="56"/>
        <v>0.40416528408762159</v>
      </c>
      <c r="M66" s="493">
        <f t="shared" si="57"/>
        <v>0.4010570923550173</v>
      </c>
      <c r="N66" s="493">
        <f t="shared" si="58"/>
        <v>0.39797340422406363</v>
      </c>
      <c r="O66" s="493">
        <f t="shared" si="59"/>
        <v>0.39491402178804241</v>
      </c>
      <c r="P66" s="493">
        <f t="shared" si="60"/>
        <v>0.39187874877685358</v>
      </c>
      <c r="Q66" s="493">
        <f t="shared" si="61"/>
        <v>0.38886739054316571</v>
      </c>
      <c r="R66" s="493">
        <f t="shared" si="62"/>
        <v>0.38587975404868535</v>
      </c>
      <c r="S66" s="493">
        <f t="shared" si="63"/>
        <v>0.38291564785054594</v>
      </c>
      <c r="T66" s="493">
        <f t="shared" si="64"/>
        <v>0.37997488208781438</v>
      </c>
      <c r="U66" s="493">
        <f t="shared" si="65"/>
        <v>0.37705726846811405</v>
      </c>
      <c r="V66" s="493">
        <f t="shared" si="66"/>
        <v>0.37705726846811405</v>
      </c>
      <c r="W66" s="493">
        <f t="shared" si="67"/>
        <v>0.37705726846811405</v>
      </c>
      <c r="X66" s="493">
        <f t="shared" si="68"/>
        <v>0.37705726846811405</v>
      </c>
      <c r="Y66" s="493">
        <f t="shared" si="69"/>
        <v>0.37705726846811405</v>
      </c>
      <c r="Z66" s="493">
        <f t="shared" si="70"/>
        <v>0.37705726846811405</v>
      </c>
      <c r="AA66" s="493">
        <f t="shared" si="71"/>
        <v>0.37705726846811405</v>
      </c>
      <c r="AB66" s="493">
        <f t="shared" si="72"/>
        <v>0.37705726846811405</v>
      </c>
      <c r="AC66" s="493">
        <f t="shared" si="73"/>
        <v>0.37705726846811405</v>
      </c>
      <c r="AD66" s="493">
        <f t="shared" si="74"/>
        <v>0.37705726846811405</v>
      </c>
      <c r="AE66" s="493">
        <f t="shared" si="75"/>
        <v>0.37705726846811405</v>
      </c>
      <c r="AF66" s="493">
        <f t="shared" si="76"/>
        <v>0.37705726846811405</v>
      </c>
      <c r="AG66" s="493">
        <f t="shared" si="77"/>
        <v>0.37705726846811405</v>
      </c>
      <c r="AH66" s="493">
        <f t="shared" si="78"/>
        <v>0.37705726846811405</v>
      </c>
      <c r="AI66" s="493">
        <f t="shared" si="79"/>
        <v>0.37705726846811405</v>
      </c>
      <c r="AJ66" s="493">
        <f t="shared" si="80"/>
        <v>0.37705726846811405</v>
      </c>
      <c r="AK66" s="493">
        <f t="shared" si="81"/>
        <v>0.37705726846811405</v>
      </c>
      <c r="AL66" s="493">
        <f t="shared" si="82"/>
        <v>0.37705726846811405</v>
      </c>
      <c r="AM66" s="493">
        <f t="shared" si="83"/>
        <v>0.37705726846811405</v>
      </c>
      <c r="AN66" s="493">
        <f t="shared" si="84"/>
        <v>0.37705726846811405</v>
      </c>
      <c r="AO66" s="493">
        <f t="shared" si="85"/>
        <v>0.37705726846811405</v>
      </c>
    </row>
    <row r="67" spans="1:41" hidden="1" x14ac:dyDescent="0.3">
      <c r="A67" s="112">
        <v>41</v>
      </c>
      <c r="B67" s="493">
        <f t="shared" si="46"/>
        <v>0.4142273020102677</v>
      </c>
      <c r="C67" s="493">
        <f t="shared" si="47"/>
        <v>0.4142273020102677</v>
      </c>
      <c r="D67" s="493">
        <f t="shared" si="48"/>
        <v>0.4142273020102677</v>
      </c>
      <c r="E67" s="493">
        <f t="shared" si="49"/>
        <v>0.4142273020102677</v>
      </c>
      <c r="F67" s="493">
        <f t="shared" si="50"/>
        <v>0.4142273020102677</v>
      </c>
      <c r="G67" s="493">
        <f t="shared" si="51"/>
        <v>0.4142273020102677</v>
      </c>
      <c r="H67" s="493">
        <f t="shared" si="52"/>
        <v>0.4142273020102677</v>
      </c>
      <c r="I67" s="493">
        <f t="shared" si="53"/>
        <v>0.40879247132255048</v>
      </c>
      <c r="J67" s="493">
        <f t="shared" si="54"/>
        <v>0.40343068480672761</v>
      </c>
      <c r="K67" s="493">
        <f t="shared" si="55"/>
        <v>0.39814093741856099</v>
      </c>
      <c r="L67" s="578">
        <f t="shared" si="56"/>
        <v>0.39500125497226507</v>
      </c>
      <c r="M67" s="493">
        <f t="shared" si="57"/>
        <v>0.39188693800568425</v>
      </c>
      <c r="N67" s="493">
        <f t="shared" si="58"/>
        <v>0.38879777669408322</v>
      </c>
      <c r="O67" s="493">
        <f t="shared" si="59"/>
        <v>0.38573356298890643</v>
      </c>
      <c r="P67" s="493">
        <f t="shared" si="60"/>
        <v>0.38269409060239606</v>
      </c>
      <c r="Q67" s="493">
        <f t="shared" si="61"/>
        <v>0.37967915499235078</v>
      </c>
      <c r="R67" s="493">
        <f t="shared" si="62"/>
        <v>0.37668855334701812</v>
      </c>
      <c r="S67" s="493">
        <f t="shared" si="63"/>
        <v>0.3737220845701209</v>
      </c>
      <c r="T67" s="493">
        <f t="shared" si="64"/>
        <v>0.37077954926601714</v>
      </c>
      <c r="U67" s="493">
        <f t="shared" si="65"/>
        <v>0.36786074972498933</v>
      </c>
      <c r="V67" s="493">
        <f t="shared" si="66"/>
        <v>0.36786074972498933</v>
      </c>
      <c r="W67" s="493">
        <f t="shared" si="67"/>
        <v>0.36786074972498933</v>
      </c>
      <c r="X67" s="493">
        <f t="shared" si="68"/>
        <v>0.36786074972498933</v>
      </c>
      <c r="Y67" s="493">
        <f t="shared" si="69"/>
        <v>0.36786074972498933</v>
      </c>
      <c r="Z67" s="493">
        <f t="shared" si="70"/>
        <v>0.36786074972498933</v>
      </c>
      <c r="AA67" s="493">
        <f t="shared" si="71"/>
        <v>0.36786074972498933</v>
      </c>
      <c r="AB67" s="493">
        <f t="shared" si="72"/>
        <v>0.36786074972498933</v>
      </c>
      <c r="AC67" s="493">
        <f t="shared" si="73"/>
        <v>0.36786074972498933</v>
      </c>
      <c r="AD67" s="493">
        <f t="shared" si="74"/>
        <v>0.36786074972498933</v>
      </c>
      <c r="AE67" s="493">
        <f t="shared" si="75"/>
        <v>0.36786074972498933</v>
      </c>
      <c r="AF67" s="493">
        <f t="shared" si="76"/>
        <v>0.36786074972498933</v>
      </c>
      <c r="AG67" s="493">
        <f t="shared" si="77"/>
        <v>0.36786074972498933</v>
      </c>
      <c r="AH67" s="493">
        <f t="shared" si="78"/>
        <v>0.36786074972498933</v>
      </c>
      <c r="AI67" s="493">
        <f t="shared" si="79"/>
        <v>0.36786074972498933</v>
      </c>
      <c r="AJ67" s="493">
        <f t="shared" si="80"/>
        <v>0.36786074972498933</v>
      </c>
      <c r="AK67" s="493">
        <f t="shared" si="81"/>
        <v>0.36786074972498933</v>
      </c>
      <c r="AL67" s="493">
        <f t="shared" si="82"/>
        <v>0.36786074972498933</v>
      </c>
      <c r="AM67" s="493">
        <f t="shared" si="83"/>
        <v>0.36786074972498933</v>
      </c>
      <c r="AN67" s="493">
        <f t="shared" si="84"/>
        <v>0.36786074972498933</v>
      </c>
      <c r="AO67" s="493">
        <f t="shared" si="85"/>
        <v>0.36786074972498933</v>
      </c>
    </row>
    <row r="68" spans="1:41" hidden="1" x14ac:dyDescent="0.3">
      <c r="A68" s="112">
        <v>42</v>
      </c>
      <c r="B68" s="493">
        <f t="shared" si="46"/>
        <v>0.40531047163431283</v>
      </c>
      <c r="C68" s="493">
        <f t="shared" si="47"/>
        <v>0.40531047163431283</v>
      </c>
      <c r="D68" s="493">
        <f t="shared" si="48"/>
        <v>0.40531047163431283</v>
      </c>
      <c r="E68" s="493">
        <f t="shared" si="49"/>
        <v>0.40531047163431283</v>
      </c>
      <c r="F68" s="493">
        <f t="shared" si="50"/>
        <v>0.40531047163431283</v>
      </c>
      <c r="G68" s="493">
        <f t="shared" si="51"/>
        <v>0.40531047163431283</v>
      </c>
      <c r="H68" s="493">
        <f t="shared" si="52"/>
        <v>0.40531047163431283</v>
      </c>
      <c r="I68" s="493">
        <f t="shared" si="53"/>
        <v>0.39986221518345333</v>
      </c>
      <c r="J68" s="493">
        <f t="shared" si="54"/>
        <v>0.39448893559979892</v>
      </c>
      <c r="K68" s="493">
        <f t="shared" si="55"/>
        <v>0.3891895771442434</v>
      </c>
      <c r="L68" s="578">
        <f t="shared" si="56"/>
        <v>0.38604501072348024</v>
      </c>
      <c r="M68" s="493">
        <f t="shared" si="57"/>
        <v>0.38292645886816906</v>
      </c>
      <c r="N68" s="493">
        <f t="shared" si="58"/>
        <v>0.37983370134240252</v>
      </c>
      <c r="O68" s="493">
        <f t="shared" si="59"/>
        <v>0.37676651981725573</v>
      </c>
      <c r="P68" s="493">
        <f t="shared" si="60"/>
        <v>0.37372469785390244</v>
      </c>
      <c r="Q68" s="493">
        <f t="shared" si="61"/>
        <v>0.37070802088688809</v>
      </c>
      <c r="R68" s="493">
        <f t="shared" si="62"/>
        <v>0.36771627620755376</v>
      </c>
      <c r="S68" s="493">
        <f t="shared" si="63"/>
        <v>0.36474925294760979</v>
      </c>
      <c r="T68" s="493">
        <f t="shared" si="64"/>
        <v>0.36180674206285829</v>
      </c>
      <c r="U68" s="493">
        <f t="shared" si="65"/>
        <v>0.35888853631706286</v>
      </c>
      <c r="V68" s="493">
        <f t="shared" si="66"/>
        <v>0.35888853631706286</v>
      </c>
      <c r="W68" s="493">
        <f t="shared" si="67"/>
        <v>0.35888853631706286</v>
      </c>
      <c r="X68" s="493">
        <f t="shared" si="68"/>
        <v>0.35888853631706286</v>
      </c>
      <c r="Y68" s="493">
        <f t="shared" si="69"/>
        <v>0.35888853631706286</v>
      </c>
      <c r="Z68" s="493">
        <f t="shared" si="70"/>
        <v>0.35888853631706286</v>
      </c>
      <c r="AA68" s="493">
        <f t="shared" si="71"/>
        <v>0.35888853631706286</v>
      </c>
      <c r="AB68" s="493">
        <f t="shared" si="72"/>
        <v>0.35888853631706286</v>
      </c>
      <c r="AC68" s="493">
        <f t="shared" si="73"/>
        <v>0.35888853631706286</v>
      </c>
      <c r="AD68" s="493">
        <f t="shared" si="74"/>
        <v>0.35888853631706286</v>
      </c>
      <c r="AE68" s="493">
        <f t="shared" si="75"/>
        <v>0.35888853631706286</v>
      </c>
      <c r="AF68" s="493">
        <f t="shared" si="76"/>
        <v>0.35888853631706286</v>
      </c>
      <c r="AG68" s="493">
        <f t="shared" si="77"/>
        <v>0.35888853631706286</v>
      </c>
      <c r="AH68" s="493">
        <f t="shared" si="78"/>
        <v>0.35888853631706286</v>
      </c>
      <c r="AI68" s="493">
        <f t="shared" si="79"/>
        <v>0.35888853631706286</v>
      </c>
      <c r="AJ68" s="493">
        <f t="shared" si="80"/>
        <v>0.35888853631706286</v>
      </c>
      <c r="AK68" s="493">
        <f t="shared" si="81"/>
        <v>0.35888853631706286</v>
      </c>
      <c r="AL68" s="493">
        <f t="shared" si="82"/>
        <v>0.35888853631706286</v>
      </c>
      <c r="AM68" s="493">
        <f t="shared" si="83"/>
        <v>0.35888853631706286</v>
      </c>
      <c r="AN68" s="493">
        <f t="shared" si="84"/>
        <v>0.35888853631706286</v>
      </c>
      <c r="AO68" s="493">
        <f t="shared" si="85"/>
        <v>0.35888853631706286</v>
      </c>
    </row>
    <row r="69" spans="1:41" hidden="1" x14ac:dyDescent="0.3">
      <c r="A69" s="112">
        <v>43</v>
      </c>
      <c r="B69" s="493">
        <f t="shared" si="46"/>
        <v>0.39658558868328064</v>
      </c>
      <c r="C69" s="493">
        <f t="shared" si="47"/>
        <v>0.39658558868328064</v>
      </c>
      <c r="D69" s="493">
        <f t="shared" si="48"/>
        <v>0.39658558868328064</v>
      </c>
      <c r="E69" s="493">
        <f t="shared" si="49"/>
        <v>0.39658558868328064</v>
      </c>
      <c r="F69" s="493">
        <f t="shared" si="50"/>
        <v>0.39658558868328064</v>
      </c>
      <c r="G69" s="493">
        <f t="shared" si="51"/>
        <v>0.39658558868328064</v>
      </c>
      <c r="H69" s="493">
        <f t="shared" si="52"/>
        <v>0.39658558868328064</v>
      </c>
      <c r="I69" s="493">
        <f t="shared" si="53"/>
        <v>0.39112704452245195</v>
      </c>
      <c r="J69" s="493">
        <f t="shared" si="54"/>
        <v>0.38574537379380602</v>
      </c>
      <c r="K69" s="493">
        <f t="shared" si="55"/>
        <v>0.38043946934921158</v>
      </c>
      <c r="L69" s="578">
        <f t="shared" si="56"/>
        <v>0.3772918400346757</v>
      </c>
      <c r="M69" s="493">
        <f t="shared" si="57"/>
        <v>0.37417086072715366</v>
      </c>
      <c r="N69" s="493">
        <f t="shared" si="58"/>
        <v>0.37107630064713021</v>
      </c>
      <c r="O69" s="493">
        <f t="shared" si="59"/>
        <v>0.3680079310580735</v>
      </c>
      <c r="P69" s="493">
        <f t="shared" si="60"/>
        <v>0.36496552524795156</v>
      </c>
      <c r="Q69" s="493">
        <f t="shared" si="61"/>
        <v>0.36194885851092379</v>
      </c>
      <c r="R69" s="493">
        <f t="shared" si="62"/>
        <v>0.35895770812920125</v>
      </c>
      <c r="S69" s="493">
        <f t="shared" si="63"/>
        <v>0.35599185335507494</v>
      </c>
      <c r="T69" s="493">
        <f t="shared" si="64"/>
        <v>0.3530510753931092</v>
      </c>
      <c r="U69" s="493">
        <f t="shared" si="65"/>
        <v>0.35013515738250034</v>
      </c>
      <c r="V69" s="493">
        <f t="shared" si="66"/>
        <v>0.35013515738250034</v>
      </c>
      <c r="W69" s="493">
        <f t="shared" si="67"/>
        <v>0.35013515738250034</v>
      </c>
      <c r="X69" s="493">
        <f t="shared" si="68"/>
        <v>0.35013515738250034</v>
      </c>
      <c r="Y69" s="493">
        <f t="shared" si="69"/>
        <v>0.35013515738250034</v>
      </c>
      <c r="Z69" s="493">
        <f t="shared" si="70"/>
        <v>0.35013515738250034</v>
      </c>
      <c r="AA69" s="493">
        <f t="shared" si="71"/>
        <v>0.35013515738250034</v>
      </c>
      <c r="AB69" s="493">
        <f t="shared" si="72"/>
        <v>0.35013515738250034</v>
      </c>
      <c r="AC69" s="493">
        <f t="shared" si="73"/>
        <v>0.35013515738250034</v>
      </c>
      <c r="AD69" s="493">
        <f t="shared" si="74"/>
        <v>0.35013515738250034</v>
      </c>
      <c r="AE69" s="493">
        <f t="shared" si="75"/>
        <v>0.35013515738250034</v>
      </c>
      <c r="AF69" s="493">
        <f t="shared" si="76"/>
        <v>0.35013515738250034</v>
      </c>
      <c r="AG69" s="493">
        <f t="shared" si="77"/>
        <v>0.35013515738250034</v>
      </c>
      <c r="AH69" s="493">
        <f t="shared" si="78"/>
        <v>0.35013515738250034</v>
      </c>
      <c r="AI69" s="493">
        <f t="shared" si="79"/>
        <v>0.35013515738250034</v>
      </c>
      <c r="AJ69" s="493">
        <f t="shared" si="80"/>
        <v>0.35013515738250034</v>
      </c>
      <c r="AK69" s="493">
        <f t="shared" si="81"/>
        <v>0.35013515738250034</v>
      </c>
      <c r="AL69" s="493">
        <f t="shared" si="82"/>
        <v>0.35013515738250034</v>
      </c>
      <c r="AM69" s="493">
        <f t="shared" si="83"/>
        <v>0.35013515738250034</v>
      </c>
      <c r="AN69" s="493">
        <f t="shared" si="84"/>
        <v>0.35013515738250034</v>
      </c>
      <c r="AO69" s="493">
        <f t="shared" si="85"/>
        <v>0.35013515738250034</v>
      </c>
    </row>
    <row r="70" spans="1:41" hidden="1" x14ac:dyDescent="0.3">
      <c r="A70" s="112">
        <v>44</v>
      </c>
      <c r="B70" s="493">
        <f t="shared" si="46"/>
        <v>0.38804852121651734</v>
      </c>
      <c r="C70" s="493">
        <f t="shared" si="47"/>
        <v>0.38804852121651734</v>
      </c>
      <c r="D70" s="493">
        <f t="shared" si="48"/>
        <v>0.38804852121651734</v>
      </c>
      <c r="E70" s="493">
        <f t="shared" si="49"/>
        <v>0.38804852121651734</v>
      </c>
      <c r="F70" s="493">
        <f t="shared" si="50"/>
        <v>0.38804852121651734</v>
      </c>
      <c r="G70" s="493">
        <f t="shared" si="51"/>
        <v>0.38804852121651734</v>
      </c>
      <c r="H70" s="493">
        <f t="shared" si="52"/>
        <v>0.38804852121651734</v>
      </c>
      <c r="I70" s="493">
        <f t="shared" si="53"/>
        <v>0.38258269760918023</v>
      </c>
      <c r="J70" s="493">
        <f t="shared" si="54"/>
        <v>0.37719560670841523</v>
      </c>
      <c r="K70" s="493">
        <f t="shared" si="55"/>
        <v>0.371886089295417</v>
      </c>
      <c r="L70" s="578">
        <f t="shared" si="56"/>
        <v>0.36873713842325617</v>
      </c>
      <c r="M70" s="493">
        <f t="shared" si="57"/>
        <v>0.36561545898686104</v>
      </c>
      <c r="N70" s="493">
        <f t="shared" si="58"/>
        <v>0.36252080954194038</v>
      </c>
      <c r="O70" s="493">
        <f t="shared" si="59"/>
        <v>0.3594529508283586</v>
      </c>
      <c r="P70" s="493">
        <f t="shared" si="60"/>
        <v>0.35641164574995271</v>
      </c>
      <c r="Q70" s="493">
        <f t="shared" si="61"/>
        <v>0.35339665935454379</v>
      </c>
      <c r="R70" s="493">
        <f t="shared" si="62"/>
        <v>0.35040775881413633</v>
      </c>
      <c r="S70" s="493">
        <f t="shared" si="63"/>
        <v>0.34744471340530442</v>
      </c>
      <c r="T70" s="493">
        <f t="shared" si="64"/>
        <v>0.34450729448976308</v>
      </c>
      <c r="U70" s="493">
        <f t="shared" si="65"/>
        <v>0.34159527549512236</v>
      </c>
      <c r="V70" s="493">
        <f t="shared" si="66"/>
        <v>0.34159527549512236</v>
      </c>
      <c r="W70" s="493">
        <f t="shared" si="67"/>
        <v>0.34159527549512236</v>
      </c>
      <c r="X70" s="493">
        <f t="shared" si="68"/>
        <v>0.34159527549512236</v>
      </c>
      <c r="Y70" s="493">
        <f t="shared" si="69"/>
        <v>0.34159527549512236</v>
      </c>
      <c r="Z70" s="493">
        <f t="shared" si="70"/>
        <v>0.34159527549512236</v>
      </c>
      <c r="AA70" s="493">
        <f t="shared" si="71"/>
        <v>0.34159527549512236</v>
      </c>
      <c r="AB70" s="493">
        <f t="shared" si="72"/>
        <v>0.34159527549512236</v>
      </c>
      <c r="AC70" s="493">
        <f t="shared" si="73"/>
        <v>0.34159527549512236</v>
      </c>
      <c r="AD70" s="493">
        <f t="shared" si="74"/>
        <v>0.34159527549512236</v>
      </c>
      <c r="AE70" s="493">
        <f t="shared" si="75"/>
        <v>0.34159527549512236</v>
      </c>
      <c r="AF70" s="493">
        <f t="shared" si="76"/>
        <v>0.34159527549512236</v>
      </c>
      <c r="AG70" s="493">
        <f t="shared" si="77"/>
        <v>0.34159527549512236</v>
      </c>
      <c r="AH70" s="493">
        <f t="shared" si="78"/>
        <v>0.34159527549512236</v>
      </c>
      <c r="AI70" s="493">
        <f t="shared" si="79"/>
        <v>0.34159527549512236</v>
      </c>
      <c r="AJ70" s="493">
        <f t="shared" si="80"/>
        <v>0.34159527549512236</v>
      </c>
      <c r="AK70" s="493">
        <f t="shared" si="81"/>
        <v>0.34159527549512236</v>
      </c>
      <c r="AL70" s="493">
        <f t="shared" si="82"/>
        <v>0.34159527549512236</v>
      </c>
      <c r="AM70" s="493">
        <f t="shared" si="83"/>
        <v>0.34159527549512236</v>
      </c>
      <c r="AN70" s="493">
        <f t="shared" si="84"/>
        <v>0.34159527549512236</v>
      </c>
      <c r="AO70" s="493">
        <f t="shared" si="85"/>
        <v>0.34159527549512236</v>
      </c>
    </row>
    <row r="71" spans="1:41" hidden="1" x14ac:dyDescent="0.3">
      <c r="A71" s="112">
        <v>45</v>
      </c>
      <c r="B71" s="493">
        <f t="shared" si="46"/>
        <v>0.37969522623925372</v>
      </c>
      <c r="C71" s="493">
        <f t="shared" si="47"/>
        <v>0.37969522623925372</v>
      </c>
      <c r="D71" s="493">
        <f t="shared" si="48"/>
        <v>0.37969522623925372</v>
      </c>
      <c r="E71" s="493">
        <f t="shared" si="49"/>
        <v>0.37969522623925372</v>
      </c>
      <c r="F71" s="493">
        <f t="shared" si="50"/>
        <v>0.37969522623925372</v>
      </c>
      <c r="G71" s="493">
        <f t="shared" si="51"/>
        <v>0.37969522623925372</v>
      </c>
      <c r="H71" s="493">
        <f t="shared" si="52"/>
        <v>0.37969522623925372</v>
      </c>
      <c r="I71" s="493">
        <f t="shared" si="53"/>
        <v>0.37422500581269669</v>
      </c>
      <c r="J71" s="493">
        <f t="shared" si="54"/>
        <v>0.36883533902387411</v>
      </c>
      <c r="K71" s="493">
        <f t="shared" si="55"/>
        <v>0.36352501397401477</v>
      </c>
      <c r="L71" s="578">
        <f t="shared" si="56"/>
        <v>0.36037640580849889</v>
      </c>
      <c r="M71" s="493">
        <f t="shared" si="57"/>
        <v>0.35725567616460918</v>
      </c>
      <c r="N71" s="493">
        <f t="shared" si="58"/>
        <v>0.35416257282331026</v>
      </c>
      <c r="O71" s="493">
        <f t="shared" si="59"/>
        <v>0.35109684589603296</v>
      </c>
      <c r="P71" s="493">
        <f t="shared" si="60"/>
        <v>0.34805824780268818</v>
      </c>
      <c r="Q71" s="493">
        <f t="shared" si="61"/>
        <v>0.34504653324989631</v>
      </c>
      <c r="R71" s="493">
        <f t="shared" si="62"/>
        <v>0.34206145920942632</v>
      </c>
      <c r="S71" s="493">
        <f t="shared" si="63"/>
        <v>0.33910278489684215</v>
      </c>
      <c r="T71" s="493">
        <f t="shared" si="64"/>
        <v>0.33617027175035441</v>
      </c>
      <c r="U71" s="493">
        <f t="shared" si="65"/>
        <v>0.33326368340987544</v>
      </c>
      <c r="V71" s="493">
        <f t="shared" si="66"/>
        <v>0.33326368340987544</v>
      </c>
      <c r="W71" s="493">
        <f t="shared" si="67"/>
        <v>0.33326368340987544</v>
      </c>
      <c r="X71" s="493">
        <f t="shared" si="68"/>
        <v>0.33326368340987544</v>
      </c>
      <c r="Y71" s="493">
        <f t="shared" si="69"/>
        <v>0.33326368340987544</v>
      </c>
      <c r="Z71" s="493">
        <f t="shared" si="70"/>
        <v>0.33326368340987544</v>
      </c>
      <c r="AA71" s="493">
        <f t="shared" si="71"/>
        <v>0.33326368340987544</v>
      </c>
      <c r="AB71" s="493">
        <f t="shared" si="72"/>
        <v>0.33326368340987544</v>
      </c>
      <c r="AC71" s="493">
        <f t="shared" si="73"/>
        <v>0.33326368340987544</v>
      </c>
      <c r="AD71" s="493">
        <f t="shared" si="74"/>
        <v>0.33326368340987544</v>
      </c>
      <c r="AE71" s="493">
        <f t="shared" si="75"/>
        <v>0.33326368340987544</v>
      </c>
      <c r="AF71" s="493">
        <f t="shared" si="76"/>
        <v>0.33326368340987544</v>
      </c>
      <c r="AG71" s="493">
        <f t="shared" si="77"/>
        <v>0.33326368340987544</v>
      </c>
      <c r="AH71" s="493">
        <f t="shared" si="78"/>
        <v>0.33326368340987544</v>
      </c>
      <c r="AI71" s="493">
        <f t="shared" si="79"/>
        <v>0.33326368340987544</v>
      </c>
      <c r="AJ71" s="493">
        <f t="shared" si="80"/>
        <v>0.33326368340987544</v>
      </c>
      <c r="AK71" s="493">
        <f t="shared" si="81"/>
        <v>0.33326368340987544</v>
      </c>
      <c r="AL71" s="493">
        <f t="shared" si="82"/>
        <v>0.33326368340987544</v>
      </c>
      <c r="AM71" s="493">
        <f t="shared" si="83"/>
        <v>0.33326368340987544</v>
      </c>
      <c r="AN71" s="493">
        <f t="shared" si="84"/>
        <v>0.33326368340987544</v>
      </c>
      <c r="AO71" s="493">
        <f t="shared" si="85"/>
        <v>0.33326368340987544</v>
      </c>
    </row>
    <row r="72" spans="1:41" hidden="1" x14ac:dyDescent="0.3">
      <c r="A72" s="112">
        <v>46</v>
      </c>
      <c r="B72" s="493">
        <f t="shared" si="46"/>
        <v>0.37152174778791952</v>
      </c>
      <c r="C72" s="493">
        <f t="shared" si="47"/>
        <v>0.37152174778791952</v>
      </c>
      <c r="D72" s="493">
        <f t="shared" si="48"/>
        <v>0.37152174778791952</v>
      </c>
      <c r="E72" s="493">
        <f t="shared" si="49"/>
        <v>0.37152174778791952</v>
      </c>
      <c r="F72" s="493">
        <f t="shared" si="50"/>
        <v>0.37152174778791952</v>
      </c>
      <c r="G72" s="493">
        <f t="shared" si="51"/>
        <v>0.37152174778791952</v>
      </c>
      <c r="H72" s="493">
        <f t="shared" si="52"/>
        <v>0.37152174778791952</v>
      </c>
      <c r="I72" s="493">
        <f t="shared" si="53"/>
        <v>0.36604989156768508</v>
      </c>
      <c r="J72" s="493">
        <f t="shared" si="54"/>
        <v>0.36066037062308426</v>
      </c>
      <c r="K72" s="493">
        <f t="shared" si="55"/>
        <v>0.35535191981819625</v>
      </c>
      <c r="L72" s="578">
        <f t="shared" si="56"/>
        <v>0.35220524414434989</v>
      </c>
      <c r="M72" s="493">
        <f t="shared" si="57"/>
        <v>0.34908703944167396</v>
      </c>
      <c r="N72" s="493">
        <f t="shared" si="58"/>
        <v>0.34599704261753633</v>
      </c>
      <c r="O72" s="493">
        <f t="shared" si="59"/>
        <v>0.34293499306117697</v>
      </c>
      <c r="P72" s="493">
        <f t="shared" si="60"/>
        <v>0.33990063261981268</v>
      </c>
      <c r="Q72" s="493">
        <f t="shared" si="61"/>
        <v>0.33689370557498177</v>
      </c>
      <c r="R72" s="493">
        <f t="shared" si="62"/>
        <v>0.33391395861911988</v>
      </c>
      <c r="S72" s="493">
        <f t="shared" si="63"/>
        <v>0.330961140832366</v>
      </c>
      <c r="T72" s="493">
        <f t="shared" si="64"/>
        <v>0.32803500365959637</v>
      </c>
      <c r="U72" s="493">
        <f t="shared" si="65"/>
        <v>0.32513530088768339</v>
      </c>
      <c r="V72" s="493">
        <f t="shared" si="66"/>
        <v>0.32513530088768339</v>
      </c>
      <c r="W72" s="493">
        <f t="shared" si="67"/>
        <v>0.32513530088768339</v>
      </c>
      <c r="X72" s="493">
        <f t="shared" si="68"/>
        <v>0.32513530088768339</v>
      </c>
      <c r="Y72" s="493">
        <f t="shared" si="69"/>
        <v>0.32513530088768339</v>
      </c>
      <c r="Z72" s="493">
        <f t="shared" si="70"/>
        <v>0.32513530088768339</v>
      </c>
      <c r="AA72" s="493">
        <f t="shared" si="71"/>
        <v>0.32513530088768339</v>
      </c>
      <c r="AB72" s="493">
        <f t="shared" si="72"/>
        <v>0.32513530088768339</v>
      </c>
      <c r="AC72" s="493">
        <f t="shared" si="73"/>
        <v>0.32513530088768339</v>
      </c>
      <c r="AD72" s="493">
        <f t="shared" si="74"/>
        <v>0.32513530088768339</v>
      </c>
      <c r="AE72" s="493">
        <f t="shared" si="75"/>
        <v>0.32513530088768339</v>
      </c>
      <c r="AF72" s="493">
        <f t="shared" si="76"/>
        <v>0.32513530088768339</v>
      </c>
      <c r="AG72" s="493">
        <f t="shared" si="77"/>
        <v>0.32513530088768339</v>
      </c>
      <c r="AH72" s="493">
        <f t="shared" si="78"/>
        <v>0.32513530088768339</v>
      </c>
      <c r="AI72" s="493">
        <f t="shared" si="79"/>
        <v>0.32513530088768339</v>
      </c>
      <c r="AJ72" s="493">
        <f t="shared" si="80"/>
        <v>0.32513530088768339</v>
      </c>
      <c r="AK72" s="493">
        <f t="shared" si="81"/>
        <v>0.32513530088768339</v>
      </c>
      <c r="AL72" s="493">
        <f t="shared" si="82"/>
        <v>0.32513530088768339</v>
      </c>
      <c r="AM72" s="493">
        <f t="shared" si="83"/>
        <v>0.32513530088768339</v>
      </c>
      <c r="AN72" s="493">
        <f t="shared" si="84"/>
        <v>0.32513530088768339</v>
      </c>
      <c r="AO72" s="493">
        <f t="shared" si="85"/>
        <v>0.32513530088768339</v>
      </c>
    </row>
    <row r="73" spans="1:41" hidden="1" x14ac:dyDescent="0.3">
      <c r="A73" s="112">
        <v>47</v>
      </c>
      <c r="B73" s="493">
        <f t="shared" si="46"/>
        <v>0.36352421505667271</v>
      </c>
      <c r="C73" s="493">
        <f t="shared" si="47"/>
        <v>0.36352421505667271</v>
      </c>
      <c r="D73" s="493">
        <f t="shared" si="48"/>
        <v>0.36352421505667271</v>
      </c>
      <c r="E73" s="493">
        <f t="shared" si="49"/>
        <v>0.36352421505667271</v>
      </c>
      <c r="F73" s="493">
        <f t="shared" si="50"/>
        <v>0.36352421505667271</v>
      </c>
      <c r="G73" s="493">
        <f t="shared" si="51"/>
        <v>0.36352421505667271</v>
      </c>
      <c r="H73" s="493">
        <f t="shared" si="52"/>
        <v>0.36352421505667271</v>
      </c>
      <c r="I73" s="493">
        <f t="shared" si="53"/>
        <v>0.35805336638508489</v>
      </c>
      <c r="J73" s="493">
        <f t="shared" si="54"/>
        <v>0.3526665944815035</v>
      </c>
      <c r="K73" s="493">
        <f t="shared" si="55"/>
        <v>0.34736258046744506</v>
      </c>
      <c r="L73" s="578">
        <f t="shared" si="56"/>
        <v>0.34421935510589319</v>
      </c>
      <c r="M73" s="493">
        <f t="shared" si="57"/>
        <v>0.34110517827015235</v>
      </c>
      <c r="N73" s="493">
        <f t="shared" si="58"/>
        <v>0.33801977590615112</v>
      </c>
      <c r="O73" s="493">
        <f t="shared" si="59"/>
        <v>0.33496287659814117</v>
      </c>
      <c r="P73" s="493">
        <f t="shared" si="60"/>
        <v>0.3319342115427858</v>
      </c>
      <c r="Q73" s="493">
        <f t="shared" si="61"/>
        <v>0.32893351452351277</v>
      </c>
      <c r="R73" s="493">
        <f t="shared" si="62"/>
        <v>0.32596052188512287</v>
      </c>
      <c r="S73" s="493">
        <f t="shared" si="63"/>
        <v>0.32301497250865313</v>
      </c>
      <c r="T73" s="493">
        <f t="shared" si="64"/>
        <v>0.32009660778649146</v>
      </c>
      <c r="U73" s="493">
        <f t="shared" si="65"/>
        <v>0.31720517159773998</v>
      </c>
      <c r="V73" s="493">
        <f t="shared" si="66"/>
        <v>0.31720517159773998</v>
      </c>
      <c r="W73" s="493">
        <f t="shared" si="67"/>
        <v>0.31720517159773998</v>
      </c>
      <c r="X73" s="493">
        <f t="shared" si="68"/>
        <v>0.31720517159773998</v>
      </c>
      <c r="Y73" s="493">
        <f t="shared" si="69"/>
        <v>0.31720517159773998</v>
      </c>
      <c r="Z73" s="493">
        <f t="shared" si="70"/>
        <v>0.31720517159773998</v>
      </c>
      <c r="AA73" s="493">
        <f t="shared" si="71"/>
        <v>0.31720517159773998</v>
      </c>
      <c r="AB73" s="493">
        <f t="shared" si="72"/>
        <v>0.31720517159773998</v>
      </c>
      <c r="AC73" s="493">
        <f t="shared" si="73"/>
        <v>0.31720517159773998</v>
      </c>
      <c r="AD73" s="493">
        <f t="shared" si="74"/>
        <v>0.31720517159773998</v>
      </c>
      <c r="AE73" s="493">
        <f t="shared" si="75"/>
        <v>0.31720517159773998</v>
      </c>
      <c r="AF73" s="493">
        <f t="shared" si="76"/>
        <v>0.31720517159773998</v>
      </c>
      <c r="AG73" s="493">
        <f t="shared" si="77"/>
        <v>0.31720517159773998</v>
      </c>
      <c r="AH73" s="493">
        <f t="shared" si="78"/>
        <v>0.31720517159773998</v>
      </c>
      <c r="AI73" s="493">
        <f t="shared" si="79"/>
        <v>0.31720517159773998</v>
      </c>
      <c r="AJ73" s="493">
        <f t="shared" si="80"/>
        <v>0.31720517159773998</v>
      </c>
      <c r="AK73" s="493">
        <f t="shared" si="81"/>
        <v>0.31720517159773998</v>
      </c>
      <c r="AL73" s="493">
        <f t="shared" si="82"/>
        <v>0.31720517159773998</v>
      </c>
      <c r="AM73" s="493">
        <f t="shared" si="83"/>
        <v>0.31720517159773998</v>
      </c>
      <c r="AN73" s="493">
        <f t="shared" si="84"/>
        <v>0.31720517159773998</v>
      </c>
      <c r="AO73" s="493">
        <f t="shared" si="85"/>
        <v>0.31720517159773998</v>
      </c>
    </row>
    <row r="74" spans="1:41" hidden="1" x14ac:dyDescent="0.3">
      <c r="A74" s="112">
        <v>48</v>
      </c>
      <c r="B74" s="493">
        <f t="shared" si="46"/>
        <v>0.35569884056425893</v>
      </c>
      <c r="C74" s="493">
        <f t="shared" si="47"/>
        <v>0.35569884056425893</v>
      </c>
      <c r="D74" s="493">
        <f t="shared" si="48"/>
        <v>0.35569884056425893</v>
      </c>
      <c r="E74" s="493">
        <f t="shared" si="49"/>
        <v>0.35569884056425893</v>
      </c>
      <c r="F74" s="493">
        <f t="shared" si="50"/>
        <v>0.35569884056425893</v>
      </c>
      <c r="G74" s="493">
        <f t="shared" si="51"/>
        <v>0.35569884056425893</v>
      </c>
      <c r="H74" s="493">
        <f t="shared" si="52"/>
        <v>0.35569884056425893</v>
      </c>
      <c r="I74" s="493">
        <f t="shared" si="53"/>
        <v>0.35023152890618015</v>
      </c>
      <c r="J74" s="493">
        <f t="shared" si="54"/>
        <v>0.34484999460381704</v>
      </c>
      <c r="K74" s="493">
        <f t="shared" si="55"/>
        <v>0.33955286458205769</v>
      </c>
      <c r="L74" s="578">
        <f t="shared" si="56"/>
        <v>0.33641453782827707</v>
      </c>
      <c r="M74" s="493">
        <f t="shared" si="57"/>
        <v>0.33330582203454401</v>
      </c>
      <c r="N74" s="493">
        <f t="shared" si="58"/>
        <v>0.33022643210839303</v>
      </c>
      <c r="O74" s="493">
        <f t="shared" si="59"/>
        <v>0.32717608575712165</v>
      </c>
      <c r="P74" s="493">
        <f t="shared" si="60"/>
        <v>0.32415450345975177</v>
      </c>
      <c r="Q74" s="493">
        <f t="shared" si="61"/>
        <v>0.32116140843928215</v>
      </c>
      <c r="R74" s="493">
        <f t="shared" si="62"/>
        <v>0.31819652663522341</v>
      </c>
      <c r="S74" s="493">
        <f t="shared" si="63"/>
        <v>0.31525958667641335</v>
      </c>
      <c r="T74" s="493">
        <f t="shared" si="64"/>
        <v>0.31235031985410955</v>
      </c>
      <c r="U74" s="493">
        <f t="shared" si="65"/>
        <v>0.30946846009535606</v>
      </c>
      <c r="V74" s="493">
        <f t="shared" si="66"/>
        <v>0.30946846009535606</v>
      </c>
      <c r="W74" s="493">
        <f t="shared" si="67"/>
        <v>0.30946846009535606</v>
      </c>
      <c r="X74" s="493">
        <f t="shared" si="68"/>
        <v>0.30946846009535606</v>
      </c>
      <c r="Y74" s="493">
        <f t="shared" si="69"/>
        <v>0.30946846009535606</v>
      </c>
      <c r="Z74" s="493">
        <f t="shared" si="70"/>
        <v>0.30946846009535606</v>
      </c>
      <c r="AA74" s="493">
        <f t="shared" si="71"/>
        <v>0.30946846009535606</v>
      </c>
      <c r="AB74" s="493">
        <f t="shared" si="72"/>
        <v>0.30946846009535606</v>
      </c>
      <c r="AC74" s="493">
        <f t="shared" si="73"/>
        <v>0.30946846009535606</v>
      </c>
      <c r="AD74" s="493">
        <f t="shared" si="74"/>
        <v>0.30946846009535606</v>
      </c>
      <c r="AE74" s="493">
        <f t="shared" si="75"/>
        <v>0.30946846009535606</v>
      </c>
      <c r="AF74" s="493">
        <f t="shared" si="76"/>
        <v>0.30946846009535606</v>
      </c>
      <c r="AG74" s="493">
        <f t="shared" si="77"/>
        <v>0.30946846009535606</v>
      </c>
      <c r="AH74" s="493">
        <f t="shared" si="78"/>
        <v>0.30946846009535606</v>
      </c>
      <c r="AI74" s="493">
        <f t="shared" si="79"/>
        <v>0.30946846009535606</v>
      </c>
      <c r="AJ74" s="493">
        <f t="shared" si="80"/>
        <v>0.30946846009535606</v>
      </c>
      <c r="AK74" s="493">
        <f t="shared" si="81"/>
        <v>0.30946846009535606</v>
      </c>
      <c r="AL74" s="493">
        <f t="shared" si="82"/>
        <v>0.30946846009535606</v>
      </c>
      <c r="AM74" s="493">
        <f t="shared" si="83"/>
        <v>0.30946846009535606</v>
      </c>
      <c r="AN74" s="493">
        <f t="shared" si="84"/>
        <v>0.30946846009535606</v>
      </c>
      <c r="AO74" s="493">
        <f t="shared" si="85"/>
        <v>0.30946846009535606</v>
      </c>
    </row>
    <row r="75" spans="1:41" hidden="1" x14ac:dyDescent="0.3">
      <c r="A75" s="112">
        <v>49</v>
      </c>
      <c r="B75" s="493">
        <f t="shared" si="46"/>
        <v>0.34804191836033171</v>
      </c>
      <c r="C75" s="493">
        <f t="shared" si="47"/>
        <v>0.34804191836033171</v>
      </c>
      <c r="D75" s="493">
        <f t="shared" si="48"/>
        <v>0.34804191836033171</v>
      </c>
      <c r="E75" s="493">
        <f t="shared" si="49"/>
        <v>0.34804191836033171</v>
      </c>
      <c r="F75" s="493">
        <f t="shared" si="50"/>
        <v>0.34804191836033171</v>
      </c>
      <c r="G75" s="493">
        <f t="shared" si="51"/>
        <v>0.34804191836033171</v>
      </c>
      <c r="H75" s="493">
        <f t="shared" si="52"/>
        <v>0.34804191836033171</v>
      </c>
      <c r="I75" s="493">
        <f t="shared" si="53"/>
        <v>0.34258056299919809</v>
      </c>
      <c r="J75" s="493">
        <f t="shared" si="54"/>
        <v>0.33720664400633998</v>
      </c>
      <c r="K75" s="493">
        <f t="shared" si="55"/>
        <v>0.33191873370680136</v>
      </c>
      <c r="L75" s="578">
        <f t="shared" si="56"/>
        <v>0.3287866866969088</v>
      </c>
      <c r="M75" s="493">
        <f t="shared" si="57"/>
        <v>0.32568479776680087</v>
      </c>
      <c r="N75" s="493">
        <f t="shared" si="58"/>
        <v>0.32261277071941485</v>
      </c>
      <c r="O75" s="493">
        <f t="shared" si="59"/>
        <v>0.31957031232381489</v>
      </c>
      <c r="P75" s="493">
        <f t="shared" si="60"/>
        <v>0.31655713228491383</v>
      </c>
      <c r="Q75" s="493">
        <f t="shared" si="61"/>
        <v>0.31357294321351509</v>
      </c>
      <c r="R75" s="493">
        <f t="shared" si="62"/>
        <v>0.31061746059666479</v>
      </c>
      <c r="S75" s="493">
        <f t="shared" si="63"/>
        <v>0.30769040276831289</v>
      </c>
      <c r="T75" s="493">
        <f t="shared" si="64"/>
        <v>0.30479149088027863</v>
      </c>
      <c r="U75" s="493">
        <f t="shared" si="65"/>
        <v>0.3019204488735181</v>
      </c>
      <c r="V75" s="493">
        <f t="shared" si="66"/>
        <v>0.3019204488735181</v>
      </c>
      <c r="W75" s="493">
        <f t="shared" si="67"/>
        <v>0.3019204488735181</v>
      </c>
      <c r="X75" s="493">
        <f t="shared" si="68"/>
        <v>0.3019204488735181</v>
      </c>
      <c r="Y75" s="493">
        <f t="shared" si="69"/>
        <v>0.3019204488735181</v>
      </c>
      <c r="Z75" s="493">
        <f t="shared" si="70"/>
        <v>0.3019204488735181</v>
      </c>
      <c r="AA75" s="493">
        <f t="shared" si="71"/>
        <v>0.3019204488735181</v>
      </c>
      <c r="AB75" s="493">
        <f t="shared" si="72"/>
        <v>0.3019204488735181</v>
      </c>
      <c r="AC75" s="493">
        <f t="shared" si="73"/>
        <v>0.3019204488735181</v>
      </c>
      <c r="AD75" s="493">
        <f t="shared" si="74"/>
        <v>0.3019204488735181</v>
      </c>
      <c r="AE75" s="493">
        <f t="shared" si="75"/>
        <v>0.3019204488735181</v>
      </c>
      <c r="AF75" s="493">
        <f t="shared" si="76"/>
        <v>0.3019204488735181</v>
      </c>
      <c r="AG75" s="493">
        <f t="shared" si="77"/>
        <v>0.3019204488735181</v>
      </c>
      <c r="AH75" s="493">
        <f t="shared" si="78"/>
        <v>0.3019204488735181</v>
      </c>
      <c r="AI75" s="493">
        <f t="shared" si="79"/>
        <v>0.3019204488735181</v>
      </c>
      <c r="AJ75" s="493">
        <f t="shared" si="80"/>
        <v>0.3019204488735181</v>
      </c>
      <c r="AK75" s="493">
        <f t="shared" si="81"/>
        <v>0.3019204488735181</v>
      </c>
      <c r="AL75" s="493">
        <f t="shared" si="82"/>
        <v>0.3019204488735181</v>
      </c>
      <c r="AM75" s="493">
        <f t="shared" si="83"/>
        <v>0.3019204488735181</v>
      </c>
      <c r="AN75" s="493">
        <f t="shared" si="84"/>
        <v>0.3019204488735181</v>
      </c>
      <c r="AO75" s="493">
        <f t="shared" si="85"/>
        <v>0.3019204488735181</v>
      </c>
    </row>
    <row r="76" spans="1:41" hidden="1" x14ac:dyDescent="0.3">
      <c r="A76" s="112">
        <v>50</v>
      </c>
      <c r="B76" s="493">
        <f t="shared" si="46"/>
        <v>0.34054982227038322</v>
      </c>
      <c r="C76" s="493">
        <f t="shared" si="47"/>
        <v>0.34054982227038322</v>
      </c>
      <c r="D76" s="493">
        <f t="shared" si="48"/>
        <v>0.34054982227038322</v>
      </c>
      <c r="E76" s="493">
        <f t="shared" si="49"/>
        <v>0.34054982227038322</v>
      </c>
      <c r="F76" s="493">
        <f t="shared" si="50"/>
        <v>0.34054982227038322</v>
      </c>
      <c r="G76" s="493">
        <f t="shared" si="51"/>
        <v>0.34054982227038322</v>
      </c>
      <c r="H76" s="493">
        <f t="shared" si="52"/>
        <v>0.34054982227038322</v>
      </c>
      <c r="I76" s="493">
        <f t="shared" si="53"/>
        <v>0.33509673589748751</v>
      </c>
      <c r="J76" s="493">
        <f t="shared" si="54"/>
        <v>0.32973270274413946</v>
      </c>
      <c r="K76" s="493">
        <f t="shared" si="55"/>
        <v>0.3244562401826015</v>
      </c>
      <c r="L76" s="578">
        <f t="shared" si="56"/>
        <v>0.32133178918775296</v>
      </c>
      <c r="M76" s="493">
        <f t="shared" si="57"/>
        <v>0.31823802791362205</v>
      </c>
      <c r="N76" s="493">
        <f t="shared" si="58"/>
        <v>0.31517464900294534</v>
      </c>
      <c r="O76" s="493">
        <f t="shared" si="59"/>
        <v>0.31214134823580275</v>
      </c>
      <c r="P76" s="493">
        <f t="shared" si="60"/>
        <v>0.30913782449698618</v>
      </c>
      <c r="Q76" s="493">
        <f t="shared" si="61"/>
        <v>0.30616377974371711</v>
      </c>
      <c r="R76" s="493">
        <f t="shared" si="62"/>
        <v>0.30321891897370634</v>
      </c>
      <c r="S76" s="493">
        <f t="shared" si="63"/>
        <v>0.30030295019355158</v>
      </c>
      <c r="T76" s="493">
        <f t="shared" si="64"/>
        <v>0.2974155843874694</v>
      </c>
      <c r="U76" s="493">
        <f t="shared" si="65"/>
        <v>0.29455653548635918</v>
      </c>
      <c r="V76" s="493">
        <f t="shared" si="66"/>
        <v>0.29455653548635918</v>
      </c>
      <c r="W76" s="493">
        <f t="shared" si="67"/>
        <v>0.29455653548635918</v>
      </c>
      <c r="X76" s="493">
        <f t="shared" si="68"/>
        <v>0.29455653548635918</v>
      </c>
      <c r="Y76" s="493">
        <f t="shared" si="69"/>
        <v>0.29455653548635918</v>
      </c>
      <c r="Z76" s="493">
        <f t="shared" si="70"/>
        <v>0.29455653548635918</v>
      </c>
      <c r="AA76" s="493">
        <f t="shared" si="71"/>
        <v>0.29455653548635918</v>
      </c>
      <c r="AB76" s="493">
        <f t="shared" si="72"/>
        <v>0.29455653548635918</v>
      </c>
      <c r="AC76" s="493">
        <f t="shared" si="73"/>
        <v>0.29455653548635918</v>
      </c>
      <c r="AD76" s="493">
        <f t="shared" si="74"/>
        <v>0.29455653548635918</v>
      </c>
      <c r="AE76" s="493">
        <f t="shared" si="75"/>
        <v>0.29455653548635918</v>
      </c>
      <c r="AF76" s="493">
        <f t="shared" si="76"/>
        <v>0.29455653548635918</v>
      </c>
      <c r="AG76" s="493">
        <f t="shared" si="77"/>
        <v>0.29455653548635918</v>
      </c>
      <c r="AH76" s="493">
        <f t="shared" si="78"/>
        <v>0.29455653548635918</v>
      </c>
      <c r="AI76" s="493">
        <f t="shared" si="79"/>
        <v>0.29455653548635918</v>
      </c>
      <c r="AJ76" s="493">
        <f t="shared" si="80"/>
        <v>0.29455653548635918</v>
      </c>
      <c r="AK76" s="493">
        <f t="shared" si="81"/>
        <v>0.29455653548635918</v>
      </c>
      <c r="AL76" s="493">
        <f t="shared" si="82"/>
        <v>0.29455653548635918</v>
      </c>
      <c r="AM76" s="493">
        <f t="shared" si="83"/>
        <v>0.29455653548635918</v>
      </c>
      <c r="AN76" s="493">
        <f t="shared" si="84"/>
        <v>0.29455653548635918</v>
      </c>
      <c r="AO76" s="493">
        <f t="shared" si="85"/>
        <v>0.29455653548635918</v>
      </c>
    </row>
    <row r="77" spans="1:41" hidden="1" x14ac:dyDescent="0.3">
      <c r="A77" s="112">
        <v>51</v>
      </c>
      <c r="B77" s="493">
        <f t="shared" si="46"/>
        <v>0.33321900417845712</v>
      </c>
      <c r="C77" s="493">
        <f t="shared" si="47"/>
        <v>0.33321900417845712</v>
      </c>
      <c r="D77" s="493">
        <f t="shared" si="48"/>
        <v>0.33321900417845712</v>
      </c>
      <c r="E77" s="493">
        <f t="shared" si="49"/>
        <v>0.33321900417845712</v>
      </c>
      <c r="F77" s="493">
        <f t="shared" si="50"/>
        <v>0.33321900417845712</v>
      </c>
      <c r="G77" s="493">
        <f t="shared" si="51"/>
        <v>0.33321900417845712</v>
      </c>
      <c r="H77" s="493">
        <f t="shared" si="52"/>
        <v>0.33321900417845712</v>
      </c>
      <c r="I77" s="493">
        <f t="shared" si="53"/>
        <v>0.32777639637837064</v>
      </c>
      <c r="J77" s="493">
        <f t="shared" si="54"/>
        <v>0.32242441598188354</v>
      </c>
      <c r="K77" s="493">
        <f t="shared" si="55"/>
        <v>0.31716152510518236</v>
      </c>
      <c r="L77" s="578">
        <f t="shared" si="56"/>
        <v>0.31404592375659979</v>
      </c>
      <c r="M77" s="493">
        <f t="shared" si="57"/>
        <v>0.31096152815479972</v>
      </c>
      <c r="N77" s="493">
        <f t="shared" si="58"/>
        <v>0.30790801973714854</v>
      </c>
      <c r="O77" s="493">
        <f t="shared" si="59"/>
        <v>0.30488508325434921</v>
      </c>
      <c r="P77" s="493">
        <f t="shared" si="60"/>
        <v>0.30189240673533807</v>
      </c>
      <c r="Q77" s="493">
        <f t="shared" si="61"/>
        <v>0.29892968145256504</v>
      </c>
      <c r="R77" s="493">
        <f t="shared" si="62"/>
        <v>0.29599660188764781</v>
      </c>
      <c r="S77" s="493">
        <f t="shared" si="63"/>
        <v>0.29309286569739557</v>
      </c>
      <c r="T77" s="493">
        <f t="shared" si="64"/>
        <v>0.29021817368020042</v>
      </c>
      <c r="U77" s="493">
        <f t="shared" si="65"/>
        <v>0.28737222974278948</v>
      </c>
      <c r="V77" s="493">
        <f t="shared" si="66"/>
        <v>0.28737222974278948</v>
      </c>
      <c r="W77" s="493">
        <f t="shared" si="67"/>
        <v>0.28737222974278948</v>
      </c>
      <c r="X77" s="493">
        <f t="shared" si="68"/>
        <v>0.28737222974278948</v>
      </c>
      <c r="Y77" s="493">
        <f t="shared" si="69"/>
        <v>0.28737222974278948</v>
      </c>
      <c r="Z77" s="493">
        <f t="shared" si="70"/>
        <v>0.28737222974278948</v>
      </c>
      <c r="AA77" s="493">
        <f t="shared" si="71"/>
        <v>0.28737222974278948</v>
      </c>
      <c r="AB77" s="493">
        <f t="shared" si="72"/>
        <v>0.28737222974278948</v>
      </c>
      <c r="AC77" s="493">
        <f t="shared" si="73"/>
        <v>0.28737222974278948</v>
      </c>
      <c r="AD77" s="493">
        <f t="shared" si="74"/>
        <v>0.28737222974278948</v>
      </c>
      <c r="AE77" s="493">
        <f t="shared" si="75"/>
        <v>0.28737222974278948</v>
      </c>
      <c r="AF77" s="493">
        <f t="shared" si="76"/>
        <v>0.28737222974278948</v>
      </c>
      <c r="AG77" s="493">
        <f t="shared" si="77"/>
        <v>0.28737222974278948</v>
      </c>
      <c r="AH77" s="493">
        <f t="shared" si="78"/>
        <v>0.28737222974278948</v>
      </c>
      <c r="AI77" s="493">
        <f t="shared" si="79"/>
        <v>0.28737222974278948</v>
      </c>
      <c r="AJ77" s="493">
        <f t="shared" si="80"/>
        <v>0.28737222974278948</v>
      </c>
      <c r="AK77" s="493">
        <f t="shared" si="81"/>
        <v>0.28737222974278948</v>
      </c>
      <c r="AL77" s="493">
        <f t="shared" si="82"/>
        <v>0.28737222974278948</v>
      </c>
      <c r="AM77" s="493">
        <f t="shared" si="83"/>
        <v>0.28737222974278948</v>
      </c>
      <c r="AN77" s="493">
        <f t="shared" si="84"/>
        <v>0.28737222974278948</v>
      </c>
      <c r="AO77" s="493">
        <f t="shared" si="85"/>
        <v>0.28737222974278948</v>
      </c>
    </row>
    <row r="78" spans="1:41" hidden="1" x14ac:dyDescent="0.3">
      <c r="A78" s="112">
        <v>52</v>
      </c>
      <c r="B78" s="493">
        <f t="shared" si="46"/>
        <v>0.32604599234682696</v>
      </c>
      <c r="C78" s="493">
        <f t="shared" si="47"/>
        <v>0.32604599234682696</v>
      </c>
      <c r="D78" s="493">
        <f t="shared" si="48"/>
        <v>0.32604599234682696</v>
      </c>
      <c r="E78" s="493">
        <f t="shared" si="49"/>
        <v>0.32604599234682696</v>
      </c>
      <c r="F78" s="493">
        <f t="shared" si="50"/>
        <v>0.32604599234682696</v>
      </c>
      <c r="G78" s="493">
        <f t="shared" si="51"/>
        <v>0.32604599234682696</v>
      </c>
      <c r="H78" s="493">
        <f t="shared" si="52"/>
        <v>0.32604599234682696</v>
      </c>
      <c r="I78" s="493">
        <f t="shared" si="53"/>
        <v>0.32061597298177757</v>
      </c>
      <c r="J78" s="493">
        <f t="shared" si="54"/>
        <v>0.31527811210744805</v>
      </c>
      <c r="K78" s="493">
        <f t="shared" si="55"/>
        <v>0.3100308163296015</v>
      </c>
      <c r="L78" s="578">
        <f t="shared" si="56"/>
        <v>0.30692525777619206</v>
      </c>
      <c r="M78" s="493">
        <f t="shared" si="57"/>
        <v>0.30385140527144783</v>
      </c>
      <c r="N78" s="493">
        <f t="shared" si="58"/>
        <v>0.30080892901245465</v>
      </c>
      <c r="O78" s="493">
        <f t="shared" si="59"/>
        <v>0.29779750269031957</v>
      </c>
      <c r="P78" s="493">
        <f t="shared" si="60"/>
        <v>0.29481680345247846</v>
      </c>
      <c r="Q78" s="493">
        <f t="shared" si="61"/>
        <v>0.29186651186542184</v>
      </c>
      <c r="R78" s="493">
        <f t="shared" si="62"/>
        <v>0.28894631187782871</v>
      </c>
      <c r="S78" s="493">
        <f t="shared" si="63"/>
        <v>0.28605589078410659</v>
      </c>
      <c r="T78" s="493">
        <f t="shared" si="64"/>
        <v>0.28319493918832989</v>
      </c>
      <c r="U78" s="493">
        <f t="shared" si="65"/>
        <v>0.28036315096857511</v>
      </c>
      <c r="V78" s="493">
        <f t="shared" si="66"/>
        <v>0.28036315096857511</v>
      </c>
      <c r="W78" s="493">
        <f t="shared" si="67"/>
        <v>0.28036315096857511</v>
      </c>
      <c r="X78" s="493">
        <f t="shared" si="68"/>
        <v>0.28036315096857511</v>
      </c>
      <c r="Y78" s="493">
        <f t="shared" si="69"/>
        <v>0.28036315096857511</v>
      </c>
      <c r="Z78" s="493">
        <f t="shared" si="70"/>
        <v>0.28036315096857511</v>
      </c>
      <c r="AA78" s="493">
        <f t="shared" si="71"/>
        <v>0.28036315096857511</v>
      </c>
      <c r="AB78" s="493">
        <f t="shared" si="72"/>
        <v>0.28036315096857511</v>
      </c>
      <c r="AC78" s="493">
        <f t="shared" si="73"/>
        <v>0.28036315096857511</v>
      </c>
      <c r="AD78" s="493">
        <f t="shared" si="74"/>
        <v>0.28036315096857511</v>
      </c>
      <c r="AE78" s="493">
        <f t="shared" si="75"/>
        <v>0.28036315096857511</v>
      </c>
      <c r="AF78" s="493">
        <f t="shared" si="76"/>
        <v>0.28036315096857511</v>
      </c>
      <c r="AG78" s="493">
        <f t="shared" si="77"/>
        <v>0.28036315096857511</v>
      </c>
      <c r="AH78" s="493">
        <f t="shared" si="78"/>
        <v>0.28036315096857511</v>
      </c>
      <c r="AI78" s="493">
        <f t="shared" si="79"/>
        <v>0.28036315096857511</v>
      </c>
      <c r="AJ78" s="493">
        <f t="shared" si="80"/>
        <v>0.28036315096857511</v>
      </c>
      <c r="AK78" s="493">
        <f t="shared" si="81"/>
        <v>0.28036315096857511</v>
      </c>
      <c r="AL78" s="493">
        <f t="shared" si="82"/>
        <v>0.28036315096857511</v>
      </c>
      <c r="AM78" s="493">
        <f t="shared" si="83"/>
        <v>0.28036315096857511</v>
      </c>
      <c r="AN78" s="493">
        <f t="shared" si="84"/>
        <v>0.28036315096857511</v>
      </c>
      <c r="AO78" s="493">
        <f t="shared" si="85"/>
        <v>0.28036315096857511</v>
      </c>
    </row>
    <row r="79" spans="1:41" hidden="1" x14ac:dyDescent="0.3">
      <c r="A79" s="112">
        <v>53</v>
      </c>
      <c r="B79" s="493">
        <f t="shared" si="46"/>
        <v>0.31902738977184636</v>
      </c>
      <c r="C79" s="493">
        <f t="shared" si="47"/>
        <v>0.31902738977184636</v>
      </c>
      <c r="D79" s="493">
        <f t="shared" si="48"/>
        <v>0.31902738977184636</v>
      </c>
      <c r="E79" s="493">
        <f t="shared" si="49"/>
        <v>0.31902738977184636</v>
      </c>
      <c r="F79" s="493">
        <f t="shared" si="50"/>
        <v>0.31902738977184636</v>
      </c>
      <c r="G79" s="493">
        <f t="shared" si="51"/>
        <v>0.31902738977184636</v>
      </c>
      <c r="H79" s="493">
        <f t="shared" si="52"/>
        <v>0.31902738977184636</v>
      </c>
      <c r="I79" s="493">
        <f t="shared" si="53"/>
        <v>0.31361197226779675</v>
      </c>
      <c r="J79" s="493">
        <f t="shared" si="54"/>
        <v>0.30829020088733511</v>
      </c>
      <c r="K79" s="493">
        <f t="shared" si="55"/>
        <v>0.30306042651964965</v>
      </c>
      <c r="L79" s="578">
        <f t="shared" si="56"/>
        <v>0.29996604552012518</v>
      </c>
      <c r="M79" s="493">
        <f t="shared" si="57"/>
        <v>0.29690385506297423</v>
      </c>
      <c r="N79" s="493">
        <f t="shared" si="58"/>
        <v>0.29387351408016277</v>
      </c>
      <c r="O79" s="493">
        <f t="shared" si="59"/>
        <v>0.290874685182965</v>
      </c>
      <c r="P79" s="493">
        <f t="shared" si="60"/>
        <v>0.28790703462156103</v>
      </c>
      <c r="Q79" s="493">
        <f t="shared" si="61"/>
        <v>0.28497023224509066</v>
      </c>
      <c r="R79" s="493">
        <f t="shared" si="62"/>
        <v>0.28206395146215224</v>
      </c>
      <c r="S79" s="493">
        <f t="shared" si="63"/>
        <v>0.27918786920174371</v>
      </c>
      <c r="T79" s="493">
        <f t="shared" si="64"/>
        <v>0.27634166587463888</v>
      </c>
      <c r="U79" s="493">
        <f t="shared" si="65"/>
        <v>0.27352502533519524</v>
      </c>
      <c r="V79" s="493">
        <f t="shared" si="66"/>
        <v>0.27352502533519524</v>
      </c>
      <c r="W79" s="493">
        <f t="shared" si="67"/>
        <v>0.27352502533519524</v>
      </c>
      <c r="X79" s="493">
        <f t="shared" si="68"/>
        <v>0.27352502533519524</v>
      </c>
      <c r="Y79" s="493">
        <f t="shared" si="69"/>
        <v>0.27352502533519524</v>
      </c>
      <c r="Z79" s="493">
        <f t="shared" si="70"/>
        <v>0.27352502533519524</v>
      </c>
      <c r="AA79" s="493">
        <f t="shared" si="71"/>
        <v>0.27352502533519524</v>
      </c>
      <c r="AB79" s="493">
        <f t="shared" si="72"/>
        <v>0.27352502533519524</v>
      </c>
      <c r="AC79" s="493">
        <f t="shared" si="73"/>
        <v>0.27352502533519524</v>
      </c>
      <c r="AD79" s="493">
        <f t="shared" si="74"/>
        <v>0.27352502533519524</v>
      </c>
      <c r="AE79" s="493">
        <f t="shared" si="75"/>
        <v>0.27352502533519524</v>
      </c>
      <c r="AF79" s="493">
        <f t="shared" si="76"/>
        <v>0.27352502533519524</v>
      </c>
      <c r="AG79" s="493">
        <f t="shared" si="77"/>
        <v>0.27352502533519524</v>
      </c>
      <c r="AH79" s="493">
        <f t="shared" si="78"/>
        <v>0.27352502533519524</v>
      </c>
      <c r="AI79" s="493">
        <f t="shared" si="79"/>
        <v>0.27352502533519524</v>
      </c>
      <c r="AJ79" s="493">
        <f t="shared" si="80"/>
        <v>0.27352502533519524</v>
      </c>
      <c r="AK79" s="493">
        <f t="shared" si="81"/>
        <v>0.27352502533519524</v>
      </c>
      <c r="AL79" s="493">
        <f t="shared" si="82"/>
        <v>0.27352502533519524</v>
      </c>
      <c r="AM79" s="493">
        <f t="shared" si="83"/>
        <v>0.27352502533519524</v>
      </c>
      <c r="AN79" s="493">
        <f t="shared" si="84"/>
        <v>0.27352502533519524</v>
      </c>
      <c r="AO79" s="493">
        <f t="shared" si="85"/>
        <v>0.27352502533519524</v>
      </c>
    </row>
    <row r="80" spans="1:41" hidden="1" x14ac:dyDescent="0.3">
      <c r="A80" s="112">
        <v>54</v>
      </c>
      <c r="B80" s="493">
        <f t="shared" si="46"/>
        <v>0.31215987257519212</v>
      </c>
      <c r="C80" s="493">
        <f t="shared" si="47"/>
        <v>0.31215987257519212</v>
      </c>
      <c r="D80" s="493">
        <f t="shared" si="48"/>
        <v>0.31215987257519212</v>
      </c>
      <c r="E80" s="493">
        <f t="shared" si="49"/>
        <v>0.31215987257519212</v>
      </c>
      <c r="F80" s="493">
        <f t="shared" si="50"/>
        <v>0.31215987257519212</v>
      </c>
      <c r="G80" s="493">
        <f t="shared" si="51"/>
        <v>0.31215987257519212</v>
      </c>
      <c r="H80" s="493">
        <f t="shared" si="52"/>
        <v>0.31215987257519212</v>
      </c>
      <c r="I80" s="493">
        <f t="shared" si="53"/>
        <v>0.30676097711228906</v>
      </c>
      <c r="J80" s="493">
        <f t="shared" si="54"/>
        <v>0.30145717166297442</v>
      </c>
      <c r="K80" s="493">
        <f t="shared" si="55"/>
        <v>0.29624675124110428</v>
      </c>
      <c r="L80" s="578">
        <f t="shared" si="56"/>
        <v>0.29316462619246003</v>
      </c>
      <c r="M80" s="493">
        <f t="shared" si="57"/>
        <v>0.29011516031168083</v>
      </c>
      <c r="N80" s="493">
        <f t="shared" si="58"/>
        <v>0.28709800125064744</v>
      </c>
      <c r="O80" s="493">
        <f t="shared" si="59"/>
        <v>0.28411280053034288</v>
      </c>
      <c r="P80" s="493">
        <f t="shared" si="60"/>
        <v>0.28115921349761819</v>
      </c>
      <c r="Q80" s="493">
        <f t="shared" si="61"/>
        <v>0.27823689928245526</v>
      </c>
      <c r="R80" s="493">
        <f t="shared" si="62"/>
        <v>0.27534552075571284</v>
      </c>
      <c r="S80" s="493">
        <f t="shared" si="63"/>
        <v>0.27248474448735477</v>
      </c>
      <c r="T80" s="493">
        <f t="shared" si="64"/>
        <v>0.26965424070515115</v>
      </c>
      <c r="U80" s="493">
        <f t="shared" si="65"/>
        <v>0.26685368325384906</v>
      </c>
      <c r="V80" s="493">
        <f t="shared" si="66"/>
        <v>0.26685368325384906</v>
      </c>
      <c r="W80" s="493">
        <f t="shared" si="67"/>
        <v>0.26685368325384906</v>
      </c>
      <c r="X80" s="493">
        <f t="shared" si="68"/>
        <v>0.26685368325384906</v>
      </c>
      <c r="Y80" s="493">
        <f t="shared" si="69"/>
        <v>0.26685368325384906</v>
      </c>
      <c r="Z80" s="493">
        <f t="shared" si="70"/>
        <v>0.26685368325384906</v>
      </c>
      <c r="AA80" s="493">
        <f t="shared" si="71"/>
        <v>0.26685368325384906</v>
      </c>
      <c r="AB80" s="493">
        <f t="shared" si="72"/>
        <v>0.26685368325384906</v>
      </c>
      <c r="AC80" s="493">
        <f t="shared" si="73"/>
        <v>0.26685368325384906</v>
      </c>
      <c r="AD80" s="493">
        <f t="shared" si="74"/>
        <v>0.26685368325384906</v>
      </c>
      <c r="AE80" s="493">
        <f t="shared" si="75"/>
        <v>0.26685368325384906</v>
      </c>
      <c r="AF80" s="493">
        <f t="shared" si="76"/>
        <v>0.26685368325384906</v>
      </c>
      <c r="AG80" s="493">
        <f t="shared" si="77"/>
        <v>0.26685368325384906</v>
      </c>
      <c r="AH80" s="493">
        <f t="shared" si="78"/>
        <v>0.26685368325384906</v>
      </c>
      <c r="AI80" s="493">
        <f t="shared" si="79"/>
        <v>0.26685368325384906</v>
      </c>
      <c r="AJ80" s="493">
        <f t="shared" si="80"/>
        <v>0.26685368325384906</v>
      </c>
      <c r="AK80" s="493">
        <f t="shared" si="81"/>
        <v>0.26685368325384906</v>
      </c>
      <c r="AL80" s="493">
        <f t="shared" si="82"/>
        <v>0.26685368325384906</v>
      </c>
      <c r="AM80" s="493">
        <f t="shared" si="83"/>
        <v>0.26685368325384906</v>
      </c>
      <c r="AN80" s="493">
        <f t="shared" si="84"/>
        <v>0.26685368325384906</v>
      </c>
      <c r="AO80" s="493">
        <f t="shared" si="85"/>
        <v>0.26685368325384906</v>
      </c>
    </row>
    <row r="81" spans="1:41" hidden="1" x14ac:dyDescent="0.3">
      <c r="A81" s="112">
        <v>55</v>
      </c>
      <c r="B81" s="493">
        <f t="shared" si="46"/>
        <v>0.30544018842973786</v>
      </c>
      <c r="C81" s="493">
        <f t="shared" si="47"/>
        <v>0.30544018842973786</v>
      </c>
      <c r="D81" s="493">
        <f t="shared" si="48"/>
        <v>0.30544018842973786</v>
      </c>
      <c r="E81" s="493">
        <f t="shared" si="49"/>
        <v>0.30544018842973786</v>
      </c>
      <c r="F81" s="493">
        <f t="shared" si="50"/>
        <v>0.30544018842973786</v>
      </c>
      <c r="G81" s="493">
        <f t="shared" si="51"/>
        <v>0.30544018842973786</v>
      </c>
      <c r="H81" s="493">
        <f t="shared" si="52"/>
        <v>0.30544018842973786</v>
      </c>
      <c r="I81" s="493">
        <f t="shared" si="53"/>
        <v>0.30005964503973492</v>
      </c>
      <c r="J81" s="493">
        <f t="shared" si="54"/>
        <v>0.29477559158700234</v>
      </c>
      <c r="K81" s="493">
        <f t="shared" si="55"/>
        <v>0.28958626709785362</v>
      </c>
      <c r="L81" s="578">
        <f t="shared" si="56"/>
        <v>0.2865174220020133</v>
      </c>
      <c r="M81" s="493">
        <f t="shared" si="57"/>
        <v>0.28348168879390345</v>
      </c>
      <c r="N81" s="493">
        <f t="shared" si="58"/>
        <v>0.28047870384002294</v>
      </c>
      <c r="O81" s="493">
        <f t="shared" si="59"/>
        <v>0.27750810757017269</v>
      </c>
      <c r="P81" s="493">
        <f t="shared" si="60"/>
        <v>0.2745695444312678</v>
      </c>
      <c r="Q81" s="493">
        <f t="shared" si="61"/>
        <v>0.27166266284168639</v>
      </c>
      <c r="R81" s="493">
        <f t="shared" si="62"/>
        <v>0.26878711514614689</v>
      </c>
      <c r="S81" s="493">
        <f t="shared" si="63"/>
        <v>0.26594255757110563</v>
      </c>
      <c r="T81" s="493">
        <f t="shared" si="64"/>
        <v>0.2631286501806705</v>
      </c>
      <c r="U81" s="493">
        <f t="shared" si="65"/>
        <v>0.2603450568330235</v>
      </c>
      <c r="V81" s="493">
        <f t="shared" si="66"/>
        <v>0.2603450568330235</v>
      </c>
      <c r="W81" s="493">
        <f t="shared" si="67"/>
        <v>0.2603450568330235</v>
      </c>
      <c r="X81" s="493">
        <f t="shared" si="68"/>
        <v>0.2603450568330235</v>
      </c>
      <c r="Y81" s="493">
        <f t="shared" si="69"/>
        <v>0.2603450568330235</v>
      </c>
      <c r="Z81" s="493">
        <f t="shared" si="70"/>
        <v>0.2603450568330235</v>
      </c>
      <c r="AA81" s="493">
        <f t="shared" si="71"/>
        <v>0.2603450568330235</v>
      </c>
      <c r="AB81" s="493">
        <f t="shared" si="72"/>
        <v>0.2603450568330235</v>
      </c>
      <c r="AC81" s="493">
        <f t="shared" si="73"/>
        <v>0.2603450568330235</v>
      </c>
      <c r="AD81" s="493">
        <f t="shared" si="74"/>
        <v>0.2603450568330235</v>
      </c>
      <c r="AE81" s="493">
        <f t="shared" si="75"/>
        <v>0.2603450568330235</v>
      </c>
      <c r="AF81" s="493">
        <f t="shared" si="76"/>
        <v>0.2603450568330235</v>
      </c>
      <c r="AG81" s="493">
        <f t="shared" si="77"/>
        <v>0.2603450568330235</v>
      </c>
      <c r="AH81" s="493">
        <f t="shared" si="78"/>
        <v>0.2603450568330235</v>
      </c>
      <c r="AI81" s="493">
        <f t="shared" si="79"/>
        <v>0.2603450568330235</v>
      </c>
      <c r="AJ81" s="493">
        <f t="shared" si="80"/>
        <v>0.2603450568330235</v>
      </c>
      <c r="AK81" s="493">
        <f t="shared" si="81"/>
        <v>0.2603450568330235</v>
      </c>
      <c r="AL81" s="493">
        <f t="shared" si="82"/>
        <v>0.2603450568330235</v>
      </c>
      <c r="AM81" s="493">
        <f t="shared" si="83"/>
        <v>0.2603450568330235</v>
      </c>
      <c r="AN81" s="493">
        <f t="shared" si="84"/>
        <v>0.2603450568330235</v>
      </c>
      <c r="AO81" s="493">
        <f t="shared" si="85"/>
        <v>0.2603450568330235</v>
      </c>
    </row>
    <row r="82" spans="1:41" hidden="1" x14ac:dyDescent="0.3">
      <c r="A82" s="112">
        <v>56</v>
      </c>
      <c r="B82" s="493">
        <f t="shared" si="46"/>
        <v>0.29886515501931299</v>
      </c>
      <c r="C82" s="493">
        <f t="shared" si="47"/>
        <v>0.29886515501931299</v>
      </c>
      <c r="D82" s="493">
        <f t="shared" si="48"/>
        <v>0.29886515501931299</v>
      </c>
      <c r="E82" s="493">
        <f t="shared" si="49"/>
        <v>0.29886515501931299</v>
      </c>
      <c r="F82" s="493">
        <f t="shared" si="50"/>
        <v>0.29886515501931299</v>
      </c>
      <c r="G82" s="493">
        <f t="shared" si="51"/>
        <v>0.29886515501931299</v>
      </c>
      <c r="H82" s="493">
        <f t="shared" si="52"/>
        <v>0.29886515501931299</v>
      </c>
      <c r="I82" s="493">
        <f t="shared" si="53"/>
        <v>0.29350470659250238</v>
      </c>
      <c r="J82" s="493">
        <f t="shared" si="54"/>
        <v>0.28824210389863331</v>
      </c>
      <c r="K82" s="493">
        <f t="shared" si="55"/>
        <v>0.28307552990992541</v>
      </c>
      <c r="L82" s="578">
        <f t="shared" si="56"/>
        <v>0.28002093628031005</v>
      </c>
      <c r="M82" s="493">
        <f t="shared" si="57"/>
        <v>0.27699989133662639</v>
      </c>
      <c r="N82" s="493">
        <f t="shared" si="58"/>
        <v>0.27401202016414899</v>
      </c>
      <c r="O82" s="493">
        <f t="shared" si="59"/>
        <v>0.27105695210995573</v>
      </c>
      <c r="P82" s="493">
        <f t="shared" si="60"/>
        <v>0.26813432073365995</v>
      </c>
      <c r="Q82" s="493">
        <f t="shared" si="61"/>
        <v>0.26524376375872527</v>
      </c>
      <c r="R82" s="493">
        <f t="shared" si="62"/>
        <v>0.26238492302435268</v>
      </c>
      <c r="S82" s="493">
        <f t="shared" si="63"/>
        <v>0.25955744443793249</v>
      </c>
      <c r="T82" s="493">
        <f t="shared" si="64"/>
        <v>0.2567609779280548</v>
      </c>
      <c r="U82" s="493">
        <f t="shared" si="65"/>
        <v>0.25399517739807176</v>
      </c>
      <c r="V82" s="493">
        <f t="shared" si="66"/>
        <v>0.25399517739807176</v>
      </c>
      <c r="W82" s="493">
        <f t="shared" si="67"/>
        <v>0.25399517739807176</v>
      </c>
      <c r="X82" s="493">
        <f t="shared" si="68"/>
        <v>0.25399517739807176</v>
      </c>
      <c r="Y82" s="493">
        <f t="shared" si="69"/>
        <v>0.25399517739807176</v>
      </c>
      <c r="Z82" s="493">
        <f t="shared" si="70"/>
        <v>0.25399517739807176</v>
      </c>
      <c r="AA82" s="493">
        <f t="shared" si="71"/>
        <v>0.25399517739807176</v>
      </c>
      <c r="AB82" s="493">
        <f t="shared" si="72"/>
        <v>0.25399517739807176</v>
      </c>
      <c r="AC82" s="493">
        <f t="shared" si="73"/>
        <v>0.25399517739807176</v>
      </c>
      <c r="AD82" s="493">
        <f t="shared" si="74"/>
        <v>0.25399517739807176</v>
      </c>
      <c r="AE82" s="493">
        <f t="shared" si="75"/>
        <v>0.25399517739807176</v>
      </c>
      <c r="AF82" s="493">
        <f t="shared" si="76"/>
        <v>0.25399517739807176</v>
      </c>
      <c r="AG82" s="493">
        <f t="shared" si="77"/>
        <v>0.25399517739807176</v>
      </c>
      <c r="AH82" s="493">
        <f t="shared" si="78"/>
        <v>0.25399517739807176</v>
      </c>
      <c r="AI82" s="493">
        <f t="shared" si="79"/>
        <v>0.25399517739807176</v>
      </c>
      <c r="AJ82" s="493">
        <f t="shared" si="80"/>
        <v>0.25399517739807176</v>
      </c>
      <c r="AK82" s="493">
        <f t="shared" si="81"/>
        <v>0.25399517739807176</v>
      </c>
      <c r="AL82" s="493">
        <f t="shared" si="82"/>
        <v>0.25399517739807176</v>
      </c>
      <c r="AM82" s="493">
        <f t="shared" si="83"/>
        <v>0.25399517739807176</v>
      </c>
      <c r="AN82" s="493">
        <f t="shared" si="84"/>
        <v>0.25399517739807176</v>
      </c>
      <c r="AO82" s="493">
        <f t="shared" si="85"/>
        <v>0.25399517739807176</v>
      </c>
    </row>
    <row r="83" spans="1:41" hidden="1" x14ac:dyDescent="0.3">
      <c r="A83" s="112">
        <v>57</v>
      </c>
      <c r="B83" s="493">
        <f t="shared" si="46"/>
        <v>0.29243165853161746</v>
      </c>
      <c r="C83" s="493">
        <f t="shared" si="47"/>
        <v>0.29243165853161746</v>
      </c>
      <c r="D83" s="493">
        <f t="shared" si="48"/>
        <v>0.29243165853161746</v>
      </c>
      <c r="E83" s="493">
        <f t="shared" si="49"/>
        <v>0.29243165853161746</v>
      </c>
      <c r="F83" s="493">
        <f t="shared" si="50"/>
        <v>0.29243165853161746</v>
      </c>
      <c r="G83" s="493">
        <f t="shared" si="51"/>
        <v>0.29243165853161746</v>
      </c>
      <c r="H83" s="493">
        <f t="shared" si="52"/>
        <v>0.29243165853161746</v>
      </c>
      <c r="I83" s="493">
        <f t="shared" si="53"/>
        <v>0.28709296373573756</v>
      </c>
      <c r="J83" s="493">
        <f t="shared" si="54"/>
        <v>0.28185342623725557</v>
      </c>
      <c r="K83" s="493">
        <f t="shared" si="55"/>
        <v>0.27671117293247838</v>
      </c>
      <c r="L83" s="578">
        <f t="shared" si="56"/>
        <v>0.27367175164221075</v>
      </c>
      <c r="M83" s="493">
        <f t="shared" si="57"/>
        <v>0.27066629991853269</v>
      </c>
      <c r="N83" s="493">
        <f t="shared" si="58"/>
        <v>0.26769443157888723</v>
      </c>
      <c r="O83" s="493">
        <f t="shared" si="59"/>
        <v>0.26475576490521169</v>
      </c>
      <c r="P83" s="493">
        <f t="shared" si="60"/>
        <v>0.26184992259146478</v>
      </c>
      <c r="Q83" s="493">
        <f t="shared" si="61"/>
        <v>0.25897653169178408</v>
      </c>
      <c r="R83" s="493">
        <f t="shared" si="62"/>
        <v>0.25613522356926266</v>
      </c>
      <c r="S83" s="493">
        <f t="shared" si="63"/>
        <v>0.25332563384533718</v>
      </c>
      <c r="T83" s="493">
        <f t="shared" si="64"/>
        <v>0.25054740234978023</v>
      </c>
      <c r="U83" s="493">
        <f t="shared" si="65"/>
        <v>0.24780017307128946</v>
      </c>
      <c r="V83" s="493">
        <f t="shared" si="66"/>
        <v>0.24780017307128946</v>
      </c>
      <c r="W83" s="493">
        <f t="shared" si="67"/>
        <v>0.24780017307128946</v>
      </c>
      <c r="X83" s="493">
        <f t="shared" si="68"/>
        <v>0.24780017307128946</v>
      </c>
      <c r="Y83" s="493">
        <f t="shared" si="69"/>
        <v>0.24780017307128946</v>
      </c>
      <c r="Z83" s="493">
        <f t="shared" si="70"/>
        <v>0.24780017307128946</v>
      </c>
      <c r="AA83" s="493">
        <f t="shared" si="71"/>
        <v>0.24780017307128946</v>
      </c>
      <c r="AB83" s="493">
        <f t="shared" si="72"/>
        <v>0.24780017307128946</v>
      </c>
      <c r="AC83" s="493">
        <f t="shared" si="73"/>
        <v>0.24780017307128946</v>
      </c>
      <c r="AD83" s="493">
        <f t="shared" si="74"/>
        <v>0.24780017307128946</v>
      </c>
      <c r="AE83" s="493">
        <f t="shared" si="75"/>
        <v>0.24780017307128946</v>
      </c>
      <c r="AF83" s="493">
        <f t="shared" si="76"/>
        <v>0.24780017307128946</v>
      </c>
      <c r="AG83" s="493">
        <f t="shared" si="77"/>
        <v>0.24780017307128946</v>
      </c>
      <c r="AH83" s="493">
        <f t="shared" si="78"/>
        <v>0.24780017307128946</v>
      </c>
      <c r="AI83" s="493">
        <f t="shared" si="79"/>
        <v>0.24780017307128946</v>
      </c>
      <c r="AJ83" s="493">
        <f t="shared" si="80"/>
        <v>0.24780017307128946</v>
      </c>
      <c r="AK83" s="493">
        <f t="shared" si="81"/>
        <v>0.24780017307128946</v>
      </c>
      <c r="AL83" s="493">
        <f t="shared" si="82"/>
        <v>0.24780017307128946</v>
      </c>
      <c r="AM83" s="493">
        <f t="shared" si="83"/>
        <v>0.24780017307128946</v>
      </c>
      <c r="AN83" s="493">
        <f t="shared" si="84"/>
        <v>0.24780017307128946</v>
      </c>
      <c r="AO83" s="493">
        <f t="shared" si="85"/>
        <v>0.24780017307128946</v>
      </c>
    </row>
    <row r="84" spans="1:41" hidden="1" x14ac:dyDescent="0.3">
      <c r="A84" s="112">
        <v>58</v>
      </c>
      <c r="B84" s="493">
        <f t="shared" si="46"/>
        <v>0.28613665218357864</v>
      </c>
      <c r="C84" s="493">
        <f t="shared" si="47"/>
        <v>0.28613665218357864</v>
      </c>
      <c r="D84" s="493">
        <f t="shared" si="48"/>
        <v>0.28613665218357864</v>
      </c>
      <c r="E84" s="493">
        <f t="shared" si="49"/>
        <v>0.28613665218357864</v>
      </c>
      <c r="F84" s="493">
        <f t="shared" si="50"/>
        <v>0.28613665218357864</v>
      </c>
      <c r="G84" s="493">
        <f t="shared" si="51"/>
        <v>0.28613665218357864</v>
      </c>
      <c r="H84" s="493">
        <f t="shared" si="52"/>
        <v>0.28613665218357864</v>
      </c>
      <c r="I84" s="493">
        <f t="shared" si="53"/>
        <v>0.28082128829710234</v>
      </c>
      <c r="J84" s="493">
        <f t="shared" si="54"/>
        <v>0.27560634899340508</v>
      </c>
      <c r="K84" s="493">
        <f t="shared" si="55"/>
        <v>0.27048990511483723</v>
      </c>
      <c r="L84" s="578">
        <f t="shared" si="56"/>
        <v>0.26746652818824346</v>
      </c>
      <c r="M84" s="493">
        <f t="shared" si="57"/>
        <v>0.26447752581447398</v>
      </c>
      <c r="N84" s="493">
        <f t="shared" si="58"/>
        <v>0.26152250056554044</v>
      </c>
      <c r="O84" s="493">
        <f t="shared" si="59"/>
        <v>0.25860105968471547</v>
      </c>
      <c r="P84" s="493">
        <f t="shared" si="60"/>
        <v>0.25571281503072729</v>
      </c>
      <c r="Q84" s="493">
        <f t="shared" si="61"/>
        <v>0.25285738302263627</v>
      </c>
      <c r="R84" s="493">
        <f t="shared" si="62"/>
        <v>0.25003438458537941</v>
      </c>
      <c r="S84" s="493">
        <f t="shared" si="63"/>
        <v>0.24724344509597615</v>
      </c>
      <c r="T84" s="493">
        <f t="shared" si="64"/>
        <v>0.24448419433038665</v>
      </c>
      <c r="U84" s="493">
        <f t="shared" si="65"/>
        <v>0.24175626641101422</v>
      </c>
      <c r="V84" s="493">
        <f t="shared" si="66"/>
        <v>0.24175626641101422</v>
      </c>
      <c r="W84" s="493">
        <f t="shared" si="67"/>
        <v>0.24175626641101422</v>
      </c>
      <c r="X84" s="493">
        <f t="shared" si="68"/>
        <v>0.24175626641101422</v>
      </c>
      <c r="Y84" s="493">
        <f t="shared" si="69"/>
        <v>0.24175626641101422</v>
      </c>
      <c r="Z84" s="493">
        <f t="shared" si="70"/>
        <v>0.24175626641101422</v>
      </c>
      <c r="AA84" s="493">
        <f t="shared" si="71"/>
        <v>0.24175626641101422</v>
      </c>
      <c r="AB84" s="493">
        <f t="shared" si="72"/>
        <v>0.24175626641101422</v>
      </c>
      <c r="AC84" s="493">
        <f t="shared" si="73"/>
        <v>0.24175626641101422</v>
      </c>
      <c r="AD84" s="493">
        <f t="shared" si="74"/>
        <v>0.24175626641101422</v>
      </c>
      <c r="AE84" s="493">
        <f t="shared" si="75"/>
        <v>0.24175626641101422</v>
      </c>
      <c r="AF84" s="493">
        <f t="shared" si="76"/>
        <v>0.24175626641101422</v>
      </c>
      <c r="AG84" s="493">
        <f t="shared" si="77"/>
        <v>0.24175626641101422</v>
      </c>
      <c r="AH84" s="493">
        <f t="shared" si="78"/>
        <v>0.24175626641101422</v>
      </c>
      <c r="AI84" s="493">
        <f t="shared" si="79"/>
        <v>0.24175626641101422</v>
      </c>
      <c r="AJ84" s="493">
        <f t="shared" si="80"/>
        <v>0.24175626641101422</v>
      </c>
      <c r="AK84" s="493">
        <f t="shared" si="81"/>
        <v>0.24175626641101422</v>
      </c>
      <c r="AL84" s="493">
        <f t="shared" si="82"/>
        <v>0.24175626641101422</v>
      </c>
      <c r="AM84" s="493">
        <f t="shared" si="83"/>
        <v>0.24175626641101422</v>
      </c>
      <c r="AN84" s="493">
        <f t="shared" si="84"/>
        <v>0.24175626641101422</v>
      </c>
      <c r="AO84" s="493">
        <f t="shared" si="85"/>
        <v>0.24175626641101422</v>
      </c>
    </row>
    <row r="85" spans="1:41" hidden="1" x14ac:dyDescent="0.3">
      <c r="A85" s="112">
        <v>59</v>
      </c>
      <c r="B85" s="493">
        <f t="shared" si="46"/>
        <v>0.2799771547784527</v>
      </c>
      <c r="C85" s="493">
        <f t="shared" si="47"/>
        <v>0.2799771547784527</v>
      </c>
      <c r="D85" s="493">
        <f t="shared" si="48"/>
        <v>0.2799771547784527</v>
      </c>
      <c r="E85" s="493">
        <f t="shared" si="49"/>
        <v>0.2799771547784527</v>
      </c>
      <c r="F85" s="493">
        <f t="shared" si="50"/>
        <v>0.2799771547784527</v>
      </c>
      <c r="G85" s="493">
        <f t="shared" si="51"/>
        <v>0.2799771547784527</v>
      </c>
      <c r="H85" s="493">
        <f t="shared" si="52"/>
        <v>0.2799771547784527</v>
      </c>
      <c r="I85" s="493">
        <f t="shared" si="53"/>
        <v>0.27468662044059566</v>
      </c>
      <c r="J85" s="493">
        <f t="shared" si="54"/>
        <v>0.26949773369628921</v>
      </c>
      <c r="K85" s="493">
        <f t="shared" si="55"/>
        <v>0.26440850939866783</v>
      </c>
      <c r="L85" s="578">
        <f t="shared" si="56"/>
        <v>0.2614020017476969</v>
      </c>
      <c r="M85" s="493">
        <f t="shared" si="57"/>
        <v>0.25843025778236661</v>
      </c>
      <c r="N85" s="493">
        <f t="shared" si="58"/>
        <v>0.25549286886043421</v>
      </c>
      <c r="O85" s="493">
        <f t="shared" si="59"/>
        <v>0.2525894312216404</v>
      </c>
      <c r="P85" s="493">
        <f t="shared" si="60"/>
        <v>0.24971954592844461</v>
      </c>
      <c r="Q85" s="493">
        <f t="shared" si="61"/>
        <v>0.24688281880749494</v>
      </c>
      <c r="R85" s="493">
        <f t="shared" si="62"/>
        <v>0.24407886039181906</v>
      </c>
      <c r="S85" s="493">
        <f t="shared" si="63"/>
        <v>0.24130728586372849</v>
      </c>
      <c r="T85" s="493">
        <f t="shared" si="64"/>
        <v>0.23856771499842572</v>
      </c>
      <c r="U85" s="493">
        <f t="shared" si="65"/>
        <v>0.23585977210830653</v>
      </c>
      <c r="V85" s="493">
        <f t="shared" si="66"/>
        <v>0.23585977210830653</v>
      </c>
      <c r="W85" s="493">
        <f t="shared" si="67"/>
        <v>0.23585977210830653</v>
      </c>
      <c r="X85" s="493">
        <f t="shared" si="68"/>
        <v>0.23585977210830653</v>
      </c>
      <c r="Y85" s="493">
        <f t="shared" si="69"/>
        <v>0.23585977210830653</v>
      </c>
      <c r="Z85" s="493">
        <f t="shared" si="70"/>
        <v>0.23585977210830653</v>
      </c>
      <c r="AA85" s="493">
        <f t="shared" si="71"/>
        <v>0.23585977210830653</v>
      </c>
      <c r="AB85" s="493">
        <f t="shared" si="72"/>
        <v>0.23585977210830653</v>
      </c>
      <c r="AC85" s="493">
        <f t="shared" si="73"/>
        <v>0.23585977210830653</v>
      </c>
      <c r="AD85" s="493">
        <f t="shared" si="74"/>
        <v>0.23585977210830653</v>
      </c>
      <c r="AE85" s="493">
        <f t="shared" si="75"/>
        <v>0.23585977210830653</v>
      </c>
      <c r="AF85" s="493">
        <f t="shared" si="76"/>
        <v>0.23585977210830653</v>
      </c>
      <c r="AG85" s="493">
        <f t="shared" si="77"/>
        <v>0.23585977210830653</v>
      </c>
      <c r="AH85" s="493">
        <f t="shared" si="78"/>
        <v>0.23585977210830653</v>
      </c>
      <c r="AI85" s="493">
        <f t="shared" si="79"/>
        <v>0.23585977210830653</v>
      </c>
      <c r="AJ85" s="493">
        <f t="shared" si="80"/>
        <v>0.23585977210830653</v>
      </c>
      <c r="AK85" s="493">
        <f t="shared" si="81"/>
        <v>0.23585977210830653</v>
      </c>
      <c r="AL85" s="493">
        <f t="shared" si="82"/>
        <v>0.23585977210830653</v>
      </c>
      <c r="AM85" s="493">
        <f t="shared" si="83"/>
        <v>0.23585977210830653</v>
      </c>
      <c r="AN85" s="493">
        <f t="shared" si="84"/>
        <v>0.23585977210830653</v>
      </c>
      <c r="AO85" s="493">
        <f t="shared" si="85"/>
        <v>0.23585977210830653</v>
      </c>
    </row>
    <row r="86" spans="1:41" hidden="1" x14ac:dyDescent="0.3">
      <c r="A86" s="112">
        <v>60</v>
      </c>
      <c r="B86" s="493">
        <f t="shared" si="46"/>
        <v>0.27395024929398498</v>
      </c>
      <c r="C86" s="493">
        <f t="shared" si="47"/>
        <v>0.27395024929398498</v>
      </c>
      <c r="D86" s="493">
        <f t="shared" si="48"/>
        <v>0.27395024929398498</v>
      </c>
      <c r="E86" s="493">
        <f t="shared" si="49"/>
        <v>0.27395024929398498</v>
      </c>
      <c r="F86" s="493">
        <f t="shared" si="50"/>
        <v>0.27395024929398498</v>
      </c>
      <c r="G86" s="493">
        <f t="shared" si="51"/>
        <v>0.27395024929398498</v>
      </c>
      <c r="H86" s="493">
        <f t="shared" si="52"/>
        <v>0.27395024929398498</v>
      </c>
      <c r="I86" s="493">
        <f t="shared" si="53"/>
        <v>0.26868596717371601</v>
      </c>
      <c r="J86" s="493">
        <f t="shared" si="54"/>
        <v>0.26352451143704941</v>
      </c>
      <c r="K86" s="493">
        <f t="shared" si="55"/>
        <v>0.25846384105441633</v>
      </c>
      <c r="L86" s="578">
        <f t="shared" si="56"/>
        <v>0.2554749821615489</v>
      </c>
      <c r="M86" s="493">
        <f t="shared" si="57"/>
        <v>0.25252126029154442</v>
      </c>
      <c r="N86" s="493">
        <f t="shared" si="58"/>
        <v>0.24960225562762228</v>
      </c>
      <c r="O86" s="493">
        <f t="shared" si="59"/>
        <v>0.24671755344954133</v>
      </c>
      <c r="P86" s="493">
        <f t="shared" si="60"/>
        <v>0.24386674407074671</v>
      </c>
      <c r="Q86" s="493">
        <f t="shared" si="61"/>
        <v>0.24104942277630825</v>
      </c>
      <c r="R86" s="493">
        <f t="shared" si="62"/>
        <v>0.23826518976163513</v>
      </c>
      <c r="S86" s="493">
        <f t="shared" si="63"/>
        <v>0.23551365007195829</v>
      </c>
      <c r="T86" s="493">
        <f t="shared" si="64"/>
        <v>0.23279441354256999</v>
      </c>
      <c r="U86" s="493">
        <f t="shared" si="65"/>
        <v>0.23010709473981128</v>
      </c>
      <c r="V86" s="493">
        <f t="shared" si="66"/>
        <v>0.23010709473981128</v>
      </c>
      <c r="W86" s="493">
        <f t="shared" si="67"/>
        <v>0.23010709473981128</v>
      </c>
      <c r="X86" s="493">
        <f t="shared" si="68"/>
        <v>0.23010709473981128</v>
      </c>
      <c r="Y86" s="493">
        <f t="shared" si="69"/>
        <v>0.23010709473981128</v>
      </c>
      <c r="Z86" s="493">
        <f t="shared" si="70"/>
        <v>0.23010709473981128</v>
      </c>
      <c r="AA86" s="493">
        <f t="shared" si="71"/>
        <v>0.23010709473981128</v>
      </c>
      <c r="AB86" s="493">
        <f t="shared" si="72"/>
        <v>0.23010709473981128</v>
      </c>
      <c r="AC86" s="493">
        <f t="shared" si="73"/>
        <v>0.23010709473981128</v>
      </c>
      <c r="AD86" s="493">
        <f t="shared" si="74"/>
        <v>0.23010709473981128</v>
      </c>
      <c r="AE86" s="493">
        <f t="shared" si="75"/>
        <v>0.23010709473981128</v>
      </c>
      <c r="AF86" s="493">
        <f t="shared" si="76"/>
        <v>0.23010709473981128</v>
      </c>
      <c r="AG86" s="493">
        <f t="shared" si="77"/>
        <v>0.23010709473981128</v>
      </c>
      <c r="AH86" s="493">
        <f t="shared" si="78"/>
        <v>0.23010709473981128</v>
      </c>
      <c r="AI86" s="493">
        <f t="shared" si="79"/>
        <v>0.23010709473981128</v>
      </c>
      <c r="AJ86" s="493">
        <f t="shared" si="80"/>
        <v>0.23010709473981128</v>
      </c>
      <c r="AK86" s="493">
        <f t="shared" si="81"/>
        <v>0.23010709473981128</v>
      </c>
      <c r="AL86" s="493">
        <f t="shared" si="82"/>
        <v>0.23010709473981128</v>
      </c>
      <c r="AM86" s="493">
        <f t="shared" si="83"/>
        <v>0.23010709473981128</v>
      </c>
      <c r="AN86" s="493">
        <f t="shared" si="84"/>
        <v>0.23010709473981128</v>
      </c>
      <c r="AO86" s="493">
        <f t="shared" si="85"/>
        <v>0.23010709473981128</v>
      </c>
    </row>
    <row r="87" spans="1:41" hidden="1" x14ac:dyDescent="0.3">
      <c r="A87" s="112"/>
      <c r="B87" s="112"/>
      <c r="C87" s="112"/>
      <c r="D87" s="112"/>
      <c r="E87" s="112"/>
      <c r="F87" s="112"/>
      <c r="G87" s="112"/>
    </row>
    <row r="88" spans="1:41" ht="15" hidden="1" thickBot="1" x14ac:dyDescent="0.35">
      <c r="A88" s="112"/>
      <c r="B88" s="112"/>
      <c r="C88" s="112"/>
      <c r="D88" s="112"/>
      <c r="E88" s="112"/>
      <c r="F88" s="112"/>
      <c r="G88" s="112"/>
    </row>
    <row r="89" spans="1:41" ht="15" hidden="1" thickBot="1" x14ac:dyDescent="0.35">
      <c r="A89" s="489" t="s">
        <v>368</v>
      </c>
      <c r="B89" s="112"/>
      <c r="C89" s="112"/>
      <c r="D89" s="112"/>
      <c r="E89" s="112"/>
      <c r="F89" s="112"/>
      <c r="G89" s="112"/>
    </row>
    <row r="90" spans="1:41" x14ac:dyDescent="0.3">
      <c r="A90" s="112"/>
      <c r="B90" s="112"/>
      <c r="C90" s="112"/>
      <c r="D90" s="112"/>
      <c r="E90" s="112"/>
      <c r="F90" s="112"/>
      <c r="G90" s="112"/>
    </row>
    <row r="91" spans="1:41" x14ac:dyDescent="0.3">
      <c r="A91" s="112"/>
      <c r="B91" s="112"/>
      <c r="C91" s="112"/>
      <c r="D91" s="112"/>
      <c r="E91" s="112"/>
      <c r="F91" s="112"/>
      <c r="G91" s="112"/>
    </row>
    <row r="92" spans="1:41" x14ac:dyDescent="0.3">
      <c r="A92" s="112"/>
      <c r="B92" s="112"/>
      <c r="C92" s="112"/>
      <c r="D92" s="112"/>
      <c r="E92" s="112"/>
      <c r="F92" s="112"/>
      <c r="G92" s="112"/>
    </row>
    <row r="93" spans="1:41" x14ac:dyDescent="0.3">
      <c r="A93" s="112"/>
      <c r="B93" s="112"/>
      <c r="C93" s="112"/>
      <c r="D93" s="112"/>
      <c r="E93" s="112"/>
      <c r="F93" s="112"/>
      <c r="G93" s="112"/>
    </row>
    <row r="94" spans="1:41" x14ac:dyDescent="0.3">
      <c r="A94" s="112"/>
      <c r="B94" s="112"/>
      <c r="C94" s="112"/>
      <c r="D94" s="112"/>
      <c r="E94" s="112"/>
      <c r="F94" s="112"/>
      <c r="G94" s="112"/>
    </row>
    <row r="95" spans="1:41" x14ac:dyDescent="0.3">
      <c r="A95" s="112"/>
      <c r="B95" s="112"/>
      <c r="C95" s="112"/>
      <c r="D95" s="112"/>
      <c r="E95" s="112"/>
      <c r="F95" s="112"/>
      <c r="G95" s="112"/>
    </row>
    <row r="96" spans="1:41" x14ac:dyDescent="0.3">
      <c r="A96" s="112"/>
      <c r="B96" s="112"/>
      <c r="C96" s="112"/>
      <c r="D96" s="112"/>
      <c r="E96" s="112"/>
      <c r="F96" s="112"/>
      <c r="G96" s="112"/>
    </row>
  </sheetData>
  <sheetProtection algorithmName="SHA-512" hashValue="Hj9Qdj3xBSNJ4ymNrTzXVXOZywzdST0bNi63pm5tUdMwxjASZDO1rAiP2qils+uq98TvYAhXDbbHvSLzC5KNXw==" saltValue="t+qUDA7pBrTO+prKUBDLJw==" spinCount="100000" sheet="1" selectLockedCells="1" selectUnlockedCells="1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/>
  <dimension ref="A1:WVZ703"/>
  <sheetViews>
    <sheetView workbookViewId="0"/>
  </sheetViews>
  <sheetFormatPr defaultColWidth="0" defaultRowHeight="11.4" zeroHeight="1" x14ac:dyDescent="0.2"/>
  <cols>
    <col min="1" max="9" width="8.88671875" style="112" customWidth="1"/>
    <col min="10" max="10" width="9.88671875" style="112" customWidth="1"/>
    <col min="11" max="18" width="8.88671875" style="112" customWidth="1"/>
    <col min="19" max="256" width="8.88671875" style="112" hidden="1"/>
    <col min="257" max="265" width="8.88671875" style="112" customWidth="1"/>
    <col min="266" max="266" width="9.88671875" style="112" customWidth="1"/>
    <col min="267" max="274" width="8.88671875" style="112" customWidth="1"/>
    <col min="275" max="512" width="8.88671875" style="112" hidden="1"/>
    <col min="513" max="521" width="8.88671875" style="112" customWidth="1"/>
    <col min="522" max="522" width="9.88671875" style="112" customWidth="1"/>
    <col min="523" max="530" width="8.88671875" style="112" customWidth="1"/>
    <col min="531" max="768" width="8.88671875" style="112" hidden="1"/>
    <col min="769" max="777" width="8.88671875" style="112" customWidth="1"/>
    <col min="778" max="778" width="9.88671875" style="112" customWidth="1"/>
    <col min="779" max="786" width="8.88671875" style="112" customWidth="1"/>
    <col min="787" max="1024" width="8.88671875" style="112" hidden="1"/>
    <col min="1025" max="1033" width="8.88671875" style="112" customWidth="1"/>
    <col min="1034" max="1034" width="9.88671875" style="112" customWidth="1"/>
    <col min="1035" max="1042" width="8.88671875" style="112" customWidth="1"/>
    <col min="1043" max="1280" width="8.88671875" style="112" hidden="1"/>
    <col min="1281" max="1289" width="8.88671875" style="112" customWidth="1"/>
    <col min="1290" max="1290" width="9.88671875" style="112" customWidth="1"/>
    <col min="1291" max="1298" width="8.88671875" style="112" customWidth="1"/>
    <col min="1299" max="1536" width="8.88671875" style="112" hidden="1"/>
    <col min="1537" max="1545" width="8.88671875" style="112" customWidth="1"/>
    <col min="1546" max="1546" width="9.88671875" style="112" customWidth="1"/>
    <col min="1547" max="1554" width="8.88671875" style="112" customWidth="1"/>
    <col min="1555" max="1792" width="8.88671875" style="112" hidden="1"/>
    <col min="1793" max="1801" width="8.88671875" style="112" customWidth="1"/>
    <col min="1802" max="1802" width="9.88671875" style="112" customWidth="1"/>
    <col min="1803" max="1810" width="8.88671875" style="112" customWidth="1"/>
    <col min="1811" max="2048" width="8.88671875" style="112" hidden="1"/>
    <col min="2049" max="2057" width="8.88671875" style="112" customWidth="1"/>
    <col min="2058" max="2058" width="9.88671875" style="112" customWidth="1"/>
    <col min="2059" max="2066" width="8.88671875" style="112" customWidth="1"/>
    <col min="2067" max="2304" width="8.88671875" style="112" hidden="1"/>
    <col min="2305" max="2313" width="8.88671875" style="112" customWidth="1"/>
    <col min="2314" max="2314" width="9.88671875" style="112" customWidth="1"/>
    <col min="2315" max="2322" width="8.88671875" style="112" customWidth="1"/>
    <col min="2323" max="2560" width="8.88671875" style="112" hidden="1"/>
    <col min="2561" max="2569" width="8.88671875" style="112" customWidth="1"/>
    <col min="2570" max="2570" width="9.88671875" style="112" customWidth="1"/>
    <col min="2571" max="2578" width="8.88671875" style="112" customWidth="1"/>
    <col min="2579" max="2816" width="8.88671875" style="112" hidden="1"/>
    <col min="2817" max="2825" width="8.88671875" style="112" customWidth="1"/>
    <col min="2826" max="2826" width="9.88671875" style="112" customWidth="1"/>
    <col min="2827" max="2834" width="8.88671875" style="112" customWidth="1"/>
    <col min="2835" max="3072" width="8.88671875" style="112" hidden="1"/>
    <col min="3073" max="3081" width="8.88671875" style="112" customWidth="1"/>
    <col min="3082" max="3082" width="9.88671875" style="112" customWidth="1"/>
    <col min="3083" max="3090" width="8.88671875" style="112" customWidth="1"/>
    <col min="3091" max="3328" width="8.88671875" style="112" hidden="1"/>
    <col min="3329" max="3337" width="8.88671875" style="112" customWidth="1"/>
    <col min="3338" max="3338" width="9.88671875" style="112" customWidth="1"/>
    <col min="3339" max="3346" width="8.88671875" style="112" customWidth="1"/>
    <col min="3347" max="3584" width="8.88671875" style="112" hidden="1"/>
    <col min="3585" max="3593" width="8.88671875" style="112" customWidth="1"/>
    <col min="3594" max="3594" width="9.88671875" style="112" customWidth="1"/>
    <col min="3595" max="3602" width="8.88671875" style="112" customWidth="1"/>
    <col min="3603" max="3840" width="8.88671875" style="112" hidden="1"/>
    <col min="3841" max="3849" width="8.88671875" style="112" customWidth="1"/>
    <col min="3850" max="3850" width="9.88671875" style="112" customWidth="1"/>
    <col min="3851" max="3858" width="8.88671875" style="112" customWidth="1"/>
    <col min="3859" max="4096" width="8.88671875" style="112" hidden="1"/>
    <col min="4097" max="4105" width="8.88671875" style="112" customWidth="1"/>
    <col min="4106" max="4106" width="9.88671875" style="112" customWidth="1"/>
    <col min="4107" max="4114" width="8.88671875" style="112" customWidth="1"/>
    <col min="4115" max="4352" width="8.88671875" style="112" hidden="1"/>
    <col min="4353" max="4361" width="8.88671875" style="112" customWidth="1"/>
    <col min="4362" max="4362" width="9.88671875" style="112" customWidth="1"/>
    <col min="4363" max="4370" width="8.88671875" style="112" customWidth="1"/>
    <col min="4371" max="4608" width="8.88671875" style="112" hidden="1"/>
    <col min="4609" max="4617" width="8.88671875" style="112" customWidth="1"/>
    <col min="4618" max="4618" width="9.88671875" style="112" customWidth="1"/>
    <col min="4619" max="4626" width="8.88671875" style="112" customWidth="1"/>
    <col min="4627" max="4864" width="8.88671875" style="112" hidden="1"/>
    <col min="4865" max="4873" width="8.88671875" style="112" customWidth="1"/>
    <col min="4874" max="4874" width="9.88671875" style="112" customWidth="1"/>
    <col min="4875" max="4882" width="8.88671875" style="112" customWidth="1"/>
    <col min="4883" max="5120" width="8.88671875" style="112" hidden="1"/>
    <col min="5121" max="5129" width="8.88671875" style="112" customWidth="1"/>
    <col min="5130" max="5130" width="9.88671875" style="112" customWidth="1"/>
    <col min="5131" max="5138" width="8.88671875" style="112" customWidth="1"/>
    <col min="5139" max="5376" width="8.88671875" style="112" hidden="1"/>
    <col min="5377" max="5385" width="8.88671875" style="112" customWidth="1"/>
    <col min="5386" max="5386" width="9.88671875" style="112" customWidth="1"/>
    <col min="5387" max="5394" width="8.88671875" style="112" customWidth="1"/>
    <col min="5395" max="5632" width="8.88671875" style="112" hidden="1"/>
    <col min="5633" max="5641" width="8.88671875" style="112" customWidth="1"/>
    <col min="5642" max="5642" width="9.88671875" style="112" customWidth="1"/>
    <col min="5643" max="5650" width="8.88671875" style="112" customWidth="1"/>
    <col min="5651" max="5888" width="8.88671875" style="112" hidden="1"/>
    <col min="5889" max="5897" width="8.88671875" style="112" customWidth="1"/>
    <col min="5898" max="5898" width="9.88671875" style="112" customWidth="1"/>
    <col min="5899" max="5906" width="8.88671875" style="112" customWidth="1"/>
    <col min="5907" max="6144" width="8.88671875" style="112" hidden="1"/>
    <col min="6145" max="6153" width="8.88671875" style="112" customWidth="1"/>
    <col min="6154" max="6154" width="9.88671875" style="112" customWidth="1"/>
    <col min="6155" max="6162" width="8.88671875" style="112" customWidth="1"/>
    <col min="6163" max="6400" width="8.88671875" style="112" hidden="1"/>
    <col min="6401" max="6409" width="8.88671875" style="112" customWidth="1"/>
    <col min="6410" max="6410" width="9.88671875" style="112" customWidth="1"/>
    <col min="6411" max="6418" width="8.88671875" style="112" customWidth="1"/>
    <col min="6419" max="6656" width="8.88671875" style="112" hidden="1"/>
    <col min="6657" max="6665" width="8.88671875" style="112" customWidth="1"/>
    <col min="6666" max="6666" width="9.88671875" style="112" customWidth="1"/>
    <col min="6667" max="6674" width="8.88671875" style="112" customWidth="1"/>
    <col min="6675" max="6912" width="8.88671875" style="112" hidden="1"/>
    <col min="6913" max="6921" width="8.88671875" style="112" customWidth="1"/>
    <col min="6922" max="6922" width="9.88671875" style="112" customWidth="1"/>
    <col min="6923" max="6930" width="8.88671875" style="112" customWidth="1"/>
    <col min="6931" max="7168" width="8.88671875" style="112" hidden="1"/>
    <col min="7169" max="7177" width="8.88671875" style="112" customWidth="1"/>
    <col min="7178" max="7178" width="9.88671875" style="112" customWidth="1"/>
    <col min="7179" max="7186" width="8.88671875" style="112" customWidth="1"/>
    <col min="7187" max="7424" width="8.88671875" style="112" hidden="1"/>
    <col min="7425" max="7433" width="8.88671875" style="112" customWidth="1"/>
    <col min="7434" max="7434" width="9.88671875" style="112" customWidth="1"/>
    <col min="7435" max="7442" width="8.88671875" style="112" customWidth="1"/>
    <col min="7443" max="7680" width="8.88671875" style="112" hidden="1"/>
    <col min="7681" max="7689" width="8.88671875" style="112" customWidth="1"/>
    <col min="7690" max="7690" width="9.88671875" style="112" customWidth="1"/>
    <col min="7691" max="7698" width="8.88671875" style="112" customWidth="1"/>
    <col min="7699" max="7936" width="8.88671875" style="112" hidden="1"/>
    <col min="7937" max="7945" width="8.88671875" style="112" customWidth="1"/>
    <col min="7946" max="7946" width="9.88671875" style="112" customWidth="1"/>
    <col min="7947" max="7954" width="8.88671875" style="112" customWidth="1"/>
    <col min="7955" max="8192" width="8.88671875" style="112" hidden="1"/>
    <col min="8193" max="8201" width="8.88671875" style="112" customWidth="1"/>
    <col min="8202" max="8202" width="9.88671875" style="112" customWidth="1"/>
    <col min="8203" max="8210" width="8.88671875" style="112" customWidth="1"/>
    <col min="8211" max="8448" width="8.88671875" style="112" hidden="1"/>
    <col min="8449" max="8457" width="8.88671875" style="112" customWidth="1"/>
    <col min="8458" max="8458" width="9.88671875" style="112" customWidth="1"/>
    <col min="8459" max="8466" width="8.88671875" style="112" customWidth="1"/>
    <col min="8467" max="8704" width="8.88671875" style="112" hidden="1"/>
    <col min="8705" max="8713" width="8.88671875" style="112" customWidth="1"/>
    <col min="8714" max="8714" width="9.88671875" style="112" customWidth="1"/>
    <col min="8715" max="8722" width="8.88671875" style="112" customWidth="1"/>
    <col min="8723" max="8960" width="8.88671875" style="112" hidden="1"/>
    <col min="8961" max="8969" width="8.88671875" style="112" customWidth="1"/>
    <col min="8970" max="8970" width="9.88671875" style="112" customWidth="1"/>
    <col min="8971" max="8978" width="8.88671875" style="112" customWidth="1"/>
    <col min="8979" max="9216" width="8.88671875" style="112" hidden="1"/>
    <col min="9217" max="9225" width="8.88671875" style="112" customWidth="1"/>
    <col min="9226" max="9226" width="9.88671875" style="112" customWidth="1"/>
    <col min="9227" max="9234" width="8.88671875" style="112" customWidth="1"/>
    <col min="9235" max="9472" width="8.88671875" style="112" hidden="1"/>
    <col min="9473" max="9481" width="8.88671875" style="112" customWidth="1"/>
    <col min="9482" max="9482" width="9.88671875" style="112" customWidth="1"/>
    <col min="9483" max="9490" width="8.88671875" style="112" customWidth="1"/>
    <col min="9491" max="9728" width="8.88671875" style="112" hidden="1"/>
    <col min="9729" max="9737" width="8.88671875" style="112" customWidth="1"/>
    <col min="9738" max="9738" width="9.88671875" style="112" customWidth="1"/>
    <col min="9739" max="9746" width="8.88671875" style="112" customWidth="1"/>
    <col min="9747" max="9984" width="8.88671875" style="112" hidden="1"/>
    <col min="9985" max="9993" width="8.88671875" style="112" customWidth="1"/>
    <col min="9994" max="9994" width="9.88671875" style="112" customWidth="1"/>
    <col min="9995" max="10002" width="8.88671875" style="112" customWidth="1"/>
    <col min="10003" max="10240" width="8.88671875" style="112" hidden="1"/>
    <col min="10241" max="10249" width="8.88671875" style="112" customWidth="1"/>
    <col min="10250" max="10250" width="9.88671875" style="112" customWidth="1"/>
    <col min="10251" max="10258" width="8.88671875" style="112" customWidth="1"/>
    <col min="10259" max="10496" width="8.88671875" style="112" hidden="1"/>
    <col min="10497" max="10505" width="8.88671875" style="112" customWidth="1"/>
    <col min="10506" max="10506" width="9.88671875" style="112" customWidth="1"/>
    <col min="10507" max="10514" width="8.88671875" style="112" customWidth="1"/>
    <col min="10515" max="10752" width="8.88671875" style="112" hidden="1"/>
    <col min="10753" max="10761" width="8.88671875" style="112" customWidth="1"/>
    <col min="10762" max="10762" width="9.88671875" style="112" customWidth="1"/>
    <col min="10763" max="10770" width="8.88671875" style="112" customWidth="1"/>
    <col min="10771" max="11008" width="8.88671875" style="112" hidden="1"/>
    <col min="11009" max="11017" width="8.88671875" style="112" customWidth="1"/>
    <col min="11018" max="11018" width="9.88671875" style="112" customWidth="1"/>
    <col min="11019" max="11026" width="8.88671875" style="112" customWidth="1"/>
    <col min="11027" max="11264" width="8.88671875" style="112" hidden="1"/>
    <col min="11265" max="11273" width="8.88671875" style="112" customWidth="1"/>
    <col min="11274" max="11274" width="9.88671875" style="112" customWidth="1"/>
    <col min="11275" max="11282" width="8.88671875" style="112" customWidth="1"/>
    <col min="11283" max="11520" width="8.88671875" style="112" hidden="1"/>
    <col min="11521" max="11529" width="8.88671875" style="112" customWidth="1"/>
    <col min="11530" max="11530" width="9.88671875" style="112" customWidth="1"/>
    <col min="11531" max="11538" width="8.88671875" style="112" customWidth="1"/>
    <col min="11539" max="11776" width="8.88671875" style="112" hidden="1"/>
    <col min="11777" max="11785" width="8.88671875" style="112" customWidth="1"/>
    <col min="11786" max="11786" width="9.88671875" style="112" customWidth="1"/>
    <col min="11787" max="11794" width="8.88671875" style="112" customWidth="1"/>
    <col min="11795" max="12032" width="8.88671875" style="112" hidden="1"/>
    <col min="12033" max="12041" width="8.88671875" style="112" customWidth="1"/>
    <col min="12042" max="12042" width="9.88671875" style="112" customWidth="1"/>
    <col min="12043" max="12050" width="8.88671875" style="112" customWidth="1"/>
    <col min="12051" max="12288" width="8.88671875" style="112" hidden="1"/>
    <col min="12289" max="12297" width="8.88671875" style="112" customWidth="1"/>
    <col min="12298" max="12298" width="9.88671875" style="112" customWidth="1"/>
    <col min="12299" max="12306" width="8.88671875" style="112" customWidth="1"/>
    <col min="12307" max="12544" width="8.88671875" style="112" hidden="1"/>
    <col min="12545" max="12553" width="8.88671875" style="112" customWidth="1"/>
    <col min="12554" max="12554" width="9.88671875" style="112" customWidth="1"/>
    <col min="12555" max="12562" width="8.88671875" style="112" customWidth="1"/>
    <col min="12563" max="12800" width="8.88671875" style="112" hidden="1"/>
    <col min="12801" max="12809" width="8.88671875" style="112" customWidth="1"/>
    <col min="12810" max="12810" width="9.88671875" style="112" customWidth="1"/>
    <col min="12811" max="12818" width="8.88671875" style="112" customWidth="1"/>
    <col min="12819" max="13056" width="8.88671875" style="112" hidden="1"/>
    <col min="13057" max="13065" width="8.88671875" style="112" customWidth="1"/>
    <col min="13066" max="13066" width="9.88671875" style="112" customWidth="1"/>
    <col min="13067" max="13074" width="8.88671875" style="112" customWidth="1"/>
    <col min="13075" max="13312" width="8.88671875" style="112" hidden="1"/>
    <col min="13313" max="13321" width="8.88671875" style="112" customWidth="1"/>
    <col min="13322" max="13322" width="9.88671875" style="112" customWidth="1"/>
    <col min="13323" max="13330" width="8.88671875" style="112" customWidth="1"/>
    <col min="13331" max="13568" width="8.88671875" style="112" hidden="1"/>
    <col min="13569" max="13577" width="8.88671875" style="112" customWidth="1"/>
    <col min="13578" max="13578" width="9.88671875" style="112" customWidth="1"/>
    <col min="13579" max="13586" width="8.88671875" style="112" customWidth="1"/>
    <col min="13587" max="13824" width="8.88671875" style="112" hidden="1"/>
    <col min="13825" max="13833" width="8.88671875" style="112" customWidth="1"/>
    <col min="13834" max="13834" width="9.88671875" style="112" customWidth="1"/>
    <col min="13835" max="13842" width="8.88671875" style="112" customWidth="1"/>
    <col min="13843" max="14080" width="8.88671875" style="112" hidden="1"/>
    <col min="14081" max="14089" width="8.88671875" style="112" customWidth="1"/>
    <col min="14090" max="14090" width="9.88671875" style="112" customWidth="1"/>
    <col min="14091" max="14098" width="8.88671875" style="112" customWidth="1"/>
    <col min="14099" max="14336" width="8.88671875" style="112" hidden="1"/>
    <col min="14337" max="14345" width="8.88671875" style="112" customWidth="1"/>
    <col min="14346" max="14346" width="9.88671875" style="112" customWidth="1"/>
    <col min="14347" max="14354" width="8.88671875" style="112" customWidth="1"/>
    <col min="14355" max="14592" width="8.88671875" style="112" hidden="1"/>
    <col min="14593" max="14601" width="8.88671875" style="112" customWidth="1"/>
    <col min="14602" max="14602" width="9.88671875" style="112" customWidth="1"/>
    <col min="14603" max="14610" width="8.88671875" style="112" customWidth="1"/>
    <col min="14611" max="14848" width="8.88671875" style="112" hidden="1"/>
    <col min="14849" max="14857" width="8.88671875" style="112" customWidth="1"/>
    <col min="14858" max="14858" width="9.88671875" style="112" customWidth="1"/>
    <col min="14859" max="14866" width="8.88671875" style="112" customWidth="1"/>
    <col min="14867" max="15104" width="8.88671875" style="112" hidden="1"/>
    <col min="15105" max="15113" width="8.88671875" style="112" customWidth="1"/>
    <col min="15114" max="15114" width="9.88671875" style="112" customWidth="1"/>
    <col min="15115" max="15122" width="8.88671875" style="112" customWidth="1"/>
    <col min="15123" max="15360" width="8.88671875" style="112" hidden="1"/>
    <col min="15361" max="15369" width="8.88671875" style="112" customWidth="1"/>
    <col min="15370" max="15370" width="9.88671875" style="112" customWidth="1"/>
    <col min="15371" max="15378" width="8.88671875" style="112" customWidth="1"/>
    <col min="15379" max="15616" width="8.88671875" style="112" hidden="1"/>
    <col min="15617" max="15625" width="8.88671875" style="112" customWidth="1"/>
    <col min="15626" max="15626" width="9.88671875" style="112" customWidth="1"/>
    <col min="15627" max="15634" width="8.88671875" style="112" customWidth="1"/>
    <col min="15635" max="15872" width="8.88671875" style="112" hidden="1"/>
    <col min="15873" max="15881" width="8.88671875" style="112" customWidth="1"/>
    <col min="15882" max="15882" width="9.88671875" style="112" customWidth="1"/>
    <col min="15883" max="15890" width="8.88671875" style="112" customWidth="1"/>
    <col min="15891" max="16128" width="8.88671875" style="112" hidden="1"/>
    <col min="16129" max="16137" width="8.88671875" style="112" customWidth="1"/>
    <col min="16138" max="16138" width="9.88671875" style="112" customWidth="1"/>
    <col min="16139" max="16146" width="8.88671875" style="112" customWidth="1"/>
    <col min="16147" max="16384" width="8.88671875" style="112" hidden="1"/>
  </cols>
  <sheetData>
    <row r="1" spans="1:18" ht="13.2" x14ac:dyDescent="0.25">
      <c r="A1" s="170">
        <f>+C8</f>
        <v>2022</v>
      </c>
      <c r="B1" s="170" t="s">
        <v>369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58"/>
      <c r="O1" s="112" t="s">
        <v>370</v>
      </c>
      <c r="Q1" s="112" t="s">
        <v>371</v>
      </c>
      <c r="R1" s="122"/>
    </row>
    <row r="2" spans="1:18" ht="13.2" x14ac:dyDescent="0.25">
      <c r="A2" s="494" t="str">
        <f>RIGHT(E8, 2)</f>
        <v>24</v>
      </c>
      <c r="B2" s="170" t="s">
        <v>372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58">
        <v>1</v>
      </c>
      <c r="O2" s="112" t="s">
        <v>373</v>
      </c>
      <c r="P2" s="58"/>
      <c r="Q2" s="495">
        <v>1</v>
      </c>
      <c r="R2" s="122"/>
    </row>
    <row r="3" spans="1:18" ht="13.2" x14ac:dyDescent="0.25">
      <c r="A3" s="494" t="str">
        <f>VLOOKUP(Q2,N2:O3,2)</f>
        <v>D</v>
      </c>
      <c r="B3" s="170" t="s">
        <v>374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58">
        <v>2</v>
      </c>
      <c r="O3" s="112" t="s">
        <v>375</v>
      </c>
      <c r="R3" s="122"/>
    </row>
    <row r="4" spans="1:18" ht="13.2" x14ac:dyDescent="0.25">
      <c r="A4" s="496"/>
      <c r="B4" s="497"/>
      <c r="C4" s="497"/>
      <c r="D4" s="497"/>
      <c r="E4" s="497"/>
      <c r="F4" s="497"/>
      <c r="G4" s="496" t="s">
        <v>376</v>
      </c>
      <c r="H4" s="498"/>
      <c r="I4" s="499"/>
      <c r="J4" s="499"/>
      <c r="K4" s="498"/>
      <c r="L4" s="500"/>
      <c r="M4" s="500"/>
      <c r="N4" s="58"/>
      <c r="R4" s="122"/>
    </row>
    <row r="5" spans="1:18" ht="13.2" x14ac:dyDescent="0.25">
      <c r="A5" s="501" t="s">
        <v>377</v>
      </c>
      <c r="B5" s="502">
        <v>45348</v>
      </c>
      <c r="C5" s="503"/>
      <c r="D5" s="503"/>
      <c r="E5" s="503"/>
      <c r="F5" s="503"/>
      <c r="G5" s="504"/>
      <c r="H5" s="505"/>
      <c r="I5" s="505"/>
      <c r="J5" s="505"/>
      <c r="K5" s="505"/>
      <c r="L5" s="505"/>
      <c r="M5" s="505"/>
      <c r="N5" s="58"/>
      <c r="R5" s="122"/>
    </row>
    <row r="6" spans="1:18" ht="13.8" thickBot="1" x14ac:dyDescent="0.3">
      <c r="A6" s="503"/>
      <c r="B6" s="503"/>
      <c r="C6" s="503"/>
      <c r="D6" s="503"/>
      <c r="E6" s="503"/>
      <c r="F6" s="503"/>
      <c r="G6" s="504"/>
      <c r="H6" s="505" t="s">
        <v>378</v>
      </c>
      <c r="I6" s="505"/>
      <c r="J6" s="505"/>
      <c r="K6" s="505"/>
      <c r="L6" s="505"/>
      <c r="M6" s="505"/>
      <c r="N6" s="58"/>
      <c r="O6" s="112" t="s">
        <v>379</v>
      </c>
      <c r="Q6" s="112" t="s">
        <v>371</v>
      </c>
      <c r="R6" s="122"/>
    </row>
    <row r="7" spans="1:18" ht="13.8" thickBot="1" x14ac:dyDescent="0.3">
      <c r="A7" s="506"/>
      <c r="B7" s="507" t="s">
        <v>380</v>
      </c>
      <c r="C7" s="508" t="s">
        <v>296</v>
      </c>
      <c r="D7" s="508" t="s">
        <v>296</v>
      </c>
      <c r="E7" s="508" t="s">
        <v>296</v>
      </c>
      <c r="F7" s="508" t="s">
        <v>296</v>
      </c>
      <c r="G7" s="504"/>
      <c r="H7" s="509">
        <f>IF(K15="&lt;Base Year",H15,IF(K16="&lt;Base Year",H16,IF(K17="&lt;Base Year",H17,IF(K18="&lt;Base Year",H18,"None"))))</f>
        <v>2024</v>
      </c>
      <c r="I7" s="510" t="s">
        <v>381</v>
      </c>
      <c r="J7" s="511"/>
      <c r="K7" s="171"/>
      <c r="L7" s="171"/>
      <c r="M7" s="177"/>
      <c r="N7" s="58">
        <v>1</v>
      </c>
      <c r="O7" s="512" t="s">
        <v>382</v>
      </c>
      <c r="P7" s="58"/>
      <c r="Q7" s="495">
        <v>10</v>
      </c>
      <c r="R7" s="122"/>
    </row>
    <row r="8" spans="1:18" ht="13.2" x14ac:dyDescent="0.25">
      <c r="A8" s="513" t="s">
        <v>383</v>
      </c>
      <c r="B8" s="514" t="s">
        <v>384</v>
      </c>
      <c r="C8" s="515">
        <v>2022</v>
      </c>
      <c r="D8" s="515">
        <f>+C8+1</f>
        <v>2023</v>
      </c>
      <c r="E8" s="515">
        <f t="shared" ref="E8:F8" si="0">+D8+1</f>
        <v>2024</v>
      </c>
      <c r="F8" s="515">
        <f t="shared" si="0"/>
        <v>2025</v>
      </c>
      <c r="G8" s="504"/>
      <c r="H8" s="509">
        <f>IF(K15="&lt;Base Year",1,IF(K16="&lt;Base Year",2,IF(K17="&lt;Base Year",3,IF(K18="&lt;Base Year",4,5))))</f>
        <v>3</v>
      </c>
      <c r="I8" s="516" t="s">
        <v>1072</v>
      </c>
      <c r="J8" s="516" t="s">
        <v>1071</v>
      </c>
      <c r="K8" s="171"/>
      <c r="L8" s="171"/>
      <c r="M8" s="177"/>
      <c r="N8" s="58">
        <v>2</v>
      </c>
      <c r="O8" s="512" t="s">
        <v>385</v>
      </c>
      <c r="R8" s="122"/>
    </row>
    <row r="9" spans="1:18" ht="13.8" thickBot="1" x14ac:dyDescent="0.3">
      <c r="A9" s="517" t="s">
        <v>386</v>
      </c>
      <c r="B9" s="517" t="s">
        <v>387</v>
      </c>
      <c r="C9" s="518"/>
      <c r="D9" s="518"/>
      <c r="E9" s="518"/>
      <c r="F9" s="518"/>
      <c r="G9" s="504"/>
      <c r="H9" s="171">
        <v>0</v>
      </c>
      <c r="I9" s="519" t="s">
        <v>123</v>
      </c>
      <c r="J9" s="519" t="s">
        <v>123</v>
      </c>
      <c r="K9" s="171"/>
      <c r="L9" s="171"/>
      <c r="M9" s="177"/>
      <c r="N9" s="58">
        <v>3</v>
      </c>
      <c r="O9" s="512" t="s">
        <v>388</v>
      </c>
      <c r="R9" s="122"/>
    </row>
    <row r="10" spans="1:18" ht="13.2" x14ac:dyDescent="0.25">
      <c r="A10" s="501">
        <v>2017</v>
      </c>
      <c r="B10" s="520">
        <v>1.0169999999999999</v>
      </c>
      <c r="C10" s="521">
        <v>0.88628566525382457</v>
      </c>
      <c r="D10" s="521">
        <v>0.84730943140900994</v>
      </c>
      <c r="E10" s="521">
        <v>0.82503352620156789</v>
      </c>
      <c r="F10" s="521">
        <v>0.80727350900349115</v>
      </c>
      <c r="G10" s="522" t="s">
        <v>389</v>
      </c>
      <c r="H10" s="171">
        <f>+A10</f>
        <v>2017</v>
      </c>
      <c r="I10" s="523">
        <f>+I11/B11</f>
        <v>0.80062099798634889</v>
      </c>
      <c r="J10" s="524">
        <f>CHOOSE(H$8,C10,D10,E10,F10)</f>
        <v>0.82503352620156789</v>
      </c>
      <c r="K10" s="171"/>
      <c r="L10" s="171"/>
      <c r="M10" s="177"/>
      <c r="N10" s="58">
        <v>4</v>
      </c>
      <c r="O10" s="512" t="s">
        <v>390</v>
      </c>
      <c r="R10" s="122"/>
    </row>
    <row r="11" spans="1:18" ht="13.2" x14ac:dyDescent="0.25">
      <c r="A11" s="501">
        <f>+A10+1</f>
        <v>2018</v>
      </c>
      <c r="B11" s="520">
        <v>1.022</v>
      </c>
      <c r="C11" s="521">
        <v>0.90232441963656207</v>
      </c>
      <c r="D11" s="521">
        <v>0.86264284860091978</v>
      </c>
      <c r="E11" s="521">
        <v>0.83996382531735148</v>
      </c>
      <c r="F11" s="521">
        <v>0.82188241224789782</v>
      </c>
      <c r="G11" s="525" t="s">
        <v>391</v>
      </c>
      <c r="H11" s="171">
        <f t="shared" ref="H11:H74" si="1">+A11</f>
        <v>2018</v>
      </c>
      <c r="I11" s="523">
        <f>+I12/B12</f>
        <v>0.81823465994204858</v>
      </c>
      <c r="J11" s="524">
        <f>CHOOSE(H$8,C11,D11,E11,F11)</f>
        <v>0.83996382531735148</v>
      </c>
      <c r="K11" s="171"/>
      <c r="L11" s="171"/>
      <c r="M11" s="177"/>
      <c r="N11" s="58">
        <v>5</v>
      </c>
      <c r="O11" s="512" t="s">
        <v>392</v>
      </c>
      <c r="R11" s="122"/>
    </row>
    <row r="12" spans="1:18" ht="13.2" x14ac:dyDescent="0.25">
      <c r="A12" s="501">
        <f t="shared" ref="A12:A75" si="2">+A11+1</f>
        <v>2019</v>
      </c>
      <c r="B12" s="520">
        <v>1.0189999999999999</v>
      </c>
      <c r="C12" s="521">
        <v>0.91715341898215097</v>
      </c>
      <c r="D12" s="521">
        <v>0.87681971222002952</v>
      </c>
      <c r="E12" s="521">
        <v>0.853767976845209</v>
      </c>
      <c r="F12" s="521">
        <v>0.83538940982897181</v>
      </c>
      <c r="G12" s="525" t="s">
        <v>393</v>
      </c>
      <c r="H12" s="171">
        <f t="shared" si="1"/>
        <v>2019</v>
      </c>
      <c r="I12" s="523">
        <f>+I13/B13</f>
        <v>0.83378111848094738</v>
      </c>
      <c r="J12" s="524">
        <f>CHOOSE(H$8,C12,D12,E12,F12)</f>
        <v>0.853767976845209</v>
      </c>
      <c r="K12" s="171"/>
      <c r="L12" s="171"/>
      <c r="M12" s="177"/>
      <c r="N12" s="58">
        <v>6</v>
      </c>
      <c r="O12" s="512" t="s">
        <v>394</v>
      </c>
      <c r="R12" s="122"/>
    </row>
    <row r="13" spans="1:18" ht="13.2" x14ac:dyDescent="0.25">
      <c r="A13" s="501">
        <f t="shared" si="2"/>
        <v>2020</v>
      </c>
      <c r="B13" s="520">
        <v>1.0129999999999999</v>
      </c>
      <c r="C13" s="521">
        <v>0.94680668592319139</v>
      </c>
      <c r="D13" s="521">
        <v>0.90516891579655001</v>
      </c>
      <c r="E13" s="521">
        <v>0.88137187516704019</v>
      </c>
      <c r="F13" s="521">
        <v>0.86239909507538171</v>
      </c>
      <c r="G13" s="522" t="s">
        <v>395</v>
      </c>
      <c r="H13" s="171">
        <f t="shared" si="1"/>
        <v>2020</v>
      </c>
      <c r="I13" s="523">
        <f>+I14/B14</f>
        <v>0.84462027302119957</v>
      </c>
      <c r="J13" s="524">
        <f>CHOOSE(H$8,C13,D13,E13,F13)</f>
        <v>0.88137187516704019</v>
      </c>
      <c r="K13" s="171"/>
      <c r="L13" s="171"/>
      <c r="M13" s="177"/>
      <c r="N13" s="58">
        <v>7</v>
      </c>
      <c r="O13" s="512" t="s">
        <v>396</v>
      </c>
      <c r="R13" s="122"/>
    </row>
    <row r="14" spans="1:18" ht="13.2" x14ac:dyDescent="0.25">
      <c r="A14" s="501">
        <f t="shared" si="2"/>
        <v>2021</v>
      </c>
      <c r="B14" s="520">
        <v>1.0309999999999999</v>
      </c>
      <c r="C14" s="521">
        <v>0.98664201486663794</v>
      </c>
      <c r="D14" s="521">
        <v>0.94325240427020818</v>
      </c>
      <c r="E14" s="521">
        <v>0.91845414242474044</v>
      </c>
      <c r="F14" s="521">
        <v>0.89868311391853284</v>
      </c>
      <c r="G14" s="525" t="s">
        <v>397</v>
      </c>
      <c r="H14" s="171">
        <f t="shared" si="1"/>
        <v>2021</v>
      </c>
      <c r="I14" s="523">
        <f>+I15/B15</f>
        <v>0.87080350148485675</v>
      </c>
      <c r="J14" s="524">
        <f>CHOOSE(H$8,C14,D14,E14,F14)</f>
        <v>0.91845414242474044</v>
      </c>
      <c r="K14" s="171"/>
      <c r="L14" s="171"/>
      <c r="M14" s="177"/>
      <c r="N14" s="58">
        <v>8</v>
      </c>
      <c r="O14" s="512" t="s">
        <v>398</v>
      </c>
      <c r="R14" s="122"/>
    </row>
    <row r="15" spans="1:18" ht="13.2" x14ac:dyDescent="0.25">
      <c r="A15" s="501">
        <f t="shared" si="2"/>
        <v>2022</v>
      </c>
      <c r="B15" s="520">
        <v>1.069</v>
      </c>
      <c r="C15" s="521">
        <v>1.0321459148015311</v>
      </c>
      <c r="D15" s="521">
        <v>0.98675517667450385</v>
      </c>
      <c r="E15" s="521">
        <v>0.96081321974148404</v>
      </c>
      <c r="F15" s="521">
        <v>0.94013035199753814</v>
      </c>
      <c r="G15" s="526" t="s">
        <v>399</v>
      </c>
      <c r="H15" s="171">
        <f t="shared" si="1"/>
        <v>2022</v>
      </c>
      <c r="I15" s="527">
        <f>IF(Sheet1!$E$82&lt;=A15,1,I16/B16)</f>
        <v>0.93088894308731185</v>
      </c>
      <c r="J15" s="528">
        <f>IF(I15&gt;=1,1/((C$645/I15)+(D$645/I16)+(E$645/I17)+(F$645/I18)+(G$645/I19)+(H$645/I20)+(I$645/I21)+(J$645/I22)+(K$645/I23)+(L$645/I24)),CHOOSE(H$8,C15,D15,E15,F15))</f>
        <v>0.96081321974148404</v>
      </c>
      <c r="K15" s="171" t="str">
        <f>IF(I15=1,"&lt;Base Year","")</f>
        <v/>
      </c>
      <c r="L15" s="171"/>
      <c r="M15" s="177"/>
      <c r="N15" s="58">
        <v>9</v>
      </c>
      <c r="O15" s="512" t="s">
        <v>400</v>
      </c>
      <c r="R15" s="122"/>
    </row>
    <row r="16" spans="1:18" ht="13.2" x14ac:dyDescent="0.25">
      <c r="A16" s="501">
        <f t="shared" si="2"/>
        <v>2023</v>
      </c>
      <c r="B16" s="520">
        <v>1.046</v>
      </c>
      <c r="C16" s="521">
        <v>1.0729722120292557</v>
      </c>
      <c r="D16" s="521">
        <v>1.0257860535652541</v>
      </c>
      <c r="E16" s="521">
        <v>0.9988179684179691</v>
      </c>
      <c r="F16" s="521">
        <v>0.97731699453813026</v>
      </c>
      <c r="G16" s="526" t="s">
        <v>401</v>
      </c>
      <c r="H16" s="171">
        <f t="shared" si="1"/>
        <v>2023</v>
      </c>
      <c r="I16" s="527">
        <f>IF(Sheet1!$E$82&lt;A16,I15*B16,IF(Sheet1!$E$82=A16,1,I17/B17))</f>
        <v>0.97370983446932824</v>
      </c>
      <c r="J16" s="528">
        <f t="shared" ref="J16:J73" si="3">IF(I16&gt;=1,1/((C$645/I16)+(D$645/I17)+(E$645/I18)+(F$645/I19)+(G$645/I20)+(H$645/I21)+(I$645/I22)+(J$645/I23)+(K$645/I24)+(L$645/I25)),CHOOSE(H$8,C16,D16,E16,F16))</f>
        <v>0.9988179684179691</v>
      </c>
      <c r="K16" s="171" t="str">
        <f>IF(I16=1,"&lt;Base Year","")</f>
        <v/>
      </c>
      <c r="L16" s="171"/>
      <c r="M16" s="177"/>
      <c r="N16" s="58">
        <v>10</v>
      </c>
      <c r="O16" s="512" t="s">
        <v>402</v>
      </c>
      <c r="R16" s="122"/>
    </row>
    <row r="17" spans="1:25" ht="13.2" x14ac:dyDescent="0.25">
      <c r="A17" s="501">
        <f t="shared" si="2"/>
        <v>2024</v>
      </c>
      <c r="B17" s="520">
        <v>1.0269999999999999</v>
      </c>
      <c r="C17" s="521">
        <v>1.0983868220837634</v>
      </c>
      <c r="D17" s="521">
        <v>1.0500830039041713</v>
      </c>
      <c r="E17" s="521">
        <v>1.0224761479105857</v>
      </c>
      <c r="F17" s="521">
        <v>1.0004658981512582</v>
      </c>
      <c r="G17" s="526" t="s">
        <v>403</v>
      </c>
      <c r="H17" s="171">
        <f t="shared" si="1"/>
        <v>2024</v>
      </c>
      <c r="I17" s="527">
        <f>IF(Sheet1!$E$82&lt;A17,I16*B17,IF(Sheet1!$E$82=A17,1,I18/B18))</f>
        <v>1</v>
      </c>
      <c r="J17" s="528">
        <f t="shared" si="3"/>
        <v>1.0224761479105859</v>
      </c>
      <c r="K17" s="171" t="str">
        <f>IF(I17=1,"&lt;Base Year","")</f>
        <v>&lt;Base Year</v>
      </c>
      <c r="L17" s="171"/>
      <c r="M17" s="177"/>
      <c r="N17" s="58">
        <v>11</v>
      </c>
      <c r="O17" s="512" t="s">
        <v>404</v>
      </c>
      <c r="R17" s="122"/>
    </row>
    <row r="18" spans="1:25" ht="13.2" x14ac:dyDescent="0.25">
      <c r="A18" s="501">
        <f t="shared" si="2"/>
        <v>2025</v>
      </c>
      <c r="B18" s="520">
        <v>1.022</v>
      </c>
      <c r="C18" s="521">
        <v>1.1218740686072453</v>
      </c>
      <c r="D18" s="521">
        <v>1.072537350484938</v>
      </c>
      <c r="E18" s="521">
        <v>1.0443401660028611</v>
      </c>
      <c r="F18" s="521">
        <v>1.0218592622337193</v>
      </c>
      <c r="G18" s="526" t="s">
        <v>405</v>
      </c>
      <c r="H18" s="171">
        <f t="shared" si="1"/>
        <v>2025</v>
      </c>
      <c r="I18" s="527">
        <f>IF(Sheet1!$E$82&lt;A18,I17*B18,IF(Sheet1!$E$82=A18,1,1))</f>
        <v>1.022</v>
      </c>
      <c r="J18" s="528">
        <f t="shared" si="3"/>
        <v>1.0443401660028611</v>
      </c>
      <c r="K18" s="171" t="str">
        <f>IF(I18=1,"&lt;Base Year","")</f>
        <v/>
      </c>
      <c r="L18" s="171"/>
      <c r="M18" s="177"/>
      <c r="N18" s="58">
        <v>12</v>
      </c>
      <c r="O18" s="512" t="s">
        <v>406</v>
      </c>
      <c r="R18" s="122"/>
    </row>
    <row r="19" spans="1:25" ht="13.2" x14ac:dyDescent="0.25">
      <c r="A19" s="501">
        <f t="shared" si="2"/>
        <v>2026</v>
      </c>
      <c r="B19" s="520">
        <v>1.0209999999999999</v>
      </c>
      <c r="C19" s="503"/>
      <c r="D19" s="503"/>
      <c r="E19" s="503"/>
      <c r="F19" s="503"/>
      <c r="G19" s="504"/>
      <c r="H19" s="171">
        <f t="shared" si="1"/>
        <v>2026</v>
      </c>
      <c r="I19" s="523">
        <f>+I18*B19</f>
        <v>1.0434619999999999</v>
      </c>
      <c r="J19" s="523">
        <f t="shared" si="3"/>
        <v>1.0662713094889209</v>
      </c>
      <c r="K19" s="171"/>
      <c r="L19" s="171"/>
      <c r="M19" s="177"/>
      <c r="N19" s="58">
        <v>13</v>
      </c>
      <c r="O19" s="512" t="s">
        <v>407</v>
      </c>
      <c r="R19" s="122"/>
      <c r="S19" s="529"/>
      <c r="T19" s="529"/>
      <c r="U19" s="529"/>
      <c r="V19" s="529"/>
      <c r="W19" s="529"/>
      <c r="X19" s="529"/>
      <c r="Y19" s="529"/>
    </row>
    <row r="20" spans="1:25" ht="13.2" x14ac:dyDescent="0.25">
      <c r="A20" s="501">
        <f t="shared" si="2"/>
        <v>2027</v>
      </c>
      <c r="B20" s="520">
        <f>B19</f>
        <v>1.0209999999999999</v>
      </c>
      <c r="C20" s="503"/>
      <c r="D20" s="503"/>
      <c r="E20" s="503"/>
      <c r="F20" s="503"/>
      <c r="G20" s="504"/>
      <c r="H20" s="171">
        <f t="shared" si="1"/>
        <v>2027</v>
      </c>
      <c r="I20" s="523">
        <f t="shared" ref="I20:I63" si="4">+I19*B20</f>
        <v>1.0653747019999997</v>
      </c>
      <c r="J20" s="523">
        <f t="shared" si="3"/>
        <v>1.0886630069881882</v>
      </c>
      <c r="K20" s="171"/>
      <c r="L20" s="171"/>
      <c r="M20" s="177"/>
      <c r="N20" s="58">
        <v>14</v>
      </c>
      <c r="O20" s="512" t="s">
        <v>408</v>
      </c>
      <c r="R20" s="122"/>
    </row>
    <row r="21" spans="1:25" ht="13.2" x14ac:dyDescent="0.25">
      <c r="A21" s="501">
        <f t="shared" si="2"/>
        <v>2028</v>
      </c>
      <c r="B21" s="520">
        <f t="shared" ref="B21:B82" si="5">B20</f>
        <v>1.0209999999999999</v>
      </c>
      <c r="C21" s="503"/>
      <c r="D21" s="503"/>
      <c r="E21" s="503"/>
      <c r="F21" s="503"/>
      <c r="G21" s="504"/>
      <c r="H21" s="171">
        <f t="shared" si="1"/>
        <v>2028</v>
      </c>
      <c r="I21" s="523">
        <f t="shared" si="4"/>
        <v>1.0877475707419997</v>
      </c>
      <c r="J21" s="523">
        <f t="shared" si="3"/>
        <v>1.1115249301349401</v>
      </c>
      <c r="K21" s="171"/>
      <c r="L21" s="171"/>
      <c r="M21" s="177"/>
      <c r="N21" s="58">
        <v>15</v>
      </c>
      <c r="O21" s="512" t="s">
        <v>409</v>
      </c>
      <c r="R21" s="122"/>
    </row>
    <row r="22" spans="1:25" ht="13.2" x14ac:dyDescent="0.25">
      <c r="A22" s="501">
        <f t="shared" si="2"/>
        <v>2029</v>
      </c>
      <c r="B22" s="520">
        <f t="shared" si="5"/>
        <v>1.0209999999999999</v>
      </c>
      <c r="C22" s="503"/>
      <c r="D22" s="503"/>
      <c r="E22" s="503"/>
      <c r="F22" s="503"/>
      <c r="G22" s="504"/>
      <c r="H22" s="171">
        <f t="shared" si="1"/>
        <v>2029</v>
      </c>
      <c r="I22" s="523">
        <f t="shared" si="4"/>
        <v>1.1105902697275816</v>
      </c>
      <c r="J22" s="523">
        <f t="shared" si="3"/>
        <v>1.1348669536677738</v>
      </c>
      <c r="K22" s="171"/>
      <c r="L22" s="171"/>
      <c r="M22" s="177"/>
      <c r="N22" s="58">
        <v>16</v>
      </c>
      <c r="O22" s="512" t="s">
        <v>410</v>
      </c>
      <c r="R22" s="122"/>
    </row>
    <row r="23" spans="1:25" ht="13.2" x14ac:dyDescent="0.25">
      <c r="A23" s="501">
        <f t="shared" si="2"/>
        <v>2030</v>
      </c>
      <c r="B23" s="520">
        <f t="shared" si="5"/>
        <v>1.0209999999999999</v>
      </c>
      <c r="C23" s="503"/>
      <c r="D23" s="503"/>
      <c r="E23" s="503"/>
      <c r="F23" s="503"/>
      <c r="G23" s="504"/>
      <c r="H23" s="171">
        <f t="shared" si="1"/>
        <v>2030</v>
      </c>
      <c r="I23" s="523">
        <f t="shared" si="4"/>
        <v>1.1339126653918608</v>
      </c>
      <c r="J23" s="523">
        <f t="shared" si="3"/>
        <v>1.1586991596947969</v>
      </c>
      <c r="K23" s="171"/>
      <c r="L23" s="171"/>
      <c r="M23" s="177"/>
      <c r="N23" s="58">
        <v>17</v>
      </c>
      <c r="O23" s="512" t="s">
        <v>411</v>
      </c>
      <c r="R23" s="122"/>
    </row>
    <row r="24" spans="1:25" ht="13.2" x14ac:dyDescent="0.25">
      <c r="A24" s="501">
        <f t="shared" si="2"/>
        <v>2031</v>
      </c>
      <c r="B24" s="520">
        <f t="shared" si="5"/>
        <v>1.0209999999999999</v>
      </c>
      <c r="C24" s="503"/>
      <c r="D24" s="503"/>
      <c r="E24" s="503"/>
      <c r="F24" s="503"/>
      <c r="G24" s="504"/>
      <c r="H24" s="171">
        <f t="shared" si="1"/>
        <v>2031</v>
      </c>
      <c r="I24" s="523">
        <f t="shared" si="4"/>
        <v>1.1577248313650896</v>
      </c>
      <c r="J24" s="523">
        <f t="shared" si="3"/>
        <v>1.1830318420483874</v>
      </c>
      <c r="K24" s="171"/>
      <c r="L24" s="171"/>
      <c r="M24" s="177"/>
      <c r="N24" s="58">
        <v>18</v>
      </c>
      <c r="O24" s="512" t="s">
        <v>412</v>
      </c>
      <c r="R24" s="122"/>
    </row>
    <row r="25" spans="1:25" ht="13.2" x14ac:dyDescent="0.25">
      <c r="A25" s="501">
        <f t="shared" si="2"/>
        <v>2032</v>
      </c>
      <c r="B25" s="520">
        <f t="shared" si="5"/>
        <v>1.0209999999999999</v>
      </c>
      <c r="C25" s="503"/>
      <c r="D25" s="503"/>
      <c r="E25" s="503"/>
      <c r="F25" s="503"/>
      <c r="G25" s="504"/>
      <c r="H25" s="171">
        <f t="shared" si="1"/>
        <v>2032</v>
      </c>
      <c r="I25" s="523">
        <f t="shared" si="4"/>
        <v>1.1820370528237565</v>
      </c>
      <c r="J25" s="523">
        <f t="shared" si="3"/>
        <v>1.2078755107314032</v>
      </c>
      <c r="K25" s="171"/>
      <c r="L25" s="171"/>
      <c r="M25" s="177"/>
      <c r="N25" s="58">
        <v>19</v>
      </c>
      <c r="O25" s="512" t="s">
        <v>413</v>
      </c>
      <c r="R25" s="122"/>
    </row>
    <row r="26" spans="1:25" ht="13.2" x14ac:dyDescent="0.25">
      <c r="A26" s="501">
        <f t="shared" si="2"/>
        <v>2033</v>
      </c>
      <c r="B26" s="520">
        <f t="shared" si="5"/>
        <v>1.0209999999999999</v>
      </c>
      <c r="C26" s="503"/>
      <c r="D26" s="503"/>
      <c r="E26" s="503"/>
      <c r="F26" s="503"/>
      <c r="G26" s="504"/>
      <c r="H26" s="171">
        <f t="shared" si="1"/>
        <v>2033</v>
      </c>
      <c r="I26" s="523">
        <f t="shared" si="4"/>
        <v>1.2068598309330552</v>
      </c>
      <c r="J26" s="523">
        <f t="shared" si="3"/>
        <v>1.2332408964567629</v>
      </c>
      <c r="K26" s="171"/>
      <c r="L26" s="171"/>
      <c r="M26" s="177"/>
      <c r="N26" s="58">
        <v>20</v>
      </c>
      <c r="O26" s="512" t="s">
        <v>414</v>
      </c>
      <c r="R26" s="122"/>
    </row>
    <row r="27" spans="1:25" x14ac:dyDescent="0.2">
      <c r="A27" s="501">
        <f t="shared" si="2"/>
        <v>2034</v>
      </c>
      <c r="B27" s="520">
        <f t="shared" si="5"/>
        <v>1.0209999999999999</v>
      </c>
      <c r="C27" s="503"/>
      <c r="D27" s="503"/>
      <c r="E27" s="503"/>
      <c r="F27" s="503"/>
      <c r="G27" s="504"/>
      <c r="H27" s="171">
        <f t="shared" si="1"/>
        <v>2034</v>
      </c>
      <c r="I27" s="523">
        <f t="shared" si="4"/>
        <v>1.2322038873826493</v>
      </c>
      <c r="J27" s="523">
        <f t="shared" si="3"/>
        <v>1.2591389552823546</v>
      </c>
      <c r="K27" s="171"/>
      <c r="L27" s="171"/>
      <c r="M27" s="177"/>
      <c r="N27" s="122"/>
      <c r="O27" s="122"/>
      <c r="P27" s="122"/>
      <c r="Q27" s="122"/>
      <c r="R27" s="122"/>
    </row>
    <row r="28" spans="1:25" x14ac:dyDescent="0.2">
      <c r="A28" s="501">
        <f t="shared" si="2"/>
        <v>2035</v>
      </c>
      <c r="B28" s="520">
        <f t="shared" si="5"/>
        <v>1.0209999999999999</v>
      </c>
      <c r="C28" s="503"/>
      <c r="D28" s="503"/>
      <c r="E28" s="503"/>
      <c r="F28" s="503"/>
      <c r="G28" s="504"/>
      <c r="H28" s="171">
        <f t="shared" si="1"/>
        <v>2035</v>
      </c>
      <c r="I28" s="523">
        <f t="shared" si="4"/>
        <v>1.2580801690176848</v>
      </c>
      <c r="J28" s="523">
        <f t="shared" si="3"/>
        <v>1.2855808733432841</v>
      </c>
      <c r="K28" s="171"/>
      <c r="L28" s="171"/>
      <c r="M28" s="171"/>
    </row>
    <row r="29" spans="1:25" x14ac:dyDescent="0.2">
      <c r="A29" s="501">
        <f t="shared" si="2"/>
        <v>2036</v>
      </c>
      <c r="B29" s="520">
        <f t="shared" si="5"/>
        <v>1.0209999999999999</v>
      </c>
      <c r="C29" s="503"/>
      <c r="D29" s="503"/>
      <c r="E29" s="503"/>
      <c r="F29" s="503"/>
      <c r="G29" s="504"/>
      <c r="H29" s="171">
        <f t="shared" si="1"/>
        <v>2036</v>
      </c>
      <c r="I29" s="523">
        <f t="shared" si="4"/>
        <v>1.2844998525670561</v>
      </c>
      <c r="J29" s="523">
        <f t="shared" si="3"/>
        <v>1.3125780716834932</v>
      </c>
      <c r="K29" s="171"/>
      <c r="L29" s="171"/>
      <c r="M29" s="171"/>
    </row>
    <row r="30" spans="1:25" x14ac:dyDescent="0.2">
      <c r="A30" s="501">
        <f t="shared" si="2"/>
        <v>2037</v>
      </c>
      <c r="B30" s="520">
        <f t="shared" si="5"/>
        <v>1.0209999999999999</v>
      </c>
      <c r="C30" s="503"/>
      <c r="D30" s="503"/>
      <c r="E30" s="503"/>
      <c r="F30" s="503"/>
      <c r="G30" s="504"/>
      <c r="H30" s="171">
        <f t="shared" si="1"/>
        <v>2037</v>
      </c>
      <c r="I30" s="523">
        <f t="shared" si="4"/>
        <v>1.3114743494709642</v>
      </c>
      <c r="J30" s="523">
        <f t="shared" si="3"/>
        <v>1.3401422111888464</v>
      </c>
      <c r="K30" s="171"/>
      <c r="L30" s="171"/>
      <c r="M30" s="171"/>
    </row>
    <row r="31" spans="1:25" x14ac:dyDescent="0.2">
      <c r="A31" s="501">
        <f t="shared" si="2"/>
        <v>2038</v>
      </c>
      <c r="B31" s="520">
        <f t="shared" si="5"/>
        <v>1.0209999999999999</v>
      </c>
      <c r="C31" s="503"/>
      <c r="D31" s="503"/>
      <c r="E31" s="503"/>
      <c r="F31" s="503"/>
      <c r="G31" s="504"/>
      <c r="H31" s="171">
        <f t="shared" si="1"/>
        <v>2038</v>
      </c>
      <c r="I31" s="523">
        <f t="shared" si="4"/>
        <v>1.3390153108098544</v>
      </c>
      <c r="J31" s="523">
        <f t="shared" si="3"/>
        <v>1.368285197623812</v>
      </c>
      <c r="K31" s="171"/>
      <c r="L31" s="171"/>
      <c r="M31" s="171"/>
    </row>
    <row r="32" spans="1:25" x14ac:dyDescent="0.2">
      <c r="A32" s="501">
        <f t="shared" si="2"/>
        <v>2039</v>
      </c>
      <c r="B32" s="520">
        <f t="shared" si="5"/>
        <v>1.0209999999999999</v>
      </c>
      <c r="C32" s="503"/>
      <c r="D32" s="503"/>
      <c r="E32" s="503"/>
      <c r="F32" s="503"/>
      <c r="G32" s="504"/>
      <c r="H32" s="171">
        <f t="shared" si="1"/>
        <v>2039</v>
      </c>
      <c r="I32" s="523">
        <f t="shared" si="4"/>
        <v>1.3671346323368612</v>
      </c>
      <c r="J32" s="523">
        <f t="shared" si="3"/>
        <v>1.3970191867739123</v>
      </c>
      <c r="K32" s="171"/>
      <c r="L32" s="171"/>
      <c r="M32" s="171"/>
    </row>
    <row r="33" spans="1:13" x14ac:dyDescent="0.2">
      <c r="A33" s="501">
        <f t="shared" si="2"/>
        <v>2040</v>
      </c>
      <c r="B33" s="520">
        <f t="shared" si="5"/>
        <v>1.0209999999999999</v>
      </c>
      <c r="C33" s="503"/>
      <c r="D33" s="503"/>
      <c r="E33" s="503"/>
      <c r="F33" s="503"/>
      <c r="G33" s="504"/>
      <c r="H33" s="171">
        <f t="shared" si="1"/>
        <v>2040</v>
      </c>
      <c r="I33" s="523">
        <f t="shared" si="4"/>
        <v>1.3958444596159352</v>
      </c>
      <c r="J33" s="523">
        <f t="shared" si="3"/>
        <v>1.4263565896961641</v>
      </c>
      <c r="K33" s="171"/>
      <c r="L33" s="171"/>
      <c r="M33" s="171"/>
    </row>
    <row r="34" spans="1:13" x14ac:dyDescent="0.2">
      <c r="A34" s="501">
        <f t="shared" si="2"/>
        <v>2041</v>
      </c>
      <c r="B34" s="520">
        <f t="shared" si="5"/>
        <v>1.0209999999999999</v>
      </c>
      <c r="C34" s="503"/>
      <c r="D34" s="503"/>
      <c r="E34" s="503"/>
      <c r="F34" s="503"/>
      <c r="G34" s="504"/>
      <c r="H34" s="171">
        <f t="shared" si="1"/>
        <v>2041</v>
      </c>
      <c r="I34" s="523">
        <f t="shared" si="4"/>
        <v>1.4251571932678697</v>
      </c>
      <c r="J34" s="523">
        <f t="shared" si="3"/>
        <v>1.4563100780797831</v>
      </c>
      <c r="K34" s="171"/>
      <c r="L34" s="171"/>
      <c r="M34" s="171"/>
    </row>
    <row r="35" spans="1:13" x14ac:dyDescent="0.2">
      <c r="A35" s="501">
        <f t="shared" si="2"/>
        <v>2042</v>
      </c>
      <c r="B35" s="520">
        <f t="shared" si="5"/>
        <v>1.0209999999999999</v>
      </c>
      <c r="C35" s="503"/>
      <c r="D35" s="503"/>
      <c r="E35" s="503"/>
      <c r="F35" s="503"/>
      <c r="G35" s="504"/>
      <c r="H35" s="171">
        <f t="shared" si="1"/>
        <v>2042</v>
      </c>
      <c r="I35" s="523">
        <f t="shared" si="4"/>
        <v>1.4550854943264948</v>
      </c>
      <c r="J35" s="523">
        <f t="shared" si="3"/>
        <v>1.4868925897194585</v>
      </c>
      <c r="K35" s="171"/>
      <c r="L35" s="171"/>
      <c r="M35" s="171"/>
    </row>
    <row r="36" spans="1:13" x14ac:dyDescent="0.2">
      <c r="A36" s="501">
        <f t="shared" si="2"/>
        <v>2043</v>
      </c>
      <c r="B36" s="520">
        <f t="shared" si="5"/>
        <v>1.0209999999999999</v>
      </c>
      <c r="C36" s="503"/>
      <c r="D36" s="503"/>
      <c r="E36" s="503"/>
      <c r="F36" s="503"/>
      <c r="G36" s="504"/>
      <c r="H36" s="171">
        <f t="shared" si="1"/>
        <v>2043</v>
      </c>
      <c r="I36" s="523">
        <f t="shared" si="4"/>
        <v>1.4856422897073511</v>
      </c>
      <c r="J36" s="523">
        <f t="shared" si="3"/>
        <v>1.5181173341035672</v>
      </c>
      <c r="K36" s="171"/>
      <c r="L36" s="171"/>
      <c r="M36" s="171"/>
    </row>
    <row r="37" spans="1:13" x14ac:dyDescent="0.2">
      <c r="A37" s="501">
        <f t="shared" si="2"/>
        <v>2044</v>
      </c>
      <c r="B37" s="520">
        <f t="shared" si="5"/>
        <v>1.0209999999999999</v>
      </c>
      <c r="C37" s="503"/>
      <c r="D37" s="503"/>
      <c r="E37" s="503"/>
      <c r="F37" s="503"/>
      <c r="G37" s="504"/>
      <c r="H37" s="171">
        <f t="shared" si="1"/>
        <v>2044</v>
      </c>
      <c r="I37" s="523">
        <f t="shared" si="4"/>
        <v>1.5168407777912054</v>
      </c>
      <c r="J37" s="523">
        <f t="shared" si="3"/>
        <v>1.5499977981197419</v>
      </c>
      <c r="K37" s="171"/>
      <c r="L37" s="171"/>
      <c r="M37" s="171"/>
    </row>
    <row r="38" spans="1:13" x14ac:dyDescent="0.2">
      <c r="A38" s="501">
        <f t="shared" si="2"/>
        <v>2045</v>
      </c>
      <c r="B38" s="520">
        <f t="shared" si="5"/>
        <v>1.0209999999999999</v>
      </c>
      <c r="C38" s="503"/>
      <c r="D38" s="503"/>
      <c r="E38" s="503"/>
      <c r="F38" s="503"/>
      <c r="G38" s="504"/>
      <c r="H38" s="171">
        <f t="shared" si="1"/>
        <v>2045</v>
      </c>
      <c r="I38" s="523">
        <f t="shared" si="4"/>
        <v>1.5486944341248206</v>
      </c>
      <c r="J38" s="523">
        <f t="shared" si="3"/>
        <v>1.5825477518802562</v>
      </c>
      <c r="K38" s="171"/>
      <c r="L38" s="171"/>
      <c r="M38" s="171"/>
    </row>
    <row r="39" spans="1:13" x14ac:dyDescent="0.2">
      <c r="A39" s="501">
        <f t="shared" si="2"/>
        <v>2046</v>
      </c>
      <c r="B39" s="520">
        <f t="shared" si="5"/>
        <v>1.0209999999999999</v>
      </c>
      <c r="C39" s="503"/>
      <c r="D39" s="503"/>
      <c r="E39" s="503"/>
      <c r="F39" s="503"/>
      <c r="G39" s="504"/>
      <c r="H39" s="171">
        <f t="shared" si="1"/>
        <v>2046</v>
      </c>
      <c r="I39" s="523">
        <f t="shared" si="4"/>
        <v>1.5812170172414417</v>
      </c>
      <c r="J39" s="523">
        <f t="shared" si="3"/>
        <v>1.6157812546697417</v>
      </c>
      <c r="K39" s="171"/>
      <c r="L39" s="171"/>
      <c r="M39" s="171"/>
    </row>
    <row r="40" spans="1:13" x14ac:dyDescent="0.2">
      <c r="A40" s="501">
        <f t="shared" si="2"/>
        <v>2047</v>
      </c>
      <c r="B40" s="520">
        <f t="shared" si="5"/>
        <v>1.0209999999999999</v>
      </c>
      <c r="C40" s="503"/>
      <c r="D40" s="503"/>
      <c r="E40" s="503"/>
      <c r="F40" s="503"/>
      <c r="G40" s="504"/>
      <c r="H40" s="171">
        <f t="shared" si="1"/>
        <v>2047</v>
      </c>
      <c r="I40" s="523">
        <f t="shared" si="4"/>
        <v>1.6144225746035119</v>
      </c>
      <c r="J40" s="523">
        <f t="shared" si="3"/>
        <v>1.6497126610178061</v>
      </c>
      <c r="K40" s="171"/>
      <c r="L40" s="171"/>
      <c r="M40" s="171"/>
    </row>
    <row r="41" spans="1:13" x14ac:dyDescent="0.2">
      <c r="A41" s="501">
        <f t="shared" si="2"/>
        <v>2048</v>
      </c>
      <c r="B41" s="520">
        <f t="shared" si="5"/>
        <v>1.0209999999999999</v>
      </c>
      <c r="C41" s="503"/>
      <c r="D41" s="503"/>
      <c r="E41" s="503"/>
      <c r="F41" s="503"/>
      <c r="G41" s="504"/>
      <c r="H41" s="171">
        <f t="shared" si="1"/>
        <v>2048</v>
      </c>
      <c r="I41" s="523">
        <f t="shared" si="4"/>
        <v>1.6483254486701855</v>
      </c>
      <c r="J41" s="523">
        <f t="shared" si="3"/>
        <v>1.6843566268991801</v>
      </c>
      <c r="K41" s="171"/>
      <c r="L41" s="171"/>
      <c r="M41" s="171"/>
    </row>
    <row r="42" spans="1:13" x14ac:dyDescent="0.2">
      <c r="A42" s="501">
        <f t="shared" si="2"/>
        <v>2049</v>
      </c>
      <c r="B42" s="520">
        <f t="shared" si="5"/>
        <v>1.0209999999999999</v>
      </c>
      <c r="C42" s="503"/>
      <c r="D42" s="503"/>
      <c r="E42" s="503"/>
      <c r="F42" s="503"/>
      <c r="G42" s="504"/>
      <c r="H42" s="171">
        <f t="shared" si="1"/>
        <v>2049</v>
      </c>
      <c r="I42" s="523">
        <f t="shared" si="4"/>
        <v>1.6829402830922593</v>
      </c>
      <c r="J42" s="523">
        <f t="shared" si="3"/>
        <v>1.7197281160640623</v>
      </c>
      <c r="K42" s="171"/>
      <c r="L42" s="171"/>
      <c r="M42" s="171"/>
    </row>
    <row r="43" spans="1:13" x14ac:dyDescent="0.2">
      <c r="A43" s="501">
        <f t="shared" si="2"/>
        <v>2050</v>
      </c>
      <c r="B43" s="520">
        <f t="shared" si="5"/>
        <v>1.0209999999999999</v>
      </c>
      <c r="C43" s="503"/>
      <c r="D43" s="503"/>
      <c r="E43" s="503"/>
      <c r="F43" s="503"/>
      <c r="G43" s="504"/>
      <c r="H43" s="171">
        <f t="shared" si="1"/>
        <v>2050</v>
      </c>
      <c r="I43" s="523">
        <f t="shared" si="4"/>
        <v>1.7182820290371965</v>
      </c>
      <c r="J43" s="523">
        <f t="shared" si="3"/>
        <v>1.7558424065014075</v>
      </c>
      <c r="K43" s="171"/>
      <c r="L43" s="171"/>
      <c r="M43" s="171"/>
    </row>
    <row r="44" spans="1:13" x14ac:dyDescent="0.2">
      <c r="A44" s="501">
        <f t="shared" si="2"/>
        <v>2051</v>
      </c>
      <c r="B44" s="520">
        <f t="shared" si="5"/>
        <v>1.0209999999999999</v>
      </c>
      <c r="C44" s="503"/>
      <c r="D44" s="503"/>
      <c r="E44" s="503"/>
      <c r="F44" s="503"/>
      <c r="G44" s="504"/>
      <c r="H44" s="171">
        <f t="shared" si="1"/>
        <v>2051</v>
      </c>
      <c r="I44" s="523">
        <f t="shared" si="4"/>
        <v>1.7543659516469774</v>
      </c>
      <c r="J44" s="523">
        <f t="shared" si="3"/>
        <v>1.7927150970379371</v>
      </c>
      <c r="K44" s="171"/>
      <c r="L44" s="171"/>
      <c r="M44" s="171"/>
    </row>
    <row r="45" spans="1:13" x14ac:dyDescent="0.2">
      <c r="A45" s="501">
        <f t="shared" si="2"/>
        <v>2052</v>
      </c>
      <c r="B45" s="520">
        <f t="shared" si="5"/>
        <v>1.0209999999999999</v>
      </c>
      <c r="C45" s="503"/>
      <c r="D45" s="503"/>
      <c r="E45" s="503"/>
      <c r="F45" s="503"/>
      <c r="G45" s="504"/>
      <c r="H45" s="171">
        <f t="shared" si="1"/>
        <v>2052</v>
      </c>
      <c r="I45" s="523">
        <f t="shared" si="4"/>
        <v>1.7912076366315637</v>
      </c>
      <c r="J45" s="523">
        <f t="shared" si="3"/>
        <v>1.8303621140757333</v>
      </c>
      <c r="K45" s="171"/>
      <c r="L45" s="171"/>
      <c r="M45" s="171"/>
    </row>
    <row r="46" spans="1:13" x14ac:dyDescent="0.2">
      <c r="A46" s="501">
        <f t="shared" si="2"/>
        <v>2053</v>
      </c>
      <c r="B46" s="520">
        <f t="shared" si="5"/>
        <v>1.0209999999999999</v>
      </c>
      <c r="C46" s="503"/>
      <c r="D46" s="503"/>
      <c r="E46" s="503"/>
      <c r="F46" s="503"/>
      <c r="G46" s="504"/>
      <c r="H46" s="171">
        <f t="shared" si="1"/>
        <v>2053</v>
      </c>
      <c r="I46" s="523">
        <f t="shared" si="4"/>
        <v>1.8288229970008263</v>
      </c>
      <c r="J46" s="523">
        <f t="shared" si="3"/>
        <v>1.8687997184713236</v>
      </c>
      <c r="K46" s="171"/>
      <c r="L46" s="171"/>
      <c r="M46" s="171"/>
    </row>
    <row r="47" spans="1:13" x14ac:dyDescent="0.2">
      <c r="A47" s="501">
        <f t="shared" si="2"/>
        <v>2054</v>
      </c>
      <c r="B47" s="520">
        <f t="shared" si="5"/>
        <v>1.0209999999999999</v>
      </c>
      <c r="C47" s="503"/>
      <c r="D47" s="503"/>
      <c r="E47" s="503"/>
      <c r="F47" s="503"/>
      <c r="G47" s="504"/>
      <c r="H47" s="171">
        <f t="shared" si="1"/>
        <v>2054</v>
      </c>
      <c r="I47" s="523">
        <f t="shared" si="4"/>
        <v>1.8672282799378435</v>
      </c>
      <c r="J47" s="523">
        <f t="shared" si="3"/>
        <v>1.9080445125592211</v>
      </c>
      <c r="K47" s="171"/>
      <c r="L47" s="171"/>
      <c r="M47" s="171"/>
    </row>
    <row r="48" spans="1:13" x14ac:dyDescent="0.2">
      <c r="A48" s="501">
        <f t="shared" si="2"/>
        <v>2055</v>
      </c>
      <c r="B48" s="520">
        <f t="shared" si="5"/>
        <v>1.0209999999999999</v>
      </c>
      <c r="C48" s="503"/>
      <c r="D48" s="503"/>
      <c r="E48" s="503"/>
      <c r="F48" s="503"/>
      <c r="G48" s="504"/>
      <c r="H48" s="171">
        <f t="shared" si="1"/>
        <v>2055</v>
      </c>
      <c r="I48" s="523">
        <f t="shared" si="4"/>
        <v>1.9064400738165379</v>
      </c>
      <c r="J48" s="523">
        <f t="shared" si="3"/>
        <v>1.948113447322964</v>
      </c>
      <c r="K48" s="171"/>
      <c r="L48" s="171"/>
      <c r="M48" s="171"/>
    </row>
    <row r="49" spans="1:16" x14ac:dyDescent="0.2">
      <c r="A49" s="501">
        <f t="shared" si="2"/>
        <v>2056</v>
      </c>
      <c r="B49" s="520">
        <f t="shared" si="5"/>
        <v>1.0209999999999999</v>
      </c>
      <c r="C49" s="503"/>
      <c r="D49" s="503"/>
      <c r="E49" s="503"/>
      <c r="F49" s="503"/>
      <c r="G49" s="504"/>
      <c r="H49" s="171">
        <f t="shared" si="1"/>
        <v>2056</v>
      </c>
      <c r="I49" s="523">
        <f t="shared" si="4"/>
        <v>1.9464753153666849</v>
      </c>
      <c r="J49" s="523">
        <f t="shared" si="3"/>
        <v>1.9890238297167464</v>
      </c>
      <c r="K49" s="171"/>
      <c r="L49" s="171"/>
      <c r="M49" s="171"/>
    </row>
    <row r="50" spans="1:16" x14ac:dyDescent="0.2">
      <c r="A50" s="501">
        <f t="shared" si="2"/>
        <v>2057</v>
      </c>
      <c r="B50" s="520">
        <f t="shared" si="5"/>
        <v>1.0209999999999999</v>
      </c>
      <c r="C50" s="503"/>
      <c r="D50" s="503"/>
      <c r="E50" s="503"/>
      <c r="F50" s="503"/>
      <c r="G50" s="504"/>
      <c r="H50" s="171">
        <f t="shared" si="1"/>
        <v>2057</v>
      </c>
      <c r="I50" s="523">
        <f t="shared" si="4"/>
        <v>1.9873512969893852</v>
      </c>
      <c r="J50" s="523">
        <f t="shared" si="3"/>
        <v>2.0307933301407983</v>
      </c>
      <c r="K50" s="171"/>
      <c r="L50" s="171"/>
      <c r="M50" s="171"/>
    </row>
    <row r="51" spans="1:16" x14ac:dyDescent="0.2">
      <c r="A51" s="501">
        <f t="shared" si="2"/>
        <v>2058</v>
      </c>
      <c r="B51" s="520">
        <f t="shared" si="5"/>
        <v>1.0209999999999999</v>
      </c>
      <c r="C51" s="503"/>
      <c r="D51" s="503"/>
      <c r="E51" s="503"/>
      <c r="F51" s="503"/>
      <c r="G51" s="504"/>
      <c r="H51" s="171">
        <f t="shared" si="1"/>
        <v>2058</v>
      </c>
      <c r="I51" s="523">
        <f t="shared" si="4"/>
        <v>2.0290856742261623</v>
      </c>
      <c r="J51" s="523">
        <f t="shared" si="3"/>
        <v>2.0734399900737546</v>
      </c>
      <c r="K51" s="171"/>
      <c r="L51" s="171"/>
      <c r="M51" s="171"/>
      <c r="O51" s="171"/>
      <c r="P51" s="529"/>
    </row>
    <row r="52" spans="1:16" x14ac:dyDescent="0.2">
      <c r="A52" s="501">
        <f t="shared" si="2"/>
        <v>2059</v>
      </c>
      <c r="B52" s="520">
        <f t="shared" si="5"/>
        <v>1.0209999999999999</v>
      </c>
      <c r="C52" s="503"/>
      <c r="D52" s="503"/>
      <c r="E52" s="503"/>
      <c r="F52" s="503"/>
      <c r="G52" s="504"/>
      <c r="H52" s="171">
        <f t="shared" si="1"/>
        <v>2059</v>
      </c>
      <c r="I52" s="523">
        <f t="shared" si="4"/>
        <v>2.0716964733849115</v>
      </c>
      <c r="J52" s="523">
        <f t="shared" si="3"/>
        <v>2.1169822298653034</v>
      </c>
      <c r="K52" s="171"/>
      <c r="L52" s="171"/>
      <c r="M52" s="171"/>
      <c r="P52" s="529"/>
    </row>
    <row r="53" spans="1:16" x14ac:dyDescent="0.2">
      <c r="A53" s="501">
        <f t="shared" si="2"/>
        <v>2060</v>
      </c>
      <c r="B53" s="520">
        <f t="shared" si="5"/>
        <v>1.0209999999999999</v>
      </c>
      <c r="C53" s="503"/>
      <c r="D53" s="503"/>
      <c r="E53" s="503"/>
      <c r="F53" s="503"/>
      <c r="G53" s="504"/>
      <c r="H53" s="171">
        <f t="shared" si="1"/>
        <v>2060</v>
      </c>
      <c r="I53" s="523">
        <f t="shared" si="4"/>
        <v>2.1152020993259946</v>
      </c>
      <c r="J53" s="523">
        <f t="shared" si="3"/>
        <v>2.1614388566924752</v>
      </c>
      <c r="K53" s="171"/>
      <c r="L53" s="171"/>
      <c r="M53" s="171"/>
      <c r="P53" s="529"/>
    </row>
    <row r="54" spans="1:16" x14ac:dyDescent="0.2">
      <c r="A54" s="501">
        <f t="shared" si="2"/>
        <v>2061</v>
      </c>
      <c r="B54" s="520">
        <f t="shared" si="5"/>
        <v>1.0209999999999999</v>
      </c>
      <c r="C54" s="503"/>
      <c r="D54" s="503"/>
      <c r="E54" s="503"/>
      <c r="F54" s="503"/>
      <c r="G54" s="504"/>
      <c r="H54" s="171">
        <f t="shared" si="1"/>
        <v>2061</v>
      </c>
      <c r="I54" s="523">
        <f t="shared" si="4"/>
        <v>2.1596213434118403</v>
      </c>
      <c r="J54" s="523">
        <f t="shared" si="3"/>
        <v>2.2068290726830164</v>
      </c>
      <c r="K54" s="171"/>
      <c r="L54" s="171"/>
      <c r="M54" s="171"/>
      <c r="P54" s="529"/>
    </row>
    <row r="55" spans="1:16" x14ac:dyDescent="0.2">
      <c r="A55" s="501">
        <f t="shared" si="2"/>
        <v>2062</v>
      </c>
      <c r="B55" s="520">
        <f t="shared" si="5"/>
        <v>1.0209999999999999</v>
      </c>
      <c r="C55" s="503"/>
      <c r="D55" s="503"/>
      <c r="E55" s="503"/>
      <c r="F55" s="503"/>
      <c r="G55" s="504"/>
      <c r="H55" s="171">
        <f t="shared" si="1"/>
        <v>2062</v>
      </c>
      <c r="I55" s="523">
        <f t="shared" si="4"/>
        <v>2.2049733916234886</v>
      </c>
      <c r="J55" s="523">
        <f t="shared" si="3"/>
        <v>2.2531724832093594</v>
      </c>
      <c r="K55" s="171"/>
      <c r="L55" s="171"/>
      <c r="M55" s="171"/>
      <c r="P55" s="529"/>
    </row>
    <row r="56" spans="1:16" x14ac:dyDescent="0.2">
      <c r="A56" s="501">
        <f t="shared" si="2"/>
        <v>2063</v>
      </c>
      <c r="B56" s="520">
        <f t="shared" si="5"/>
        <v>1.0209999999999999</v>
      </c>
      <c r="C56" s="503"/>
      <c r="D56" s="503"/>
      <c r="E56" s="503"/>
      <c r="F56" s="503"/>
      <c r="G56" s="504"/>
      <c r="H56" s="171">
        <f t="shared" si="1"/>
        <v>2063</v>
      </c>
      <c r="I56" s="523">
        <f t="shared" si="4"/>
        <v>2.2512778328475815</v>
      </c>
      <c r="J56" s="523">
        <f t="shared" si="3"/>
        <v>2.300489105356756</v>
      </c>
      <c r="K56" s="171"/>
      <c r="L56" s="171"/>
      <c r="M56" s="171"/>
      <c r="P56" s="529"/>
    </row>
    <row r="57" spans="1:16" x14ac:dyDescent="0.2">
      <c r="A57" s="501">
        <f t="shared" si="2"/>
        <v>2064</v>
      </c>
      <c r="B57" s="520">
        <f t="shared" si="5"/>
        <v>1.0209999999999999</v>
      </c>
      <c r="C57" s="503"/>
      <c r="D57" s="503"/>
      <c r="E57" s="503"/>
      <c r="F57" s="503"/>
      <c r="G57" s="504"/>
      <c r="H57" s="171">
        <f t="shared" si="1"/>
        <v>2064</v>
      </c>
      <c r="I57" s="523">
        <f t="shared" si="4"/>
        <v>2.2985546673373807</v>
      </c>
      <c r="J57" s="523">
        <f t="shared" si="3"/>
        <v>2.3487993765692479</v>
      </c>
      <c r="K57" s="171"/>
      <c r="L57" s="171"/>
      <c r="M57" s="171"/>
      <c r="P57" s="529"/>
    </row>
    <row r="58" spans="1:16" x14ac:dyDescent="0.2">
      <c r="A58" s="501">
        <f t="shared" si="2"/>
        <v>2065</v>
      </c>
      <c r="B58" s="520">
        <f t="shared" si="5"/>
        <v>1.0209999999999999</v>
      </c>
      <c r="C58" s="503"/>
      <c r="D58" s="503"/>
      <c r="E58" s="503"/>
      <c r="F58" s="503"/>
      <c r="G58" s="504"/>
      <c r="H58" s="171">
        <f t="shared" si="1"/>
        <v>2065</v>
      </c>
      <c r="I58" s="523">
        <f t="shared" si="4"/>
        <v>2.3468243153514656</v>
      </c>
      <c r="J58" s="523">
        <f t="shared" si="3"/>
        <v>2.3981241634772021</v>
      </c>
      <c r="K58" s="171"/>
      <c r="L58" s="171"/>
      <c r="M58" s="171"/>
    </row>
    <row r="59" spans="1:16" x14ac:dyDescent="0.2">
      <c r="A59" s="501">
        <f t="shared" si="2"/>
        <v>2066</v>
      </c>
      <c r="B59" s="520">
        <f t="shared" si="5"/>
        <v>1.0209999999999999</v>
      </c>
      <c r="C59" s="503"/>
      <c r="D59" s="503"/>
      <c r="E59" s="503"/>
      <c r="F59" s="503"/>
      <c r="G59" s="504"/>
      <c r="H59" s="171">
        <f t="shared" si="1"/>
        <v>2066</v>
      </c>
      <c r="I59" s="523">
        <f t="shared" si="4"/>
        <v>2.3961076259738463</v>
      </c>
      <c r="J59" s="523">
        <f t="shared" si="3"/>
        <v>2.4484847709102224</v>
      </c>
      <c r="K59" s="171"/>
      <c r="L59" s="171"/>
      <c r="M59" s="171"/>
    </row>
    <row r="60" spans="1:16" x14ac:dyDescent="0.2">
      <c r="A60" s="501">
        <f t="shared" si="2"/>
        <v>2067</v>
      </c>
      <c r="B60" s="520">
        <f t="shared" si="5"/>
        <v>1.0209999999999999</v>
      </c>
      <c r="C60" s="503"/>
      <c r="D60" s="503"/>
      <c r="E60" s="503"/>
      <c r="F60" s="503"/>
      <c r="G60" s="504"/>
      <c r="H60" s="171">
        <f t="shared" si="1"/>
        <v>2067</v>
      </c>
      <c r="I60" s="523">
        <f t="shared" si="4"/>
        <v>2.4464258861192967</v>
      </c>
      <c r="J60" s="523">
        <f t="shared" si="3"/>
        <v>2.4999029510993371</v>
      </c>
      <c r="K60" s="171"/>
      <c r="L60" s="171"/>
      <c r="M60" s="171"/>
    </row>
    <row r="61" spans="1:16" x14ac:dyDescent="0.2">
      <c r="A61" s="501">
        <f t="shared" si="2"/>
        <v>2068</v>
      </c>
      <c r="B61" s="520">
        <f t="shared" si="5"/>
        <v>1.0209999999999999</v>
      </c>
      <c r="C61" s="503"/>
      <c r="D61" s="503"/>
      <c r="E61" s="503"/>
      <c r="F61" s="503"/>
      <c r="G61" s="504"/>
      <c r="H61" s="171">
        <f t="shared" si="1"/>
        <v>2068</v>
      </c>
      <c r="I61" s="523">
        <f t="shared" si="4"/>
        <v>2.4978008297278018</v>
      </c>
      <c r="J61" s="523">
        <f t="shared" si="3"/>
        <v>2.5524009130724226</v>
      </c>
      <c r="K61" s="171"/>
      <c r="L61" s="171"/>
      <c r="M61" s="171"/>
    </row>
    <row r="62" spans="1:16" x14ac:dyDescent="0.2">
      <c r="A62" s="501">
        <f t="shared" si="2"/>
        <v>2069</v>
      </c>
      <c r="B62" s="520">
        <f t="shared" si="5"/>
        <v>1.0209999999999999</v>
      </c>
      <c r="C62" s="503"/>
      <c r="D62" s="503"/>
      <c r="E62" s="503"/>
      <c r="F62" s="503"/>
      <c r="G62" s="504"/>
      <c r="H62" s="171">
        <f t="shared" si="1"/>
        <v>2069</v>
      </c>
      <c r="I62" s="523">
        <f t="shared" si="4"/>
        <v>2.5502546471520855</v>
      </c>
      <c r="J62" s="523">
        <f t="shared" si="3"/>
        <v>2.6060013322469437</v>
      </c>
      <c r="K62" s="171"/>
      <c r="L62" s="171"/>
      <c r="M62" s="171"/>
    </row>
    <row r="63" spans="1:16" x14ac:dyDescent="0.2">
      <c r="A63" s="501">
        <f t="shared" si="2"/>
        <v>2070</v>
      </c>
      <c r="B63" s="520">
        <f t="shared" si="5"/>
        <v>1.0209999999999999</v>
      </c>
      <c r="C63" s="503"/>
      <c r="D63" s="503"/>
      <c r="E63" s="503"/>
      <c r="F63" s="503"/>
      <c r="G63" s="504"/>
      <c r="H63" s="171">
        <f t="shared" si="1"/>
        <v>2070</v>
      </c>
      <c r="I63" s="523">
        <f t="shared" si="4"/>
        <v>2.6038099947422793</v>
      </c>
      <c r="J63" s="523">
        <f t="shared" si="3"/>
        <v>2.6607273602241297</v>
      </c>
      <c r="K63" s="171"/>
      <c r="L63" s="171"/>
      <c r="M63" s="171"/>
    </row>
    <row r="64" spans="1:16" x14ac:dyDescent="0.2">
      <c r="A64" s="501">
        <f t="shared" si="2"/>
        <v>2071</v>
      </c>
      <c r="B64" s="520">
        <f t="shared" si="5"/>
        <v>1.0209999999999999</v>
      </c>
      <c r="C64" s="503"/>
      <c r="D64" s="503"/>
      <c r="E64" s="503"/>
      <c r="F64" s="503"/>
      <c r="G64" s="504"/>
      <c r="H64" s="171">
        <f t="shared" si="1"/>
        <v>2071</v>
      </c>
      <c r="I64" s="523">
        <f>+I63*B64</f>
        <v>2.6584900046318669</v>
      </c>
      <c r="J64" s="523">
        <f t="shared" si="3"/>
        <v>2.7166026347888361</v>
      </c>
      <c r="K64" s="171"/>
      <c r="L64" s="171"/>
      <c r="M64" s="171"/>
    </row>
    <row r="65" spans="1:13" x14ac:dyDescent="0.2">
      <c r="A65" s="501">
        <f t="shared" si="2"/>
        <v>2072</v>
      </c>
      <c r="B65" s="520">
        <f t="shared" si="5"/>
        <v>1.0209999999999999</v>
      </c>
      <c r="C65" s="503"/>
      <c r="D65" s="503"/>
      <c r="E65" s="503"/>
      <c r="F65" s="503"/>
      <c r="G65" s="504"/>
      <c r="H65" s="171">
        <f t="shared" si="1"/>
        <v>2072</v>
      </c>
      <c r="I65" s="523">
        <f t="shared" ref="I65:I82" si="6">+I64*B65</f>
        <v>2.7143182947291358</v>
      </c>
      <c r="J65" s="523">
        <f t="shared" si="3"/>
        <v>2.7736512901194006</v>
      </c>
      <c r="K65" s="171"/>
      <c r="L65" s="171"/>
      <c r="M65" s="171"/>
    </row>
    <row r="66" spans="1:13" x14ac:dyDescent="0.2">
      <c r="A66" s="501">
        <f t="shared" si="2"/>
        <v>2073</v>
      </c>
      <c r="B66" s="520">
        <f t="shared" si="5"/>
        <v>1.0209999999999999</v>
      </c>
      <c r="C66" s="503"/>
      <c r="D66" s="503"/>
      <c r="E66" s="503"/>
      <c r="F66" s="503"/>
      <c r="G66" s="504"/>
      <c r="H66" s="171">
        <f t="shared" si="1"/>
        <v>2073</v>
      </c>
      <c r="I66" s="523">
        <f t="shared" si="6"/>
        <v>2.7713189789184476</v>
      </c>
      <c r="J66" s="523">
        <f t="shared" si="3"/>
        <v>2.8318979672119089</v>
      </c>
      <c r="K66" s="171"/>
      <c r="L66" s="171"/>
      <c r="M66" s="171"/>
    </row>
    <row r="67" spans="1:13" x14ac:dyDescent="0.2">
      <c r="A67" s="501">
        <f t="shared" si="2"/>
        <v>2074</v>
      </c>
      <c r="B67" s="520">
        <f t="shared" si="5"/>
        <v>1.0209999999999999</v>
      </c>
      <c r="C67" s="503"/>
      <c r="D67" s="503"/>
      <c r="E67" s="503"/>
      <c r="F67" s="503"/>
      <c r="G67" s="504"/>
      <c r="H67" s="171">
        <f t="shared" si="1"/>
        <v>2074</v>
      </c>
      <c r="I67" s="523">
        <f t="shared" si="6"/>
        <v>2.8295166774757345</v>
      </c>
      <c r="J67" s="523">
        <f t="shared" si="3"/>
        <v>2.8913678245233578</v>
      </c>
      <c r="K67" s="171"/>
      <c r="L67" s="171"/>
      <c r="M67" s="171"/>
    </row>
    <row r="68" spans="1:13" x14ac:dyDescent="0.2">
      <c r="A68" s="501">
        <f t="shared" si="2"/>
        <v>2075</v>
      </c>
      <c r="B68" s="520">
        <f t="shared" si="5"/>
        <v>1.0209999999999999</v>
      </c>
      <c r="C68" s="503"/>
      <c r="D68" s="503"/>
      <c r="E68" s="503"/>
      <c r="F68" s="503"/>
      <c r="G68" s="504"/>
      <c r="H68" s="171">
        <f t="shared" si="1"/>
        <v>2075</v>
      </c>
      <c r="I68" s="523">
        <f t="shared" si="6"/>
        <v>2.8889365277027248</v>
      </c>
      <c r="J68" s="523">
        <f t="shared" si="3"/>
        <v>2.9520865488383485</v>
      </c>
      <c r="K68" s="171"/>
      <c r="L68" s="171"/>
      <c r="M68" s="171"/>
    </row>
    <row r="69" spans="1:13" x14ac:dyDescent="0.2">
      <c r="A69" s="501">
        <f t="shared" si="2"/>
        <v>2076</v>
      </c>
      <c r="B69" s="520">
        <f t="shared" si="5"/>
        <v>1.0209999999999999</v>
      </c>
      <c r="C69" s="503"/>
      <c r="D69" s="503"/>
      <c r="E69" s="503"/>
      <c r="F69" s="503"/>
      <c r="G69" s="504"/>
      <c r="H69" s="171">
        <f t="shared" si="1"/>
        <v>2076</v>
      </c>
      <c r="I69" s="523">
        <f t="shared" si="6"/>
        <v>2.9496041947844818</v>
      </c>
      <c r="J69" s="523">
        <f t="shared" si="3"/>
        <v>3.0140803663639546</v>
      </c>
      <c r="K69" s="171"/>
      <c r="L69" s="171"/>
      <c r="M69" s="171"/>
    </row>
    <row r="70" spans="1:13" x14ac:dyDescent="0.2">
      <c r="A70" s="501">
        <f t="shared" si="2"/>
        <v>2077</v>
      </c>
      <c r="B70" s="520">
        <f t="shared" si="5"/>
        <v>1.0209999999999999</v>
      </c>
      <c r="C70" s="503"/>
      <c r="D70" s="503"/>
      <c r="E70" s="503"/>
      <c r="F70" s="503"/>
      <c r="G70" s="504"/>
      <c r="H70" s="171">
        <f t="shared" si="1"/>
        <v>2077</v>
      </c>
      <c r="I70" s="523">
        <f t="shared" si="6"/>
        <v>3.0115458828749557</v>
      </c>
      <c r="J70" s="523">
        <f t="shared" si="3"/>
        <v>3.0773760540575963</v>
      </c>
      <c r="K70" s="171"/>
      <c r="L70" s="171"/>
      <c r="M70" s="171"/>
    </row>
    <row r="71" spans="1:13" x14ac:dyDescent="0.2">
      <c r="A71" s="501">
        <f t="shared" si="2"/>
        <v>2078</v>
      </c>
      <c r="B71" s="520">
        <f t="shared" si="5"/>
        <v>1.0209999999999999</v>
      </c>
      <c r="C71" s="503"/>
      <c r="D71" s="503"/>
      <c r="E71" s="503"/>
      <c r="F71" s="503"/>
      <c r="G71" s="504"/>
      <c r="H71" s="171">
        <f t="shared" si="1"/>
        <v>2078</v>
      </c>
      <c r="I71" s="523">
        <f t="shared" si="6"/>
        <v>3.0747883464153296</v>
      </c>
      <c r="J71" s="523">
        <f t="shared" si="3"/>
        <v>3.1420009511928049</v>
      </c>
      <c r="K71" s="171"/>
      <c r="L71" s="171"/>
      <c r="M71" s="171"/>
    </row>
    <row r="72" spans="1:13" x14ac:dyDescent="0.2">
      <c r="A72" s="501">
        <f t="shared" si="2"/>
        <v>2079</v>
      </c>
      <c r="B72" s="520">
        <f t="shared" si="5"/>
        <v>1.0209999999999999</v>
      </c>
      <c r="C72" s="503"/>
      <c r="D72" s="503"/>
      <c r="E72" s="503"/>
      <c r="F72" s="503"/>
      <c r="G72" s="504"/>
      <c r="H72" s="171">
        <f t="shared" si="1"/>
        <v>2079</v>
      </c>
      <c r="I72" s="523">
        <f t="shared" si="6"/>
        <v>3.1393589016900512</v>
      </c>
      <c r="J72" s="523">
        <f t="shared" si="3"/>
        <v>3.2079829711678549</v>
      </c>
      <c r="K72" s="171"/>
      <c r="L72" s="171"/>
      <c r="M72" s="171"/>
    </row>
    <row r="73" spans="1:13" x14ac:dyDescent="0.2">
      <c r="A73" s="501">
        <f t="shared" si="2"/>
        <v>2080</v>
      </c>
      <c r="B73" s="520">
        <f t="shared" si="5"/>
        <v>1.0209999999999999</v>
      </c>
      <c r="C73" s="503"/>
      <c r="D73" s="503"/>
      <c r="E73" s="503"/>
      <c r="F73" s="503"/>
      <c r="G73" s="504"/>
      <c r="H73" s="171">
        <f t="shared" si="1"/>
        <v>2080</v>
      </c>
      <c r="I73" s="523">
        <f t="shared" si="6"/>
        <v>3.205285438625542</v>
      </c>
      <c r="J73" s="523">
        <f t="shared" si="3"/>
        <v>3.2753506135623796</v>
      </c>
      <c r="K73" s="171"/>
      <c r="L73" s="171"/>
      <c r="M73" s="171"/>
    </row>
    <row r="74" spans="1:13" x14ac:dyDescent="0.2">
      <c r="A74" s="501">
        <f t="shared" si="2"/>
        <v>2081</v>
      </c>
      <c r="B74" s="520">
        <f t="shared" si="5"/>
        <v>1.0209999999999999</v>
      </c>
      <c r="C74" s="503"/>
      <c r="D74" s="503"/>
      <c r="E74" s="503"/>
      <c r="F74" s="503"/>
      <c r="G74" s="504"/>
      <c r="H74" s="171">
        <f t="shared" si="1"/>
        <v>2081</v>
      </c>
      <c r="I74" s="523">
        <f t="shared" si="6"/>
        <v>3.2725964328366781</v>
      </c>
      <c r="J74" s="523" t="s">
        <v>415</v>
      </c>
      <c r="K74" s="171"/>
      <c r="L74" s="171"/>
      <c r="M74" s="171"/>
    </row>
    <row r="75" spans="1:13" x14ac:dyDescent="0.2">
      <c r="A75" s="501">
        <f t="shared" si="2"/>
        <v>2082</v>
      </c>
      <c r="B75" s="520">
        <f t="shared" si="5"/>
        <v>1.0209999999999999</v>
      </c>
      <c r="C75" s="503"/>
      <c r="D75" s="503"/>
      <c r="E75" s="503"/>
      <c r="F75" s="503"/>
      <c r="G75" s="504"/>
      <c r="H75" s="171">
        <f t="shared" ref="H75:H82" si="7">+A75</f>
        <v>2082</v>
      </c>
      <c r="I75" s="523">
        <f t="shared" si="6"/>
        <v>3.3413209579262482</v>
      </c>
      <c r="J75" s="523" t="s">
        <v>415</v>
      </c>
      <c r="K75" s="171"/>
      <c r="L75" s="171"/>
      <c r="M75" s="171"/>
    </row>
    <row r="76" spans="1:13" x14ac:dyDescent="0.2">
      <c r="A76" s="501">
        <f t="shared" ref="A76:A82" si="8">+A75+1</f>
        <v>2083</v>
      </c>
      <c r="B76" s="520">
        <f t="shared" si="5"/>
        <v>1.0209999999999999</v>
      </c>
      <c r="C76" s="503"/>
      <c r="D76" s="503"/>
      <c r="E76" s="503"/>
      <c r="F76" s="503"/>
      <c r="G76" s="504"/>
      <c r="H76" s="171">
        <f t="shared" si="7"/>
        <v>2083</v>
      </c>
      <c r="I76" s="523">
        <f t="shared" si="6"/>
        <v>3.4114886980426991</v>
      </c>
      <c r="J76" s="523" t="s">
        <v>415</v>
      </c>
      <c r="K76" s="171"/>
      <c r="L76" s="171"/>
      <c r="M76" s="171"/>
    </row>
    <row r="77" spans="1:13" x14ac:dyDescent="0.2">
      <c r="A77" s="501">
        <f t="shared" si="8"/>
        <v>2084</v>
      </c>
      <c r="B77" s="520">
        <f t="shared" si="5"/>
        <v>1.0209999999999999</v>
      </c>
      <c r="C77" s="503"/>
      <c r="D77" s="503"/>
      <c r="E77" s="503"/>
      <c r="F77" s="503"/>
      <c r="G77" s="504"/>
      <c r="H77" s="171">
        <f t="shared" si="7"/>
        <v>2084</v>
      </c>
      <c r="I77" s="523">
        <f t="shared" si="6"/>
        <v>3.4831299607015955</v>
      </c>
      <c r="J77" s="523" t="s">
        <v>415</v>
      </c>
      <c r="K77" s="171"/>
      <c r="L77" s="171"/>
      <c r="M77" s="171"/>
    </row>
    <row r="78" spans="1:13" x14ac:dyDescent="0.2">
      <c r="A78" s="501">
        <f t="shared" si="8"/>
        <v>2085</v>
      </c>
      <c r="B78" s="520">
        <f t="shared" si="5"/>
        <v>1.0209999999999999</v>
      </c>
      <c r="C78" s="503"/>
      <c r="D78" s="503"/>
      <c r="E78" s="503"/>
      <c r="F78" s="503"/>
      <c r="G78" s="504"/>
      <c r="H78" s="171">
        <f t="shared" si="7"/>
        <v>2085</v>
      </c>
      <c r="I78" s="523">
        <f t="shared" si="6"/>
        <v>3.5562756898763288</v>
      </c>
      <c r="J78" s="523" t="s">
        <v>415</v>
      </c>
      <c r="K78" s="171"/>
      <c r="L78" s="171"/>
      <c r="M78" s="171"/>
    </row>
    <row r="79" spans="1:13" x14ac:dyDescent="0.2">
      <c r="A79" s="501">
        <f t="shared" si="8"/>
        <v>2086</v>
      </c>
      <c r="B79" s="520">
        <f t="shared" si="5"/>
        <v>1.0209999999999999</v>
      </c>
      <c r="C79" s="503"/>
      <c r="D79" s="503"/>
      <c r="E79" s="503"/>
      <c r="F79" s="503"/>
      <c r="G79" s="504"/>
      <c r="H79" s="171">
        <f t="shared" si="7"/>
        <v>2086</v>
      </c>
      <c r="I79" s="523">
        <f t="shared" si="6"/>
        <v>3.6309574793637314</v>
      </c>
      <c r="J79" s="523" t="s">
        <v>415</v>
      </c>
      <c r="K79" s="171"/>
      <c r="L79" s="171"/>
      <c r="M79" s="171"/>
    </row>
    <row r="80" spans="1:13" x14ac:dyDescent="0.2">
      <c r="A80" s="501">
        <f t="shared" si="8"/>
        <v>2087</v>
      </c>
      <c r="B80" s="520">
        <f t="shared" si="5"/>
        <v>1.0209999999999999</v>
      </c>
      <c r="C80" s="503"/>
      <c r="D80" s="503"/>
      <c r="E80" s="503"/>
      <c r="F80" s="503"/>
      <c r="G80" s="504"/>
      <c r="H80" s="171">
        <f t="shared" si="7"/>
        <v>2087</v>
      </c>
      <c r="I80" s="523">
        <f t="shared" si="6"/>
        <v>3.7072075864303695</v>
      </c>
      <c r="J80" s="523" t="s">
        <v>415</v>
      </c>
      <c r="K80" s="171"/>
      <c r="L80" s="171"/>
      <c r="M80" s="171"/>
    </row>
    <row r="81" spans="1:23" x14ac:dyDescent="0.2">
      <c r="A81" s="501">
        <f t="shared" si="8"/>
        <v>2088</v>
      </c>
      <c r="B81" s="520">
        <f t="shared" si="5"/>
        <v>1.0209999999999999</v>
      </c>
      <c r="C81" s="503"/>
      <c r="D81" s="503"/>
      <c r="E81" s="503"/>
      <c r="F81" s="503"/>
      <c r="G81" s="504"/>
      <c r="H81" s="171">
        <f t="shared" si="7"/>
        <v>2088</v>
      </c>
      <c r="I81" s="523">
        <f t="shared" si="6"/>
        <v>3.7850589457454071</v>
      </c>
      <c r="J81" s="523" t="s">
        <v>415</v>
      </c>
      <c r="K81" s="171"/>
      <c r="L81" s="171"/>
      <c r="M81" s="171"/>
    </row>
    <row r="82" spans="1:23" x14ac:dyDescent="0.2">
      <c r="A82" s="501">
        <f t="shared" si="8"/>
        <v>2089</v>
      </c>
      <c r="B82" s="520">
        <f t="shared" si="5"/>
        <v>1.0209999999999999</v>
      </c>
      <c r="C82" s="503"/>
      <c r="D82" s="503"/>
      <c r="E82" s="503"/>
      <c r="F82" s="503"/>
      <c r="G82" s="504"/>
      <c r="H82" s="171">
        <f t="shared" si="7"/>
        <v>2089</v>
      </c>
      <c r="I82" s="523">
        <f t="shared" si="6"/>
        <v>3.8645451836060603</v>
      </c>
      <c r="J82" s="523" t="s">
        <v>415</v>
      </c>
      <c r="K82" s="171"/>
      <c r="L82" s="171"/>
      <c r="M82" s="171"/>
    </row>
    <row r="83" spans="1:23" ht="12" x14ac:dyDescent="0.25">
      <c r="A83" s="530"/>
      <c r="B83" s="531"/>
      <c r="C83" s="531"/>
      <c r="D83" s="531"/>
      <c r="E83" s="531"/>
      <c r="F83" s="531"/>
      <c r="G83" s="496" t="s">
        <v>89</v>
      </c>
      <c r="H83" s="504"/>
      <c r="I83" s="504"/>
      <c r="J83" s="504"/>
      <c r="K83" s="504"/>
      <c r="L83" s="532"/>
      <c r="M83" s="532"/>
    </row>
    <row r="84" spans="1:23" x14ac:dyDescent="0.2">
      <c r="A84" s="501" t="s">
        <v>377</v>
      </c>
      <c r="B84" s="502">
        <f>B5</f>
        <v>45348</v>
      </c>
      <c r="C84" s="503"/>
      <c r="D84" s="503"/>
      <c r="E84" s="503"/>
      <c r="F84" s="503"/>
      <c r="G84" s="504"/>
      <c r="H84" s="505"/>
      <c r="I84" s="505"/>
      <c r="J84" s="505"/>
      <c r="K84" s="505"/>
      <c r="L84" s="505"/>
      <c r="M84" s="505"/>
      <c r="N84" s="533"/>
      <c r="O84" s="533"/>
      <c r="P84" s="533"/>
      <c r="Q84" s="533"/>
      <c r="R84" s="534"/>
      <c r="S84" s="533"/>
      <c r="T84" s="533"/>
      <c r="U84" s="533"/>
      <c r="V84" s="533"/>
      <c r="W84" s="535"/>
    </row>
    <row r="85" spans="1:23" ht="12" thickBot="1" x14ac:dyDescent="0.25">
      <c r="A85" s="503"/>
      <c r="B85" s="503"/>
      <c r="C85" s="503"/>
      <c r="D85" s="503"/>
      <c r="E85" s="503"/>
      <c r="F85" s="503"/>
      <c r="G85" s="504"/>
      <c r="H85" s="505" t="s">
        <v>378</v>
      </c>
      <c r="I85" s="505"/>
      <c r="J85" s="505"/>
      <c r="K85" s="505"/>
      <c r="L85" s="505"/>
      <c r="M85" s="505"/>
    </row>
    <row r="86" spans="1:23" ht="13.2" thickBot="1" x14ac:dyDescent="0.3">
      <c r="A86" s="508"/>
      <c r="B86" s="508" t="s">
        <v>380</v>
      </c>
      <c r="C86" s="508" t="s">
        <v>296</v>
      </c>
      <c r="D86" s="508" t="s">
        <v>296</v>
      </c>
      <c r="E86" s="508" t="s">
        <v>296</v>
      </c>
      <c r="F86" s="508" t="s">
        <v>296</v>
      </c>
      <c r="G86" s="504"/>
      <c r="H86" s="509">
        <f>IF(K94="&lt;Base Year",H94,IF(K95="&lt;Base Year",H95,IF(K96="&lt;Base Year",H96,IF(K97="&lt;Base Year",H97,"None"))))</f>
        <v>2024</v>
      </c>
      <c r="I86" s="510" t="s">
        <v>381</v>
      </c>
      <c r="J86" s="511"/>
      <c r="K86" s="171"/>
      <c r="L86" s="171"/>
      <c r="M86" s="171"/>
    </row>
    <row r="87" spans="1:23" x14ac:dyDescent="0.2">
      <c r="A87" s="515" t="s">
        <v>383</v>
      </c>
      <c r="B87" s="515" t="s">
        <v>384</v>
      </c>
      <c r="C87" s="515">
        <f>+C8</f>
        <v>2022</v>
      </c>
      <c r="D87" s="515">
        <f t="shared" ref="D87:F87" si="9">+D8</f>
        <v>2023</v>
      </c>
      <c r="E87" s="515">
        <f t="shared" si="9"/>
        <v>2024</v>
      </c>
      <c r="F87" s="515">
        <f t="shared" si="9"/>
        <v>2025</v>
      </c>
      <c r="G87" s="504"/>
      <c r="H87" s="509">
        <f>IF(K94="&lt;Base Year",1,IF(K95="&lt;Base Year",2,IF(K96="&lt;Base Year",3,IF(K97="&lt;Base Year",4,5))))</f>
        <v>3</v>
      </c>
      <c r="I87" s="516" t="s">
        <v>1072</v>
      </c>
      <c r="J87" s="516" t="s">
        <v>1071</v>
      </c>
      <c r="K87" s="171"/>
      <c r="L87" s="171"/>
      <c r="M87" s="171"/>
    </row>
    <row r="88" spans="1:23" ht="12" thickBot="1" x14ac:dyDescent="0.25">
      <c r="A88" s="518" t="s">
        <v>386</v>
      </c>
      <c r="B88" s="518" t="s">
        <v>387</v>
      </c>
      <c r="C88" s="518"/>
      <c r="D88" s="518"/>
      <c r="E88" s="518"/>
      <c r="F88" s="518"/>
      <c r="G88" s="504"/>
      <c r="H88" s="171">
        <v>0</v>
      </c>
      <c r="I88" s="519" t="s">
        <v>123</v>
      </c>
      <c r="J88" s="519" t="s">
        <v>123</v>
      </c>
      <c r="K88" s="171"/>
      <c r="L88" s="171"/>
      <c r="M88" s="171"/>
    </row>
    <row r="89" spans="1:23" x14ac:dyDescent="0.2">
      <c r="A89" s="501">
        <f>+A10</f>
        <v>2017</v>
      </c>
      <c r="B89" s="520">
        <f>B10</f>
        <v>1.0169999999999999</v>
      </c>
      <c r="C89" s="521">
        <v>0.89198908205408034</v>
      </c>
      <c r="D89" s="521">
        <v>0.85276202873239026</v>
      </c>
      <c r="E89" s="521">
        <v>0.83034277383874422</v>
      </c>
      <c r="F89" s="521">
        <v>0.81246846755258739</v>
      </c>
      <c r="G89" s="522" t="s">
        <v>389</v>
      </c>
      <c r="H89" s="171">
        <f>+A89</f>
        <v>2017</v>
      </c>
      <c r="I89" s="523">
        <f>+I90/B90</f>
        <v>0.80062099798634889</v>
      </c>
      <c r="J89" s="524">
        <f>CHOOSE(H$87,C89,D89,E89,F89)</f>
        <v>0.83034277383874422</v>
      </c>
      <c r="K89" s="171"/>
      <c r="L89" s="171"/>
      <c r="M89" s="171"/>
    </row>
    <row r="90" spans="1:23" x14ac:dyDescent="0.2">
      <c r="A90" s="501">
        <f t="shared" ref="A90:A153" si="10">+A11</f>
        <v>2018</v>
      </c>
      <c r="B90" s="520">
        <f t="shared" ref="B90:B153" si="11">B11</f>
        <v>1.022</v>
      </c>
      <c r="C90" s="521">
        <v>0.91197545854212436</v>
      </c>
      <c r="D90" s="521">
        <v>0.87186946323338832</v>
      </c>
      <c r="E90" s="521">
        <v>0.84894787072384459</v>
      </c>
      <c r="F90" s="521">
        <v>0.83067306333057211</v>
      </c>
      <c r="G90" s="525" t="s">
        <v>391</v>
      </c>
      <c r="H90" s="171">
        <f t="shared" ref="H90:H153" si="12">+A90</f>
        <v>2018</v>
      </c>
      <c r="I90" s="523">
        <f>+I91/B91</f>
        <v>0.81823465994204858</v>
      </c>
      <c r="J90" s="524">
        <f>CHOOSE(H$87,C90,D90,E90,F90)</f>
        <v>0.84894787072384459</v>
      </c>
      <c r="K90" s="171"/>
      <c r="L90" s="171"/>
      <c r="M90" s="171"/>
    </row>
    <row r="91" spans="1:23" x14ac:dyDescent="0.2">
      <c r="A91" s="501">
        <f t="shared" si="10"/>
        <v>2019</v>
      </c>
      <c r="B91" s="520">
        <f t="shared" si="11"/>
        <v>1.0189999999999999</v>
      </c>
      <c r="C91" s="521">
        <v>0.94117252897698844</v>
      </c>
      <c r="D91" s="521">
        <v>0.89978253248278051</v>
      </c>
      <c r="E91" s="521">
        <v>0.87612710076220102</v>
      </c>
      <c r="F91" s="521">
        <v>0.85726722188082305</v>
      </c>
      <c r="G91" s="525" t="s">
        <v>393</v>
      </c>
      <c r="H91" s="171">
        <f t="shared" si="12"/>
        <v>2019</v>
      </c>
      <c r="I91" s="523">
        <f>+I92/B92</f>
        <v>0.83378111848094738</v>
      </c>
      <c r="J91" s="524">
        <f>CHOOSE(H$87,C91,D91,E91,F91)</f>
        <v>0.87612710076220102</v>
      </c>
      <c r="K91" s="171"/>
      <c r="L91" s="171"/>
      <c r="M91" s="171"/>
    </row>
    <row r="92" spans="1:23" x14ac:dyDescent="0.2">
      <c r="A92" s="501">
        <f t="shared" si="10"/>
        <v>2020</v>
      </c>
      <c r="B92" s="520">
        <f t="shared" si="11"/>
        <v>1.0129999999999999</v>
      </c>
      <c r="C92" s="521">
        <v>0.97977521398884859</v>
      </c>
      <c r="D92" s="521">
        <v>0.93668758507538108</v>
      </c>
      <c r="E92" s="521">
        <v>0.91206191341322407</v>
      </c>
      <c r="F92" s="521">
        <v>0.89242848670569863</v>
      </c>
      <c r="G92" s="522" t="s">
        <v>395</v>
      </c>
      <c r="H92" s="171">
        <f t="shared" si="12"/>
        <v>2020</v>
      </c>
      <c r="I92" s="523">
        <f>+I93/B93</f>
        <v>0.84462027302119957</v>
      </c>
      <c r="J92" s="524">
        <f>CHOOSE(H$87,C92,D92,E92,F92)</f>
        <v>0.91206191341322407</v>
      </c>
      <c r="K92" s="171"/>
      <c r="L92" s="171"/>
      <c r="M92" s="171"/>
    </row>
    <row r="93" spans="1:23" x14ac:dyDescent="0.2">
      <c r="A93" s="501">
        <f t="shared" si="10"/>
        <v>2021</v>
      </c>
      <c r="B93" s="520">
        <f t="shared" si="11"/>
        <v>1.0309999999999999</v>
      </c>
      <c r="C93" s="521">
        <v>1.0245016326297067</v>
      </c>
      <c r="D93" s="521">
        <v>0.9794470675236201</v>
      </c>
      <c r="E93" s="521">
        <v>0.95369724198989303</v>
      </c>
      <c r="F93" s="521">
        <v>0.93316755576310473</v>
      </c>
      <c r="G93" s="525" t="s">
        <v>397</v>
      </c>
      <c r="H93" s="171">
        <f t="shared" si="12"/>
        <v>2021</v>
      </c>
      <c r="I93" s="523">
        <f>+I94/B94</f>
        <v>0.87080350148485675</v>
      </c>
      <c r="J93" s="524">
        <f>CHOOSE(H$87,C93,D93,E93,F93)</f>
        <v>0.95369724198989303</v>
      </c>
      <c r="K93" s="171"/>
      <c r="L93" s="171"/>
      <c r="M93" s="171"/>
    </row>
    <row r="94" spans="1:23" x14ac:dyDescent="0.2">
      <c r="A94" s="501">
        <f t="shared" si="10"/>
        <v>2022</v>
      </c>
      <c r="B94" s="520">
        <f t="shared" si="11"/>
        <v>1.069</v>
      </c>
      <c r="C94" s="521">
        <v>1.0635896926073451</v>
      </c>
      <c r="D94" s="521">
        <v>1.0168161497202153</v>
      </c>
      <c r="E94" s="521">
        <v>0.99008388482981036</v>
      </c>
      <c r="F94" s="521">
        <v>0.96877092449100821</v>
      </c>
      <c r="G94" s="526" t="s">
        <v>399</v>
      </c>
      <c r="H94" s="171">
        <f t="shared" si="12"/>
        <v>2022</v>
      </c>
      <c r="I94" s="527">
        <f>IF(Sheet1!$E$82&lt;=A94,1,I95/B95)</f>
        <v>0.93088894308731185</v>
      </c>
      <c r="J94" s="528">
        <f>IF(I94&gt;=1,1/((C$653/I94)+(D$653/I95)+(E$653/I96)+(F$653/I97)+(G$653/I98)+(H$653/I99)+(I$653/I100)+(J$653/I101)+(K$653/I102)+(L$653/I103)),CHOOSE(H$87,C94,D94,E94,F94))</f>
        <v>0.99008388482981036</v>
      </c>
      <c r="K94" s="171" t="str">
        <f>IF(I94=1,"&lt;Base Year","")</f>
        <v/>
      </c>
      <c r="L94" s="171"/>
      <c r="M94" s="171"/>
    </row>
    <row r="95" spans="1:23" x14ac:dyDescent="0.2">
      <c r="A95" s="501">
        <f t="shared" si="10"/>
        <v>2023</v>
      </c>
      <c r="B95" s="520">
        <f t="shared" si="11"/>
        <v>1.046</v>
      </c>
      <c r="C95" s="521">
        <v>1.0917707054598196</v>
      </c>
      <c r="D95" s="521">
        <v>1.0437578446078581</v>
      </c>
      <c r="E95" s="521">
        <v>1.0163172780991803</v>
      </c>
      <c r="F95" s="521">
        <v>0.99443960675066567</v>
      </c>
      <c r="G95" s="526" t="s">
        <v>401</v>
      </c>
      <c r="H95" s="171">
        <f t="shared" si="12"/>
        <v>2023</v>
      </c>
      <c r="I95" s="527">
        <f>IF(Sheet1!$E$82&lt;A95,I94*B95,IF(Sheet1!$E$82=A95,1,I96/B96))</f>
        <v>0.97370983446932824</v>
      </c>
      <c r="J95" s="528">
        <f t="shared" ref="J95:J97" si="13">IF(I95&gt;=1,1/((C$653/I95)+(D$653/I96)+(E$653/I97)+(F$653/I98)+(G$653/I99)+(H$653/I100)+(I$653/I101)+(J$653/I102)+(K$653/I103)+(L$653/I104)),CHOOSE(H$87,C95,D95,E95,F95))</f>
        <v>1.0163172780991803</v>
      </c>
      <c r="K95" s="171" t="str">
        <f>IF(I95=1,"&lt;Base Year","")</f>
        <v/>
      </c>
      <c r="L95" s="171"/>
      <c r="M95" s="171"/>
    </row>
    <row r="96" spans="1:23" x14ac:dyDescent="0.2">
      <c r="A96" s="501">
        <f t="shared" si="10"/>
        <v>2024</v>
      </c>
      <c r="B96" s="520">
        <f t="shared" si="11"/>
        <v>1.0269999999999999</v>
      </c>
      <c r="C96" s="521">
        <v>1.1158791609029044</v>
      </c>
      <c r="D96" s="521">
        <v>1.0668060811691242</v>
      </c>
      <c r="E96" s="521">
        <v>1.0387595727060608</v>
      </c>
      <c r="F96" s="521">
        <v>1.0163987991253041</v>
      </c>
      <c r="G96" s="526" t="s">
        <v>403</v>
      </c>
      <c r="H96" s="171">
        <f t="shared" si="12"/>
        <v>2024</v>
      </c>
      <c r="I96" s="527">
        <f>IF(Sheet1!$E$82&lt;A96,I95*B96,IF(Sheet1!$E$82=A96,1,I97/B97))</f>
        <v>1</v>
      </c>
      <c r="J96" s="528">
        <f t="shared" si="13"/>
        <v>1.0387595727060606</v>
      </c>
      <c r="K96" s="171" t="str">
        <f>IF(I96=1,"&lt;Base Year","")</f>
        <v>&lt;Base Year</v>
      </c>
      <c r="L96" s="171"/>
      <c r="M96" s="171"/>
    </row>
    <row r="97" spans="1:13" x14ac:dyDescent="0.2">
      <c r="A97" s="501">
        <f t="shared" si="10"/>
        <v>2025</v>
      </c>
      <c r="B97" s="520">
        <f t="shared" si="11"/>
        <v>1.022</v>
      </c>
      <c r="C97" s="521">
        <v>1.139440017083019</v>
      </c>
      <c r="D97" s="521">
        <v>1.0893308002705728</v>
      </c>
      <c r="E97" s="521">
        <v>1.0606921132138003</v>
      </c>
      <c r="F97" s="521">
        <v>1.0378592105810178</v>
      </c>
      <c r="G97" s="526" t="s">
        <v>405</v>
      </c>
      <c r="H97" s="171">
        <f t="shared" si="12"/>
        <v>2025</v>
      </c>
      <c r="I97" s="527">
        <f>IF(Sheet1!$E$82&lt;A97,I96*B97,IF(Sheet1!$E$82=A97,1,1))</f>
        <v>1.022</v>
      </c>
      <c r="J97" s="528">
        <f t="shared" si="13"/>
        <v>1.0606921132138001</v>
      </c>
      <c r="K97" s="171" t="str">
        <f>IF(I97=1,"&lt;Base Year","")</f>
        <v/>
      </c>
      <c r="L97" s="171"/>
      <c r="M97" s="171"/>
    </row>
    <row r="98" spans="1:13" x14ac:dyDescent="0.2">
      <c r="A98" s="501">
        <f t="shared" si="10"/>
        <v>2026</v>
      </c>
      <c r="B98" s="520">
        <f t="shared" si="11"/>
        <v>1.0209999999999999</v>
      </c>
      <c r="C98" s="503"/>
      <c r="D98" s="503"/>
      <c r="E98" s="503"/>
      <c r="F98" s="503"/>
      <c r="G98" s="504"/>
      <c r="H98" s="171">
        <f t="shared" si="12"/>
        <v>2026</v>
      </c>
      <c r="I98" s="523">
        <f t="shared" ref="I98:I142" si="14">+I97*B98</f>
        <v>1.0434619999999999</v>
      </c>
      <c r="J98" s="523">
        <f>IF(I98&gt;=1,1/((C$653/I98)+(D$653/I99)+(E$653/I100)+(F$653/I101)+(G$653/I102)+(H$653/I103)+(I$653/I104)+(J$653/I105)+(K$653/I106)+(L$653/I107)),CHOOSE(H$87,C98,D98,E98,F98))</f>
        <v>1.0829666475912898</v>
      </c>
      <c r="K98" s="171"/>
      <c r="L98" s="171"/>
      <c r="M98" s="171"/>
    </row>
    <row r="99" spans="1:13" x14ac:dyDescent="0.2">
      <c r="A99" s="501">
        <f t="shared" si="10"/>
        <v>2027</v>
      </c>
      <c r="B99" s="520">
        <f t="shared" si="11"/>
        <v>1.0209999999999999</v>
      </c>
      <c r="C99" s="503"/>
      <c r="D99" s="503"/>
      <c r="E99" s="503"/>
      <c r="F99" s="503"/>
      <c r="G99" s="504"/>
      <c r="H99" s="171">
        <f t="shared" si="12"/>
        <v>2027</v>
      </c>
      <c r="I99" s="523">
        <f t="shared" si="14"/>
        <v>1.0653747019999997</v>
      </c>
      <c r="J99" s="523">
        <f t="shared" ref="J99:J152" si="15">IF(I99&gt;=1,1/((C$653/I99)+(D$653/I100)+(E$653/I101)+(F$653/I102)+(G$653/I103)+(H$653/I104)+(I$653/I105)+(J$653/I106)+(K$653/I107)+(L$653/I108)),CHOOSE(H$87,C99,D99,E99,F99))</f>
        <v>1.1057089471907069</v>
      </c>
      <c r="K99" s="171"/>
      <c r="L99" s="171"/>
      <c r="M99" s="171"/>
    </row>
    <row r="100" spans="1:13" x14ac:dyDescent="0.2">
      <c r="A100" s="501">
        <f t="shared" si="10"/>
        <v>2028</v>
      </c>
      <c r="B100" s="520">
        <f t="shared" si="11"/>
        <v>1.0209999999999999</v>
      </c>
      <c r="C100" s="503"/>
      <c r="D100" s="503"/>
      <c r="E100" s="503"/>
      <c r="F100" s="503"/>
      <c r="G100" s="504"/>
      <c r="H100" s="171">
        <f t="shared" si="12"/>
        <v>2028</v>
      </c>
      <c r="I100" s="523">
        <f t="shared" si="14"/>
        <v>1.0877475707419997</v>
      </c>
      <c r="J100" s="523">
        <f t="shared" si="15"/>
        <v>1.1289288350817117</v>
      </c>
      <c r="K100" s="171"/>
      <c r="L100" s="171"/>
      <c r="M100" s="171"/>
    </row>
    <row r="101" spans="1:13" x14ac:dyDescent="0.2">
      <c r="A101" s="501">
        <f t="shared" si="10"/>
        <v>2029</v>
      </c>
      <c r="B101" s="520">
        <f t="shared" si="11"/>
        <v>1.0209999999999999</v>
      </c>
      <c r="C101" s="503"/>
      <c r="D101" s="503"/>
      <c r="E101" s="503"/>
      <c r="F101" s="503"/>
      <c r="G101" s="504"/>
      <c r="H101" s="171">
        <f t="shared" si="12"/>
        <v>2029</v>
      </c>
      <c r="I101" s="523">
        <f t="shared" si="14"/>
        <v>1.1105902697275816</v>
      </c>
      <c r="J101" s="523">
        <f t="shared" si="15"/>
        <v>1.1526363406184275</v>
      </c>
      <c r="K101" s="171"/>
      <c r="L101" s="171"/>
      <c r="M101" s="171"/>
    </row>
    <row r="102" spans="1:13" x14ac:dyDescent="0.2">
      <c r="A102" s="501">
        <f t="shared" si="10"/>
        <v>2030</v>
      </c>
      <c r="B102" s="520">
        <f t="shared" si="11"/>
        <v>1.0209999999999999</v>
      </c>
      <c r="C102" s="503"/>
      <c r="D102" s="503"/>
      <c r="E102" s="503"/>
      <c r="F102" s="503"/>
      <c r="G102" s="504"/>
      <c r="H102" s="171">
        <f t="shared" si="12"/>
        <v>2030</v>
      </c>
      <c r="I102" s="523">
        <f t="shared" si="14"/>
        <v>1.1339126653918608</v>
      </c>
      <c r="J102" s="523">
        <f t="shared" si="15"/>
        <v>1.1768417037714143</v>
      </c>
      <c r="K102" s="171"/>
      <c r="L102" s="171"/>
      <c r="M102" s="171"/>
    </row>
    <row r="103" spans="1:13" x14ac:dyDescent="0.2">
      <c r="A103" s="501">
        <f t="shared" si="10"/>
        <v>2031</v>
      </c>
      <c r="B103" s="520">
        <f t="shared" si="11"/>
        <v>1.0209999999999999</v>
      </c>
      <c r="C103" s="503"/>
      <c r="D103" s="503"/>
      <c r="E103" s="503"/>
      <c r="F103" s="503"/>
      <c r="G103" s="504"/>
      <c r="H103" s="171">
        <f t="shared" si="12"/>
        <v>2031</v>
      </c>
      <c r="I103" s="523">
        <f t="shared" si="14"/>
        <v>1.1577248313650896</v>
      </c>
      <c r="J103" s="523">
        <f t="shared" si="15"/>
        <v>1.201555379550614</v>
      </c>
      <c r="K103" s="171"/>
      <c r="L103" s="171"/>
      <c r="M103" s="171"/>
    </row>
    <row r="104" spans="1:13" x14ac:dyDescent="0.2">
      <c r="A104" s="501">
        <f t="shared" si="10"/>
        <v>2032</v>
      </c>
      <c r="B104" s="520">
        <f t="shared" si="11"/>
        <v>1.0209999999999999</v>
      </c>
      <c r="C104" s="503"/>
      <c r="D104" s="503"/>
      <c r="E104" s="503"/>
      <c r="F104" s="503"/>
      <c r="G104" s="504"/>
      <c r="H104" s="171">
        <f t="shared" si="12"/>
        <v>2032</v>
      </c>
      <c r="I104" s="523">
        <f t="shared" si="14"/>
        <v>1.1820370528237565</v>
      </c>
      <c r="J104" s="523">
        <f t="shared" si="15"/>
        <v>1.2267880425211768</v>
      </c>
      <c r="K104" s="171"/>
      <c r="L104" s="171"/>
      <c r="M104" s="171"/>
    </row>
    <row r="105" spans="1:13" x14ac:dyDescent="0.2">
      <c r="A105" s="501">
        <f t="shared" si="10"/>
        <v>2033</v>
      </c>
      <c r="B105" s="520">
        <f t="shared" si="11"/>
        <v>1.0209999999999999</v>
      </c>
      <c r="C105" s="503"/>
      <c r="D105" s="503"/>
      <c r="E105" s="503"/>
      <c r="F105" s="503"/>
      <c r="G105" s="504"/>
      <c r="H105" s="171">
        <f t="shared" si="12"/>
        <v>2033</v>
      </c>
      <c r="I105" s="523">
        <f t="shared" si="14"/>
        <v>1.2068598309330552</v>
      </c>
      <c r="J105" s="523">
        <f t="shared" si="15"/>
        <v>1.2525505914141213</v>
      </c>
      <c r="K105" s="171"/>
      <c r="L105" s="171"/>
      <c r="M105" s="171"/>
    </row>
    <row r="106" spans="1:13" x14ac:dyDescent="0.2">
      <c r="A106" s="501">
        <f t="shared" si="10"/>
        <v>2034</v>
      </c>
      <c r="B106" s="520">
        <f t="shared" si="11"/>
        <v>1.0209999999999999</v>
      </c>
      <c r="C106" s="503"/>
      <c r="D106" s="503"/>
      <c r="E106" s="503"/>
      <c r="F106" s="503"/>
      <c r="G106" s="504"/>
      <c r="H106" s="171">
        <f t="shared" si="12"/>
        <v>2034</v>
      </c>
      <c r="I106" s="523">
        <f t="shared" si="14"/>
        <v>1.2322038873826493</v>
      </c>
      <c r="J106" s="523">
        <f t="shared" si="15"/>
        <v>1.2788541538338178</v>
      </c>
      <c r="K106" s="171"/>
      <c r="L106" s="171"/>
      <c r="M106" s="171"/>
    </row>
    <row r="107" spans="1:13" x14ac:dyDescent="0.2">
      <c r="A107" s="501">
        <f t="shared" si="10"/>
        <v>2035</v>
      </c>
      <c r="B107" s="520">
        <f t="shared" si="11"/>
        <v>1.0209999999999999</v>
      </c>
      <c r="C107" s="503"/>
      <c r="D107" s="503"/>
      <c r="E107" s="503"/>
      <c r="F107" s="503"/>
      <c r="G107" s="504"/>
      <c r="H107" s="171">
        <f t="shared" si="12"/>
        <v>2035</v>
      </c>
      <c r="I107" s="523">
        <f t="shared" si="14"/>
        <v>1.2580801690176848</v>
      </c>
      <c r="J107" s="523">
        <f t="shared" si="15"/>
        <v>1.3057100910643278</v>
      </c>
      <c r="K107" s="171"/>
      <c r="L107" s="171"/>
      <c r="M107" s="171"/>
    </row>
    <row r="108" spans="1:13" x14ac:dyDescent="0.2">
      <c r="A108" s="501">
        <f t="shared" si="10"/>
        <v>2036</v>
      </c>
      <c r="B108" s="520">
        <f t="shared" si="11"/>
        <v>1.0209999999999999</v>
      </c>
      <c r="C108" s="503"/>
      <c r="D108" s="503"/>
      <c r="E108" s="503"/>
      <c r="F108" s="503"/>
      <c r="G108" s="504"/>
      <c r="H108" s="171">
        <f t="shared" si="12"/>
        <v>2036</v>
      </c>
      <c r="I108" s="523">
        <f t="shared" si="14"/>
        <v>1.2844998525670561</v>
      </c>
      <c r="J108" s="523">
        <f t="shared" si="15"/>
        <v>1.3331300029766786</v>
      </c>
      <c r="K108" s="171"/>
      <c r="L108" s="171"/>
      <c r="M108" s="171"/>
    </row>
    <row r="109" spans="1:13" x14ac:dyDescent="0.2">
      <c r="A109" s="501">
        <f t="shared" si="10"/>
        <v>2037</v>
      </c>
      <c r="B109" s="520">
        <f t="shared" si="11"/>
        <v>1.0209999999999999</v>
      </c>
      <c r="C109" s="503"/>
      <c r="D109" s="503"/>
      <c r="E109" s="503"/>
      <c r="F109" s="503"/>
      <c r="G109" s="504"/>
      <c r="H109" s="171">
        <f t="shared" si="12"/>
        <v>2037</v>
      </c>
      <c r="I109" s="523">
        <f t="shared" si="14"/>
        <v>1.3114743494709642</v>
      </c>
      <c r="J109" s="523">
        <f t="shared" si="15"/>
        <v>1.3611257330391888</v>
      </c>
      <c r="K109" s="171"/>
      <c r="L109" s="171"/>
      <c r="M109" s="171"/>
    </row>
    <row r="110" spans="1:13" x14ac:dyDescent="0.2">
      <c r="A110" s="501">
        <f t="shared" si="10"/>
        <v>2038</v>
      </c>
      <c r="B110" s="520">
        <f t="shared" si="11"/>
        <v>1.0209999999999999</v>
      </c>
      <c r="C110" s="503"/>
      <c r="D110" s="503"/>
      <c r="E110" s="503"/>
      <c r="F110" s="503"/>
      <c r="G110" s="504"/>
      <c r="H110" s="171">
        <f t="shared" si="12"/>
        <v>2038</v>
      </c>
      <c r="I110" s="523">
        <f t="shared" si="14"/>
        <v>1.3390153108098544</v>
      </c>
      <c r="J110" s="523">
        <f t="shared" si="15"/>
        <v>1.3897093734330115</v>
      </c>
      <c r="K110" s="171"/>
      <c r="L110" s="171"/>
      <c r="M110" s="171"/>
    </row>
    <row r="111" spans="1:13" x14ac:dyDescent="0.2">
      <c r="A111" s="501">
        <f t="shared" si="10"/>
        <v>2039</v>
      </c>
      <c r="B111" s="520">
        <f t="shared" si="11"/>
        <v>1.0209999999999999</v>
      </c>
      <c r="C111" s="503"/>
      <c r="D111" s="503"/>
      <c r="E111" s="503"/>
      <c r="F111" s="503"/>
      <c r="G111" s="504"/>
      <c r="H111" s="171">
        <f t="shared" si="12"/>
        <v>2039</v>
      </c>
      <c r="I111" s="523">
        <f t="shared" si="14"/>
        <v>1.3671346323368612</v>
      </c>
      <c r="J111" s="523">
        <f t="shared" si="15"/>
        <v>1.4188932702751049</v>
      </c>
      <c r="K111" s="171"/>
      <c r="L111" s="171"/>
      <c r="M111" s="171"/>
    </row>
    <row r="112" spans="1:13" x14ac:dyDescent="0.2">
      <c r="A112" s="501">
        <f t="shared" si="10"/>
        <v>2040</v>
      </c>
      <c r="B112" s="520">
        <f t="shared" si="11"/>
        <v>1.0209999999999999</v>
      </c>
      <c r="C112" s="503"/>
      <c r="D112" s="503"/>
      <c r="E112" s="503"/>
      <c r="F112" s="503"/>
      <c r="G112" s="504"/>
      <c r="H112" s="171">
        <f t="shared" si="12"/>
        <v>2040</v>
      </c>
      <c r="I112" s="523">
        <f t="shared" si="14"/>
        <v>1.3958444596159352</v>
      </c>
      <c r="J112" s="523">
        <f t="shared" si="15"/>
        <v>1.4486900289508819</v>
      </c>
      <c r="K112" s="171"/>
      <c r="L112" s="171"/>
      <c r="M112" s="171"/>
    </row>
    <row r="113" spans="1:13" x14ac:dyDescent="0.2">
      <c r="A113" s="501">
        <f t="shared" si="10"/>
        <v>2041</v>
      </c>
      <c r="B113" s="520">
        <f t="shared" si="11"/>
        <v>1.0209999999999999</v>
      </c>
      <c r="C113" s="503"/>
      <c r="D113" s="503"/>
      <c r="E113" s="503"/>
      <c r="F113" s="503"/>
      <c r="G113" s="504"/>
      <c r="H113" s="171">
        <f t="shared" si="12"/>
        <v>2041</v>
      </c>
      <c r="I113" s="523">
        <f t="shared" si="14"/>
        <v>1.4251571932678697</v>
      </c>
      <c r="J113" s="523">
        <f t="shared" si="15"/>
        <v>1.4791125195588499</v>
      </c>
      <c r="K113" s="171"/>
      <c r="L113" s="171"/>
      <c r="M113" s="171"/>
    </row>
    <row r="114" spans="1:13" x14ac:dyDescent="0.2">
      <c r="A114" s="501">
        <f t="shared" si="10"/>
        <v>2042</v>
      </c>
      <c r="B114" s="520">
        <f t="shared" si="11"/>
        <v>1.0209999999999999</v>
      </c>
      <c r="C114" s="503"/>
      <c r="D114" s="503"/>
      <c r="E114" s="503"/>
      <c r="F114" s="503"/>
      <c r="G114" s="504"/>
      <c r="H114" s="171">
        <f t="shared" si="12"/>
        <v>2042</v>
      </c>
      <c r="I114" s="523">
        <f t="shared" si="14"/>
        <v>1.4550854943264948</v>
      </c>
      <c r="J114" s="523">
        <f t="shared" si="15"/>
        <v>1.5101738824695858</v>
      </c>
      <c r="K114" s="171"/>
      <c r="L114" s="171"/>
      <c r="M114" s="171"/>
    </row>
    <row r="115" spans="1:13" x14ac:dyDescent="0.2">
      <c r="A115" s="501">
        <f t="shared" si="10"/>
        <v>2043</v>
      </c>
      <c r="B115" s="520">
        <f t="shared" si="11"/>
        <v>1.0209999999999999</v>
      </c>
      <c r="C115" s="503"/>
      <c r="D115" s="503"/>
      <c r="E115" s="503"/>
      <c r="F115" s="503"/>
      <c r="G115" s="504"/>
      <c r="H115" s="171">
        <f t="shared" si="12"/>
        <v>2043</v>
      </c>
      <c r="I115" s="523">
        <f t="shared" si="14"/>
        <v>1.4856422897073511</v>
      </c>
      <c r="J115" s="523">
        <f t="shared" si="15"/>
        <v>1.5418875340014473</v>
      </c>
      <c r="K115" s="171"/>
      <c r="L115" s="171"/>
      <c r="M115" s="171"/>
    </row>
    <row r="116" spans="1:13" x14ac:dyDescent="0.2">
      <c r="A116" s="501">
        <f t="shared" si="10"/>
        <v>2044</v>
      </c>
      <c r="B116" s="520">
        <f t="shared" si="11"/>
        <v>1.0209999999999999</v>
      </c>
      <c r="C116" s="503"/>
      <c r="D116" s="503"/>
      <c r="E116" s="503"/>
      <c r="F116" s="503"/>
      <c r="G116" s="504"/>
      <c r="H116" s="171">
        <f t="shared" si="12"/>
        <v>2044</v>
      </c>
      <c r="I116" s="523">
        <f t="shared" si="14"/>
        <v>1.5168407777912054</v>
      </c>
      <c r="J116" s="523">
        <f t="shared" si="15"/>
        <v>1.5742671722154773</v>
      </c>
      <c r="K116" s="171"/>
      <c r="L116" s="171"/>
      <c r="M116" s="171"/>
    </row>
    <row r="117" spans="1:13" x14ac:dyDescent="0.2">
      <c r="A117" s="501">
        <f t="shared" si="10"/>
        <v>2045</v>
      </c>
      <c r="B117" s="520">
        <f t="shared" si="11"/>
        <v>1.0209999999999999</v>
      </c>
      <c r="C117" s="503"/>
      <c r="D117" s="503"/>
      <c r="E117" s="503"/>
      <c r="F117" s="503"/>
      <c r="G117" s="504"/>
      <c r="H117" s="171">
        <f t="shared" si="12"/>
        <v>2045</v>
      </c>
      <c r="I117" s="523">
        <f t="shared" si="14"/>
        <v>1.5486944341248206</v>
      </c>
      <c r="J117" s="523">
        <f t="shared" si="15"/>
        <v>1.6073267828320021</v>
      </c>
      <c r="K117" s="171"/>
      <c r="L117" s="171"/>
      <c r="M117" s="171"/>
    </row>
    <row r="118" spans="1:13" x14ac:dyDescent="0.2">
      <c r="A118" s="501">
        <f t="shared" si="10"/>
        <v>2046</v>
      </c>
      <c r="B118" s="520">
        <f t="shared" si="11"/>
        <v>1.0209999999999999</v>
      </c>
      <c r="C118" s="503"/>
      <c r="D118" s="503"/>
      <c r="E118" s="503"/>
      <c r="F118" s="503"/>
      <c r="G118" s="504"/>
      <c r="H118" s="171">
        <f t="shared" si="12"/>
        <v>2046</v>
      </c>
      <c r="I118" s="523">
        <f t="shared" si="14"/>
        <v>1.5812170172414417</v>
      </c>
      <c r="J118" s="523">
        <f t="shared" si="15"/>
        <v>1.6410806452714743</v>
      </c>
      <c r="K118" s="171"/>
      <c r="L118" s="171"/>
      <c r="M118" s="171"/>
    </row>
    <row r="119" spans="1:13" x14ac:dyDescent="0.2">
      <c r="A119" s="501">
        <f t="shared" si="10"/>
        <v>2047</v>
      </c>
      <c r="B119" s="520">
        <f t="shared" si="11"/>
        <v>1.0209999999999999</v>
      </c>
      <c r="C119" s="503"/>
      <c r="D119" s="503"/>
      <c r="E119" s="503"/>
      <c r="F119" s="503"/>
      <c r="G119" s="504"/>
      <c r="H119" s="171">
        <f t="shared" si="12"/>
        <v>2047</v>
      </c>
      <c r="I119" s="523">
        <f t="shared" si="14"/>
        <v>1.6144225746035119</v>
      </c>
      <c r="J119" s="523">
        <f t="shared" si="15"/>
        <v>1.675543338822175</v>
      </c>
      <c r="K119" s="171"/>
      <c r="L119" s="171"/>
      <c r="M119" s="171"/>
    </row>
    <row r="120" spans="1:13" x14ac:dyDescent="0.2">
      <c r="A120" s="501">
        <f t="shared" si="10"/>
        <v>2048</v>
      </c>
      <c r="B120" s="520">
        <f t="shared" si="11"/>
        <v>1.0209999999999999</v>
      </c>
      <c r="C120" s="503"/>
      <c r="D120" s="503"/>
      <c r="E120" s="503"/>
      <c r="F120" s="503"/>
      <c r="G120" s="504"/>
      <c r="H120" s="171">
        <f t="shared" si="12"/>
        <v>2048</v>
      </c>
      <c r="I120" s="523">
        <f t="shared" si="14"/>
        <v>1.6483254486701855</v>
      </c>
      <c r="J120" s="523">
        <f t="shared" si="15"/>
        <v>1.7107297489374402</v>
      </c>
      <c r="K120" s="171"/>
      <c r="L120" s="171"/>
      <c r="M120" s="171"/>
    </row>
    <row r="121" spans="1:13" x14ac:dyDescent="0.2">
      <c r="A121" s="501">
        <f t="shared" si="10"/>
        <v>2049</v>
      </c>
      <c r="B121" s="520">
        <f t="shared" si="11"/>
        <v>1.0209999999999999</v>
      </c>
      <c r="C121" s="503"/>
      <c r="D121" s="503"/>
      <c r="E121" s="503"/>
      <c r="F121" s="503"/>
      <c r="G121" s="504"/>
      <c r="H121" s="171">
        <f t="shared" si="12"/>
        <v>2049</v>
      </c>
      <c r="I121" s="523">
        <f t="shared" si="14"/>
        <v>1.6829402830922593</v>
      </c>
      <c r="J121" s="523">
        <f t="shared" si="15"/>
        <v>1.7466550736651267</v>
      </c>
      <c r="K121" s="171"/>
      <c r="L121" s="171"/>
      <c r="M121" s="171"/>
    </row>
    <row r="122" spans="1:13" x14ac:dyDescent="0.2">
      <c r="A122" s="501">
        <f t="shared" si="10"/>
        <v>2050</v>
      </c>
      <c r="B122" s="520">
        <f t="shared" si="11"/>
        <v>1.0209999999999999</v>
      </c>
      <c r="C122" s="503"/>
      <c r="D122" s="503"/>
      <c r="E122" s="503"/>
      <c r="F122" s="503"/>
      <c r="G122" s="504"/>
      <c r="H122" s="171">
        <f t="shared" si="12"/>
        <v>2050</v>
      </c>
      <c r="I122" s="523">
        <f t="shared" si="14"/>
        <v>1.7182820290371965</v>
      </c>
      <c r="J122" s="523">
        <f t="shared" si="15"/>
        <v>1.7833348302120946</v>
      </c>
      <c r="K122" s="171"/>
      <c r="L122" s="171"/>
      <c r="M122" s="171"/>
    </row>
    <row r="123" spans="1:13" x14ac:dyDescent="0.2">
      <c r="A123" s="501">
        <f t="shared" si="10"/>
        <v>2051</v>
      </c>
      <c r="B123" s="520">
        <f t="shared" si="11"/>
        <v>1.0209999999999999</v>
      </c>
      <c r="C123" s="503"/>
      <c r="D123" s="503"/>
      <c r="E123" s="503"/>
      <c r="F123" s="503"/>
      <c r="G123" s="504"/>
      <c r="H123" s="171">
        <f t="shared" si="12"/>
        <v>2051</v>
      </c>
      <c r="I123" s="523">
        <f t="shared" si="14"/>
        <v>1.7543659516469774</v>
      </c>
      <c r="J123" s="523">
        <f t="shared" si="15"/>
        <v>1.8207848616465478</v>
      </c>
      <c r="K123" s="171"/>
      <c r="L123" s="171"/>
      <c r="M123" s="171"/>
    </row>
    <row r="124" spans="1:13" x14ac:dyDescent="0.2">
      <c r="A124" s="501">
        <f t="shared" si="10"/>
        <v>2052</v>
      </c>
      <c r="B124" s="520">
        <f t="shared" si="11"/>
        <v>1.0209999999999999</v>
      </c>
      <c r="C124" s="503"/>
      <c r="D124" s="503"/>
      <c r="E124" s="503"/>
      <c r="F124" s="503"/>
      <c r="G124" s="504"/>
      <c r="H124" s="171">
        <f t="shared" si="12"/>
        <v>2052</v>
      </c>
      <c r="I124" s="523">
        <f t="shared" si="14"/>
        <v>1.7912076366315637</v>
      </c>
      <c r="J124" s="523">
        <f t="shared" si="15"/>
        <v>1.8590213437411252</v>
      </c>
      <c r="K124" s="171"/>
      <c r="L124" s="171"/>
      <c r="M124" s="171"/>
    </row>
    <row r="125" spans="1:13" x14ac:dyDescent="0.2">
      <c r="A125" s="501">
        <f t="shared" si="10"/>
        <v>2053</v>
      </c>
      <c r="B125" s="520">
        <f t="shared" si="11"/>
        <v>1.0209999999999999</v>
      </c>
      <c r="C125" s="503"/>
      <c r="D125" s="503"/>
      <c r="E125" s="503"/>
      <c r="F125" s="503"/>
      <c r="G125" s="504"/>
      <c r="H125" s="171">
        <f t="shared" si="12"/>
        <v>2053</v>
      </c>
      <c r="I125" s="523">
        <f t="shared" si="14"/>
        <v>1.8288229970008263</v>
      </c>
      <c r="J125" s="523">
        <f t="shared" si="15"/>
        <v>1.8980607919596881</v>
      </c>
      <c r="K125" s="171"/>
      <c r="L125" s="171"/>
      <c r="M125" s="171"/>
    </row>
    <row r="126" spans="1:13" x14ac:dyDescent="0.2">
      <c r="A126" s="501">
        <f t="shared" si="10"/>
        <v>2054</v>
      </c>
      <c r="B126" s="520">
        <f t="shared" si="11"/>
        <v>1.0209999999999999</v>
      </c>
      <c r="C126" s="503"/>
      <c r="D126" s="503"/>
      <c r="E126" s="503"/>
      <c r="F126" s="503"/>
      <c r="G126" s="504"/>
      <c r="H126" s="171">
        <f t="shared" si="12"/>
        <v>2054</v>
      </c>
      <c r="I126" s="523">
        <f t="shared" si="14"/>
        <v>1.8672282799378435</v>
      </c>
      <c r="J126" s="523">
        <f t="shared" si="15"/>
        <v>1.9379200685908418</v>
      </c>
      <c r="K126" s="171"/>
      <c r="L126" s="171"/>
      <c r="M126" s="171"/>
    </row>
    <row r="127" spans="1:13" x14ac:dyDescent="0.2">
      <c r="A127" s="501">
        <f t="shared" si="10"/>
        <v>2055</v>
      </c>
      <c r="B127" s="520">
        <f t="shared" si="11"/>
        <v>1.0209999999999999</v>
      </c>
      <c r="C127" s="503"/>
      <c r="D127" s="503"/>
      <c r="E127" s="503"/>
      <c r="F127" s="503"/>
      <c r="G127" s="504"/>
      <c r="H127" s="171">
        <f t="shared" si="12"/>
        <v>2055</v>
      </c>
      <c r="I127" s="523">
        <f t="shared" si="14"/>
        <v>1.9064400738165379</v>
      </c>
      <c r="J127" s="523">
        <f t="shared" si="15"/>
        <v>1.9786163900312492</v>
      </c>
      <c r="K127" s="171"/>
      <c r="L127" s="171"/>
      <c r="M127" s="171"/>
    </row>
    <row r="128" spans="1:13" x14ac:dyDescent="0.2">
      <c r="A128" s="501">
        <f t="shared" si="10"/>
        <v>2056</v>
      </c>
      <c r="B128" s="520">
        <f t="shared" si="11"/>
        <v>1.0209999999999999</v>
      </c>
      <c r="C128" s="503"/>
      <c r="D128" s="503"/>
      <c r="E128" s="503"/>
      <c r="F128" s="503"/>
      <c r="G128" s="504"/>
      <c r="H128" s="171">
        <f t="shared" si="12"/>
        <v>2056</v>
      </c>
      <c r="I128" s="523">
        <f t="shared" si="14"/>
        <v>1.9464753153666849</v>
      </c>
      <c r="J128" s="523">
        <f t="shared" si="15"/>
        <v>2.0201673342219055</v>
      </c>
      <c r="K128" s="171"/>
      <c r="L128" s="171"/>
      <c r="M128" s="171"/>
    </row>
    <row r="129" spans="1:16" x14ac:dyDescent="0.2">
      <c r="A129" s="501">
        <f t="shared" si="10"/>
        <v>2057</v>
      </c>
      <c r="B129" s="520">
        <f t="shared" si="11"/>
        <v>1.0209999999999999</v>
      </c>
      <c r="C129" s="503"/>
      <c r="D129" s="503"/>
      <c r="E129" s="503"/>
      <c r="F129" s="503"/>
      <c r="G129" s="504"/>
      <c r="H129" s="171">
        <f t="shared" si="12"/>
        <v>2057</v>
      </c>
      <c r="I129" s="523">
        <f t="shared" si="14"/>
        <v>1.9873512969893852</v>
      </c>
      <c r="J129" s="523">
        <f t="shared" si="15"/>
        <v>2.0625908482405655</v>
      </c>
      <c r="K129" s="171"/>
      <c r="L129" s="171"/>
      <c r="M129" s="171"/>
    </row>
    <row r="130" spans="1:16" x14ac:dyDescent="0.2">
      <c r="A130" s="501">
        <f t="shared" si="10"/>
        <v>2058</v>
      </c>
      <c r="B130" s="520">
        <f t="shared" si="11"/>
        <v>1.0209999999999999</v>
      </c>
      <c r="C130" s="503"/>
      <c r="D130" s="503"/>
      <c r="E130" s="503"/>
      <c r="F130" s="503"/>
      <c r="G130" s="504"/>
      <c r="H130" s="171">
        <f t="shared" si="12"/>
        <v>2058</v>
      </c>
      <c r="I130" s="523">
        <f t="shared" si="14"/>
        <v>2.0290856742261623</v>
      </c>
      <c r="J130" s="523">
        <f t="shared" si="15"/>
        <v>2.1059052560536169</v>
      </c>
      <c r="K130" s="171"/>
      <c r="L130" s="171"/>
      <c r="M130" s="171"/>
      <c r="P130" s="529"/>
    </row>
    <row r="131" spans="1:16" x14ac:dyDescent="0.2">
      <c r="A131" s="501">
        <f t="shared" si="10"/>
        <v>2059</v>
      </c>
      <c r="B131" s="520">
        <f t="shared" si="11"/>
        <v>1.0209999999999999</v>
      </c>
      <c r="C131" s="503"/>
      <c r="D131" s="503"/>
      <c r="E131" s="503"/>
      <c r="F131" s="503"/>
      <c r="G131" s="504"/>
      <c r="H131" s="171">
        <f t="shared" si="12"/>
        <v>2059</v>
      </c>
      <c r="I131" s="523">
        <f t="shared" si="14"/>
        <v>2.0716964733849115</v>
      </c>
      <c r="J131" s="523">
        <f t="shared" si="15"/>
        <v>2.150129266430743</v>
      </c>
      <c r="K131" s="171"/>
      <c r="L131" s="171"/>
      <c r="M131" s="171"/>
      <c r="P131" s="529"/>
    </row>
    <row r="132" spans="1:16" x14ac:dyDescent="0.2">
      <c r="A132" s="501">
        <f t="shared" si="10"/>
        <v>2060</v>
      </c>
      <c r="B132" s="520">
        <f t="shared" si="11"/>
        <v>1.0209999999999999</v>
      </c>
      <c r="C132" s="503"/>
      <c r="D132" s="503"/>
      <c r="E132" s="503"/>
      <c r="F132" s="503"/>
      <c r="G132" s="504"/>
      <c r="H132" s="171">
        <f t="shared" si="12"/>
        <v>2060</v>
      </c>
      <c r="I132" s="523">
        <f t="shared" si="14"/>
        <v>2.1152020993259946</v>
      </c>
      <c r="J132" s="523">
        <f t="shared" si="15"/>
        <v>2.1952819810257878</v>
      </c>
      <c r="K132" s="171"/>
      <c r="L132" s="171"/>
      <c r="M132" s="171"/>
      <c r="P132" s="529"/>
    </row>
    <row r="133" spans="1:16" x14ac:dyDescent="0.2">
      <c r="A133" s="501">
        <f t="shared" si="10"/>
        <v>2061</v>
      </c>
      <c r="B133" s="520">
        <f t="shared" si="11"/>
        <v>1.0209999999999999</v>
      </c>
      <c r="C133" s="503"/>
      <c r="D133" s="503"/>
      <c r="E133" s="503"/>
      <c r="F133" s="503"/>
      <c r="G133" s="504"/>
      <c r="H133" s="171">
        <f t="shared" si="12"/>
        <v>2061</v>
      </c>
      <c r="I133" s="523">
        <f t="shared" si="14"/>
        <v>2.1596213434118403</v>
      </c>
      <c r="J133" s="523">
        <f t="shared" si="15"/>
        <v>2.2413829026273295</v>
      </c>
      <c r="K133" s="171"/>
      <c r="L133" s="171"/>
      <c r="M133" s="171"/>
      <c r="P133" s="529"/>
    </row>
    <row r="134" spans="1:16" x14ac:dyDescent="0.2">
      <c r="A134" s="501">
        <f t="shared" si="10"/>
        <v>2062</v>
      </c>
      <c r="B134" s="520">
        <f t="shared" si="11"/>
        <v>1.0209999999999999</v>
      </c>
      <c r="C134" s="503"/>
      <c r="D134" s="503"/>
      <c r="E134" s="503"/>
      <c r="F134" s="503"/>
      <c r="G134" s="504"/>
      <c r="H134" s="171">
        <f t="shared" si="12"/>
        <v>2062</v>
      </c>
      <c r="I134" s="523">
        <f t="shared" si="14"/>
        <v>2.2049733916234886</v>
      </c>
      <c r="J134" s="523">
        <f t="shared" si="15"/>
        <v>2.288451943582503</v>
      </c>
      <c r="K134" s="171"/>
      <c r="L134" s="171"/>
      <c r="M134" s="171"/>
      <c r="P134" s="529"/>
    </row>
    <row r="135" spans="1:16" x14ac:dyDescent="0.2">
      <c r="A135" s="501">
        <f t="shared" si="10"/>
        <v>2063</v>
      </c>
      <c r="B135" s="520">
        <f t="shared" si="11"/>
        <v>1.0209999999999999</v>
      </c>
      <c r="C135" s="503"/>
      <c r="D135" s="503"/>
      <c r="E135" s="503"/>
      <c r="F135" s="503"/>
      <c r="G135" s="504"/>
      <c r="H135" s="171">
        <f t="shared" si="12"/>
        <v>2063</v>
      </c>
      <c r="I135" s="523">
        <f t="shared" si="14"/>
        <v>2.2512778328475815</v>
      </c>
      <c r="J135" s="523">
        <f t="shared" si="15"/>
        <v>2.3365094343977355</v>
      </c>
      <c r="K135" s="171"/>
      <c r="L135" s="171"/>
      <c r="M135" s="171"/>
      <c r="P135" s="529"/>
    </row>
    <row r="136" spans="1:16" x14ac:dyDescent="0.2">
      <c r="A136" s="501">
        <f t="shared" si="10"/>
        <v>2064</v>
      </c>
      <c r="B136" s="520">
        <f t="shared" si="11"/>
        <v>1.0209999999999999</v>
      </c>
      <c r="C136" s="503"/>
      <c r="D136" s="503"/>
      <c r="E136" s="503"/>
      <c r="F136" s="503"/>
      <c r="G136" s="504"/>
      <c r="H136" s="171">
        <f t="shared" si="12"/>
        <v>2064</v>
      </c>
      <c r="I136" s="523">
        <f t="shared" si="14"/>
        <v>2.2985546673373807</v>
      </c>
      <c r="J136" s="523">
        <f t="shared" si="15"/>
        <v>2.3855761325200882</v>
      </c>
      <c r="K136" s="171"/>
      <c r="L136" s="171"/>
      <c r="M136" s="171"/>
      <c r="P136" s="529"/>
    </row>
    <row r="137" spans="1:16" x14ac:dyDescent="0.2">
      <c r="A137" s="501">
        <f t="shared" si="10"/>
        <v>2065</v>
      </c>
      <c r="B137" s="520">
        <f t="shared" si="11"/>
        <v>1.0209999999999999</v>
      </c>
      <c r="C137" s="503"/>
      <c r="D137" s="503"/>
      <c r="E137" s="503"/>
      <c r="F137" s="503"/>
      <c r="G137" s="504"/>
      <c r="H137" s="171">
        <f t="shared" si="12"/>
        <v>2065</v>
      </c>
      <c r="I137" s="523">
        <f t="shared" si="14"/>
        <v>2.3468243153514656</v>
      </c>
      <c r="J137" s="523">
        <f t="shared" si="15"/>
        <v>2.4356732313030096</v>
      </c>
      <c r="K137" s="171"/>
      <c r="L137" s="171"/>
      <c r="M137" s="171"/>
    </row>
    <row r="138" spans="1:16" x14ac:dyDescent="0.2">
      <c r="A138" s="501">
        <f t="shared" si="10"/>
        <v>2066</v>
      </c>
      <c r="B138" s="520">
        <f t="shared" si="11"/>
        <v>1.0209999999999999</v>
      </c>
      <c r="C138" s="503"/>
      <c r="D138" s="503"/>
      <c r="E138" s="503"/>
      <c r="F138" s="503"/>
      <c r="G138" s="504"/>
      <c r="H138" s="171">
        <f t="shared" si="12"/>
        <v>2066</v>
      </c>
      <c r="I138" s="523">
        <f t="shared" si="14"/>
        <v>2.3961076259738463</v>
      </c>
      <c r="J138" s="523">
        <f t="shared" si="15"/>
        <v>2.4868223691603726</v>
      </c>
      <c r="K138" s="171"/>
      <c r="L138" s="171"/>
      <c r="M138" s="171"/>
    </row>
    <row r="139" spans="1:16" x14ac:dyDescent="0.2">
      <c r="A139" s="501">
        <f t="shared" si="10"/>
        <v>2067</v>
      </c>
      <c r="B139" s="520">
        <f t="shared" si="11"/>
        <v>1.0209999999999999</v>
      </c>
      <c r="C139" s="503"/>
      <c r="D139" s="503"/>
      <c r="E139" s="503"/>
      <c r="F139" s="503"/>
      <c r="G139" s="504"/>
      <c r="H139" s="171">
        <f t="shared" si="12"/>
        <v>2067</v>
      </c>
      <c r="I139" s="523">
        <f t="shared" si="14"/>
        <v>2.4464258861192967</v>
      </c>
      <c r="J139" s="523">
        <f t="shared" si="15"/>
        <v>2.5390456389127407</v>
      </c>
      <c r="K139" s="171"/>
      <c r="L139" s="171"/>
      <c r="M139" s="171"/>
    </row>
    <row r="140" spans="1:16" x14ac:dyDescent="0.2">
      <c r="A140" s="501">
        <f t="shared" si="10"/>
        <v>2068</v>
      </c>
      <c r="B140" s="520">
        <f t="shared" si="11"/>
        <v>1.0209999999999999</v>
      </c>
      <c r="C140" s="503"/>
      <c r="D140" s="503"/>
      <c r="E140" s="503"/>
      <c r="F140" s="503"/>
      <c r="G140" s="504"/>
      <c r="H140" s="171">
        <f t="shared" si="12"/>
        <v>2068</v>
      </c>
      <c r="I140" s="523">
        <f t="shared" si="14"/>
        <v>2.4978008297278018</v>
      </c>
      <c r="J140" s="523">
        <f t="shared" si="15"/>
        <v>2.5923655973299082</v>
      </c>
      <c r="K140" s="171"/>
      <c r="L140" s="171"/>
      <c r="M140" s="171"/>
    </row>
    <row r="141" spans="1:16" x14ac:dyDescent="0.2">
      <c r="A141" s="501">
        <f t="shared" si="10"/>
        <v>2069</v>
      </c>
      <c r="B141" s="520">
        <f t="shared" si="11"/>
        <v>1.0209999999999999</v>
      </c>
      <c r="C141" s="503"/>
      <c r="D141" s="503"/>
      <c r="E141" s="503"/>
      <c r="F141" s="503"/>
      <c r="G141" s="504"/>
      <c r="H141" s="171">
        <f t="shared" si="12"/>
        <v>2069</v>
      </c>
      <c r="I141" s="523">
        <f t="shared" si="14"/>
        <v>2.5502546471520855</v>
      </c>
      <c r="J141" s="523">
        <f t="shared" si="15"/>
        <v>2.6468052748738358</v>
      </c>
      <c r="K141" s="171"/>
      <c r="L141" s="171"/>
      <c r="M141" s="171"/>
    </row>
    <row r="142" spans="1:16" x14ac:dyDescent="0.2">
      <c r="A142" s="501">
        <f t="shared" si="10"/>
        <v>2070</v>
      </c>
      <c r="B142" s="520">
        <f t="shared" si="11"/>
        <v>1.0209999999999999</v>
      </c>
      <c r="C142" s="503"/>
      <c r="D142" s="503"/>
      <c r="E142" s="503"/>
      <c r="F142" s="503"/>
      <c r="G142" s="504"/>
      <c r="H142" s="171">
        <f t="shared" si="12"/>
        <v>2070</v>
      </c>
      <c r="I142" s="523">
        <f t="shared" si="14"/>
        <v>2.6038099947422793</v>
      </c>
      <c r="J142" s="523">
        <f t="shared" si="15"/>
        <v>2.7023881856461864</v>
      </c>
      <c r="K142" s="171"/>
      <c r="L142" s="171"/>
      <c r="M142" s="171"/>
    </row>
    <row r="143" spans="1:16" x14ac:dyDescent="0.2">
      <c r="A143" s="501">
        <f t="shared" si="10"/>
        <v>2071</v>
      </c>
      <c r="B143" s="520">
        <f t="shared" si="11"/>
        <v>1.0209999999999999</v>
      </c>
      <c r="C143" s="503"/>
      <c r="D143" s="503"/>
      <c r="E143" s="503"/>
      <c r="F143" s="503"/>
      <c r="G143" s="504"/>
      <c r="H143" s="171">
        <f t="shared" si="12"/>
        <v>2071</v>
      </c>
      <c r="I143" s="523">
        <f>+I142*B143</f>
        <v>2.6584900046318669</v>
      </c>
      <c r="J143" s="523">
        <f t="shared" si="15"/>
        <v>2.7591383375447553</v>
      </c>
      <c r="K143" s="171"/>
      <c r="L143" s="171"/>
      <c r="M143" s="171"/>
    </row>
    <row r="144" spans="1:16" x14ac:dyDescent="0.2">
      <c r="A144" s="501">
        <f t="shared" si="10"/>
        <v>2072</v>
      </c>
      <c r="B144" s="520">
        <f t="shared" si="11"/>
        <v>1.0209999999999999</v>
      </c>
      <c r="C144" s="503"/>
      <c r="D144" s="503"/>
      <c r="E144" s="503"/>
      <c r="F144" s="503"/>
      <c r="G144" s="504"/>
      <c r="H144" s="171">
        <f t="shared" si="12"/>
        <v>2072</v>
      </c>
      <c r="I144" s="523">
        <f t="shared" ref="I144:I161" si="16">+I143*B144</f>
        <v>2.7143182947291358</v>
      </c>
      <c r="J144" s="523">
        <f t="shared" si="15"/>
        <v>2.8170802426331951</v>
      </c>
      <c r="K144" s="171"/>
      <c r="L144" s="171"/>
      <c r="M144" s="171"/>
    </row>
    <row r="145" spans="1:13" x14ac:dyDescent="0.2">
      <c r="A145" s="501">
        <f t="shared" si="10"/>
        <v>2073</v>
      </c>
      <c r="B145" s="520">
        <f t="shared" si="11"/>
        <v>1.0209999999999999</v>
      </c>
      <c r="C145" s="503"/>
      <c r="D145" s="503"/>
      <c r="E145" s="503"/>
      <c r="F145" s="503"/>
      <c r="G145" s="504"/>
      <c r="H145" s="171">
        <f t="shared" si="12"/>
        <v>2073</v>
      </c>
      <c r="I145" s="523">
        <f t="shared" si="16"/>
        <v>2.7713189789184476</v>
      </c>
      <c r="J145" s="523">
        <f t="shared" si="15"/>
        <v>2.8762389277284917</v>
      </c>
      <c r="K145" s="171"/>
      <c r="L145" s="171"/>
      <c r="M145" s="171"/>
    </row>
    <row r="146" spans="1:13" x14ac:dyDescent="0.2">
      <c r="A146" s="501">
        <f t="shared" si="10"/>
        <v>2074</v>
      </c>
      <c r="B146" s="520">
        <f t="shared" si="11"/>
        <v>1.0209999999999999</v>
      </c>
      <c r="C146" s="503"/>
      <c r="D146" s="503"/>
      <c r="E146" s="503"/>
      <c r="F146" s="503"/>
      <c r="G146" s="504"/>
      <c r="H146" s="171">
        <f t="shared" si="12"/>
        <v>2074</v>
      </c>
      <c r="I146" s="523">
        <f t="shared" si="16"/>
        <v>2.8295166774757345</v>
      </c>
      <c r="J146" s="523">
        <f t="shared" si="15"/>
        <v>2.9366399452107901</v>
      </c>
      <c r="K146" s="171"/>
      <c r="L146" s="171"/>
      <c r="M146" s="171"/>
    </row>
    <row r="147" spans="1:13" x14ac:dyDescent="0.2">
      <c r="A147" s="501">
        <f t="shared" si="10"/>
        <v>2075</v>
      </c>
      <c r="B147" s="520">
        <f t="shared" si="11"/>
        <v>1.0209999999999999</v>
      </c>
      <c r="C147" s="503"/>
      <c r="D147" s="503"/>
      <c r="E147" s="503"/>
      <c r="F147" s="503"/>
      <c r="G147" s="504"/>
      <c r="H147" s="171">
        <f t="shared" si="12"/>
        <v>2075</v>
      </c>
      <c r="I147" s="523">
        <f t="shared" si="16"/>
        <v>2.8889365277027248</v>
      </c>
      <c r="J147" s="523">
        <f t="shared" si="15"/>
        <v>2.9983093840602169</v>
      </c>
      <c r="K147" s="171"/>
      <c r="L147" s="171"/>
      <c r="M147" s="171"/>
    </row>
    <row r="148" spans="1:13" x14ac:dyDescent="0.2">
      <c r="A148" s="501">
        <f t="shared" si="10"/>
        <v>2076</v>
      </c>
      <c r="B148" s="520">
        <f t="shared" si="11"/>
        <v>1.0209999999999999</v>
      </c>
      <c r="C148" s="503"/>
      <c r="D148" s="503"/>
      <c r="E148" s="503"/>
      <c r="F148" s="503"/>
      <c r="G148" s="504"/>
      <c r="H148" s="171">
        <f t="shared" si="12"/>
        <v>2076</v>
      </c>
      <c r="I148" s="523">
        <f t="shared" si="16"/>
        <v>2.9496041947844818</v>
      </c>
      <c r="J148" s="523">
        <f t="shared" si="15"/>
        <v>3.0612738811254809</v>
      </c>
      <c r="K148" s="171"/>
      <c r="L148" s="171"/>
      <c r="M148" s="171"/>
    </row>
    <row r="149" spans="1:13" x14ac:dyDescent="0.2">
      <c r="A149" s="501">
        <f t="shared" si="10"/>
        <v>2077</v>
      </c>
      <c r="B149" s="520">
        <f t="shared" si="11"/>
        <v>1.0209999999999999</v>
      </c>
      <c r="C149" s="503"/>
      <c r="D149" s="503"/>
      <c r="E149" s="503"/>
      <c r="F149" s="503"/>
      <c r="G149" s="504"/>
      <c r="H149" s="171">
        <f t="shared" si="12"/>
        <v>2077</v>
      </c>
      <c r="I149" s="523">
        <f t="shared" si="16"/>
        <v>3.0115458828749557</v>
      </c>
      <c r="J149" s="523">
        <f t="shared" si="15"/>
        <v>3.1255606326291154</v>
      </c>
      <c r="K149" s="171"/>
      <c r="L149" s="171"/>
      <c r="M149" s="171"/>
    </row>
    <row r="150" spans="1:13" x14ac:dyDescent="0.2">
      <c r="A150" s="501">
        <f t="shared" si="10"/>
        <v>2078</v>
      </c>
      <c r="B150" s="520">
        <f t="shared" si="11"/>
        <v>1.0209999999999999</v>
      </c>
      <c r="C150" s="503"/>
      <c r="D150" s="503"/>
      <c r="E150" s="503"/>
      <c r="F150" s="503"/>
      <c r="G150" s="504"/>
      <c r="H150" s="171">
        <f t="shared" si="12"/>
        <v>2078</v>
      </c>
      <c r="I150" s="523">
        <f t="shared" si="16"/>
        <v>3.0747883464153296</v>
      </c>
      <c r="J150" s="523">
        <f t="shared" si="15"/>
        <v>3.1911974059143264</v>
      </c>
      <c r="K150" s="171"/>
      <c r="L150" s="171"/>
      <c r="M150" s="171"/>
    </row>
    <row r="151" spans="1:13" x14ac:dyDescent="0.2">
      <c r="A151" s="501">
        <f t="shared" si="10"/>
        <v>2079</v>
      </c>
      <c r="B151" s="520">
        <f t="shared" si="11"/>
        <v>1.0209999999999999</v>
      </c>
      <c r="C151" s="503"/>
      <c r="D151" s="503"/>
      <c r="E151" s="503"/>
      <c r="F151" s="503"/>
      <c r="G151" s="504"/>
      <c r="H151" s="171">
        <f t="shared" si="12"/>
        <v>2079</v>
      </c>
      <c r="I151" s="523">
        <f t="shared" si="16"/>
        <v>3.1393589016900512</v>
      </c>
      <c r="J151" s="523">
        <f t="shared" si="15"/>
        <v>3.2582125514385276</v>
      </c>
      <c r="K151" s="171"/>
      <c r="L151" s="171"/>
      <c r="M151" s="171"/>
    </row>
    <row r="152" spans="1:13" x14ac:dyDescent="0.2">
      <c r="A152" s="501">
        <f t="shared" si="10"/>
        <v>2080</v>
      </c>
      <c r="B152" s="520">
        <f t="shared" si="11"/>
        <v>1.0209999999999999</v>
      </c>
      <c r="C152" s="503"/>
      <c r="D152" s="503"/>
      <c r="E152" s="503"/>
      <c r="F152" s="503"/>
      <c r="G152" s="504"/>
      <c r="H152" s="171">
        <f t="shared" si="12"/>
        <v>2080</v>
      </c>
      <c r="I152" s="523">
        <f t="shared" si="16"/>
        <v>3.205285438625542</v>
      </c>
      <c r="J152" s="523">
        <f t="shared" si="15"/>
        <v>3.3266350150187365</v>
      </c>
      <c r="K152" s="171"/>
      <c r="L152" s="171"/>
      <c r="M152" s="171"/>
    </row>
    <row r="153" spans="1:13" x14ac:dyDescent="0.2">
      <c r="A153" s="501">
        <f t="shared" si="10"/>
        <v>2081</v>
      </c>
      <c r="B153" s="520">
        <f t="shared" si="11"/>
        <v>1.0209999999999999</v>
      </c>
      <c r="C153" s="503"/>
      <c r="D153" s="503"/>
      <c r="E153" s="503"/>
      <c r="F153" s="503"/>
      <c r="G153" s="504"/>
      <c r="H153" s="171">
        <f t="shared" si="12"/>
        <v>2081</v>
      </c>
      <c r="I153" s="523">
        <f t="shared" si="16"/>
        <v>3.2725964328366781</v>
      </c>
      <c r="J153" s="523" t="s">
        <v>415</v>
      </c>
      <c r="K153" s="171"/>
      <c r="L153" s="171"/>
      <c r="M153" s="171"/>
    </row>
    <row r="154" spans="1:13" x14ac:dyDescent="0.2">
      <c r="A154" s="501">
        <f t="shared" ref="A154:A161" si="17">+A75</f>
        <v>2082</v>
      </c>
      <c r="B154" s="520">
        <f t="shared" ref="B154:B161" si="18">B75</f>
        <v>1.0209999999999999</v>
      </c>
      <c r="C154" s="503"/>
      <c r="D154" s="503"/>
      <c r="E154" s="503"/>
      <c r="F154" s="503"/>
      <c r="G154" s="504"/>
      <c r="H154" s="171">
        <f t="shared" ref="H154:H161" si="19">+A154</f>
        <v>2082</v>
      </c>
      <c r="I154" s="523">
        <f t="shared" si="16"/>
        <v>3.3413209579262482</v>
      </c>
      <c r="J154" s="523" t="s">
        <v>415</v>
      </c>
      <c r="K154" s="171"/>
      <c r="L154" s="171"/>
      <c r="M154" s="171"/>
    </row>
    <row r="155" spans="1:13" x14ac:dyDescent="0.2">
      <c r="A155" s="501">
        <f t="shared" si="17"/>
        <v>2083</v>
      </c>
      <c r="B155" s="520">
        <f t="shared" si="18"/>
        <v>1.0209999999999999</v>
      </c>
      <c r="C155" s="503"/>
      <c r="D155" s="503"/>
      <c r="E155" s="503"/>
      <c r="F155" s="503"/>
      <c r="G155" s="504"/>
      <c r="H155" s="171">
        <f t="shared" si="19"/>
        <v>2083</v>
      </c>
      <c r="I155" s="523">
        <f t="shared" si="16"/>
        <v>3.4114886980426991</v>
      </c>
      <c r="J155" s="523" t="s">
        <v>415</v>
      </c>
      <c r="K155" s="171"/>
      <c r="L155" s="171"/>
      <c r="M155" s="171"/>
    </row>
    <row r="156" spans="1:13" x14ac:dyDescent="0.2">
      <c r="A156" s="501">
        <f t="shared" si="17"/>
        <v>2084</v>
      </c>
      <c r="B156" s="520">
        <f t="shared" si="18"/>
        <v>1.0209999999999999</v>
      </c>
      <c r="C156" s="503"/>
      <c r="D156" s="503"/>
      <c r="E156" s="503"/>
      <c r="F156" s="503"/>
      <c r="G156" s="504"/>
      <c r="H156" s="171">
        <f t="shared" si="19"/>
        <v>2084</v>
      </c>
      <c r="I156" s="523">
        <f t="shared" si="16"/>
        <v>3.4831299607015955</v>
      </c>
      <c r="J156" s="523" t="s">
        <v>415</v>
      </c>
      <c r="K156" s="171"/>
      <c r="L156" s="171"/>
      <c r="M156" s="171"/>
    </row>
    <row r="157" spans="1:13" x14ac:dyDescent="0.2">
      <c r="A157" s="501">
        <f t="shared" si="17"/>
        <v>2085</v>
      </c>
      <c r="B157" s="520">
        <f t="shared" si="18"/>
        <v>1.0209999999999999</v>
      </c>
      <c r="C157" s="503"/>
      <c r="D157" s="503"/>
      <c r="E157" s="503"/>
      <c r="F157" s="503"/>
      <c r="G157" s="504"/>
      <c r="H157" s="171">
        <f t="shared" si="19"/>
        <v>2085</v>
      </c>
      <c r="I157" s="523">
        <f t="shared" si="16"/>
        <v>3.5562756898763288</v>
      </c>
      <c r="J157" s="523" t="s">
        <v>415</v>
      </c>
      <c r="K157" s="171"/>
      <c r="L157" s="171"/>
      <c r="M157" s="171"/>
    </row>
    <row r="158" spans="1:13" x14ac:dyDescent="0.2">
      <c r="A158" s="501">
        <f t="shared" si="17"/>
        <v>2086</v>
      </c>
      <c r="B158" s="520">
        <f t="shared" si="18"/>
        <v>1.0209999999999999</v>
      </c>
      <c r="C158" s="503"/>
      <c r="D158" s="503"/>
      <c r="E158" s="503"/>
      <c r="F158" s="503"/>
      <c r="G158" s="504"/>
      <c r="H158" s="171">
        <f t="shared" si="19"/>
        <v>2086</v>
      </c>
      <c r="I158" s="523">
        <f t="shared" si="16"/>
        <v>3.6309574793637314</v>
      </c>
      <c r="J158" s="523" t="s">
        <v>415</v>
      </c>
      <c r="K158" s="171"/>
      <c r="L158" s="171"/>
      <c r="M158" s="171"/>
    </row>
    <row r="159" spans="1:13" x14ac:dyDescent="0.2">
      <c r="A159" s="501">
        <f t="shared" si="17"/>
        <v>2087</v>
      </c>
      <c r="B159" s="520">
        <f t="shared" si="18"/>
        <v>1.0209999999999999</v>
      </c>
      <c r="C159" s="503"/>
      <c r="D159" s="503"/>
      <c r="E159" s="503"/>
      <c r="F159" s="503"/>
      <c r="G159" s="504"/>
      <c r="H159" s="171">
        <f t="shared" si="19"/>
        <v>2087</v>
      </c>
      <c r="I159" s="523">
        <f t="shared" si="16"/>
        <v>3.7072075864303695</v>
      </c>
      <c r="J159" s="523" t="s">
        <v>415</v>
      </c>
      <c r="K159" s="171"/>
      <c r="L159" s="171"/>
      <c r="M159" s="171"/>
    </row>
    <row r="160" spans="1:13" x14ac:dyDescent="0.2">
      <c r="A160" s="501">
        <f t="shared" si="17"/>
        <v>2088</v>
      </c>
      <c r="B160" s="520">
        <f t="shared" si="18"/>
        <v>1.0209999999999999</v>
      </c>
      <c r="C160" s="503"/>
      <c r="D160" s="503"/>
      <c r="E160" s="503"/>
      <c r="F160" s="503"/>
      <c r="G160" s="504"/>
      <c r="H160" s="171">
        <f t="shared" si="19"/>
        <v>2088</v>
      </c>
      <c r="I160" s="523">
        <f t="shared" si="16"/>
        <v>3.7850589457454071</v>
      </c>
      <c r="J160" s="523" t="s">
        <v>415</v>
      </c>
      <c r="K160" s="171"/>
      <c r="L160" s="171"/>
      <c r="M160" s="171"/>
    </row>
    <row r="161" spans="1:23" x14ac:dyDescent="0.2">
      <c r="A161" s="501">
        <f t="shared" si="17"/>
        <v>2089</v>
      </c>
      <c r="B161" s="520">
        <f t="shared" si="18"/>
        <v>1.0209999999999999</v>
      </c>
      <c r="C161" s="503"/>
      <c r="D161" s="503"/>
      <c r="E161" s="503"/>
      <c r="F161" s="503"/>
      <c r="G161" s="504"/>
      <c r="H161" s="171">
        <f t="shared" si="19"/>
        <v>2089</v>
      </c>
      <c r="I161" s="523">
        <f t="shared" si="16"/>
        <v>3.8645451836060603</v>
      </c>
      <c r="J161" s="523" t="s">
        <v>415</v>
      </c>
      <c r="K161" s="171"/>
      <c r="L161" s="171"/>
      <c r="M161" s="171"/>
    </row>
    <row r="162" spans="1:23" ht="12" x14ac:dyDescent="0.25">
      <c r="A162" s="536"/>
      <c r="B162" s="531"/>
      <c r="C162" s="531"/>
      <c r="D162" s="531"/>
      <c r="E162" s="531"/>
      <c r="F162" s="531"/>
      <c r="G162" s="496" t="s">
        <v>91</v>
      </c>
      <c r="H162" s="504"/>
      <c r="I162" s="504"/>
      <c r="J162" s="504"/>
      <c r="K162" s="504"/>
      <c r="L162" s="532"/>
      <c r="M162" s="532"/>
    </row>
    <row r="163" spans="1:23" x14ac:dyDescent="0.2">
      <c r="A163" s="501" t="s">
        <v>377</v>
      </c>
      <c r="B163" s="502">
        <f>B5</f>
        <v>45348</v>
      </c>
      <c r="C163" s="503"/>
      <c r="D163" s="503"/>
      <c r="E163" s="503"/>
      <c r="F163" s="503"/>
      <c r="G163" s="504"/>
      <c r="H163" s="505"/>
      <c r="I163" s="505"/>
      <c r="J163" s="505"/>
      <c r="K163" s="505"/>
      <c r="L163" s="505"/>
      <c r="M163" s="505"/>
      <c r="N163" s="533"/>
      <c r="O163" s="533"/>
      <c r="P163" s="533"/>
      <c r="Q163" s="533"/>
      <c r="R163" s="534"/>
      <c r="S163" s="533"/>
      <c r="T163" s="533"/>
      <c r="U163" s="533"/>
      <c r="V163" s="533"/>
      <c r="W163" s="535"/>
    </row>
    <row r="164" spans="1:23" ht="12" thickBot="1" x14ac:dyDescent="0.25">
      <c r="A164" s="503"/>
      <c r="B164" s="503"/>
      <c r="C164" s="503"/>
      <c r="D164" s="503"/>
      <c r="E164" s="503"/>
      <c r="F164" s="503"/>
      <c r="G164" s="504"/>
      <c r="H164" s="505" t="s">
        <v>378</v>
      </c>
      <c r="I164" s="505"/>
      <c r="J164" s="505"/>
      <c r="K164" s="505"/>
      <c r="L164" s="505"/>
      <c r="M164" s="505"/>
    </row>
    <row r="165" spans="1:23" ht="13.2" thickBot="1" x14ac:dyDescent="0.3">
      <c r="A165" s="508"/>
      <c r="B165" s="508" t="s">
        <v>380</v>
      </c>
      <c r="C165" s="508" t="s">
        <v>296</v>
      </c>
      <c r="D165" s="508" t="s">
        <v>296</v>
      </c>
      <c r="E165" s="508" t="s">
        <v>296</v>
      </c>
      <c r="F165" s="508" t="s">
        <v>296</v>
      </c>
      <c r="G165" s="504"/>
      <c r="H165" s="509">
        <f>IF(K173="&lt;Base Year",H173,IF(K174="&lt;Base Year",H174,IF(K175="&lt;Base Year",H175,IF(K176="&lt;Base Year",H176,"None"))))</f>
        <v>2024</v>
      </c>
      <c r="I165" s="510" t="s">
        <v>381</v>
      </c>
      <c r="J165" s="511"/>
      <c r="K165" s="171"/>
      <c r="L165" s="171"/>
      <c r="M165" s="171"/>
    </row>
    <row r="166" spans="1:23" x14ac:dyDescent="0.2">
      <c r="A166" s="515" t="s">
        <v>383</v>
      </c>
      <c r="B166" s="515" t="s">
        <v>384</v>
      </c>
      <c r="C166" s="515">
        <f>+C8</f>
        <v>2022</v>
      </c>
      <c r="D166" s="515">
        <f t="shared" ref="D166:F166" si="20">+D8</f>
        <v>2023</v>
      </c>
      <c r="E166" s="515">
        <f t="shared" si="20"/>
        <v>2024</v>
      </c>
      <c r="F166" s="515">
        <f t="shared" si="20"/>
        <v>2025</v>
      </c>
      <c r="G166" s="504"/>
      <c r="H166" s="509">
        <f>IF(K173="&lt;Base Year",1,IF(K174="&lt;Base Year",2,IF(K175="&lt;Base Year",3,IF(K176="&lt;Base Year",4,5))))</f>
        <v>3</v>
      </c>
      <c r="I166" s="516" t="s">
        <v>1072</v>
      </c>
      <c r="J166" s="516" t="s">
        <v>1071</v>
      </c>
      <c r="K166" s="171"/>
      <c r="L166" s="171"/>
      <c r="M166" s="171"/>
    </row>
    <row r="167" spans="1:23" ht="12" thickBot="1" x14ac:dyDescent="0.25">
      <c r="A167" s="518" t="s">
        <v>386</v>
      </c>
      <c r="B167" s="518" t="s">
        <v>387</v>
      </c>
      <c r="C167" s="518"/>
      <c r="D167" s="518"/>
      <c r="E167" s="518"/>
      <c r="F167" s="518"/>
      <c r="G167" s="504"/>
      <c r="H167" s="171">
        <v>0</v>
      </c>
      <c r="I167" s="519" t="s">
        <v>123</v>
      </c>
      <c r="J167" s="519" t="s">
        <v>123</v>
      </c>
      <c r="K167" s="171"/>
      <c r="L167" s="171"/>
      <c r="M167" s="171"/>
    </row>
    <row r="168" spans="1:23" x14ac:dyDescent="0.2">
      <c r="A168" s="501">
        <f>+A10</f>
        <v>2017</v>
      </c>
      <c r="B168" s="520">
        <f>B10</f>
        <v>1.0169999999999999</v>
      </c>
      <c r="C168" s="521">
        <v>0.89424829238632564</v>
      </c>
      <c r="D168" s="521">
        <v>0.85492188564658278</v>
      </c>
      <c r="E168" s="521">
        <v>0.83244584775713992</v>
      </c>
      <c r="F168" s="521">
        <v>0.81452626982107634</v>
      </c>
      <c r="G168" s="522" t="s">
        <v>389</v>
      </c>
      <c r="H168" s="171">
        <f>+A168</f>
        <v>2017</v>
      </c>
      <c r="I168" s="523">
        <f>+I169/B169</f>
        <v>0.80062099798634889</v>
      </c>
      <c r="J168" s="524">
        <f>CHOOSE(H$166,C168,D168,E168,F168)</f>
        <v>0.83244584775713992</v>
      </c>
      <c r="K168" s="171"/>
      <c r="L168" s="171"/>
      <c r="M168" s="171"/>
    </row>
    <row r="169" spans="1:23" x14ac:dyDescent="0.2">
      <c r="A169" s="501">
        <f t="shared" ref="A169:A232" si="21">+A11</f>
        <v>2018</v>
      </c>
      <c r="B169" s="520">
        <f t="shared" ref="B169:B232" si="22">B11</f>
        <v>1.022</v>
      </c>
      <c r="C169" s="521">
        <v>0.91404640715872298</v>
      </c>
      <c r="D169" s="521">
        <v>0.87384933762784212</v>
      </c>
      <c r="E169" s="521">
        <v>0.85087569389273821</v>
      </c>
      <c r="F169" s="521">
        <v>0.83255938737058544</v>
      </c>
      <c r="G169" s="525" t="s">
        <v>391</v>
      </c>
      <c r="H169" s="171">
        <f t="shared" ref="H169:H232" si="23">+A169</f>
        <v>2018</v>
      </c>
      <c r="I169" s="523">
        <f>+I170/B170</f>
        <v>0.81823465994204858</v>
      </c>
      <c r="J169" s="524">
        <f>CHOOSE(H$166,C169,D169,E169,F169)</f>
        <v>0.85087569389273821</v>
      </c>
      <c r="K169" s="171"/>
      <c r="L169" s="171"/>
      <c r="M169" s="171"/>
    </row>
    <row r="170" spans="1:23" x14ac:dyDescent="0.2">
      <c r="A170" s="501">
        <f t="shared" si="21"/>
        <v>2019</v>
      </c>
      <c r="B170" s="520">
        <f t="shared" si="22"/>
        <v>1.0189999999999999</v>
      </c>
      <c r="C170" s="521">
        <v>0.94198093065257682</v>
      </c>
      <c r="D170" s="521">
        <v>0.90055538303305616</v>
      </c>
      <c r="E170" s="521">
        <v>0.87687963294357951</v>
      </c>
      <c r="F170" s="521">
        <v>0.85800355473931467</v>
      </c>
      <c r="G170" s="525" t="s">
        <v>393</v>
      </c>
      <c r="H170" s="171">
        <f t="shared" si="23"/>
        <v>2019</v>
      </c>
      <c r="I170" s="523">
        <f>+I171/B171</f>
        <v>0.83378111848094738</v>
      </c>
      <c r="J170" s="524">
        <f>CHOOSE(H$166,C170,D170,E170,F170)</f>
        <v>0.87687963294357951</v>
      </c>
      <c r="K170" s="171"/>
      <c r="L170" s="171"/>
      <c r="M170" s="171"/>
    </row>
    <row r="171" spans="1:23" x14ac:dyDescent="0.2">
      <c r="A171" s="501">
        <f t="shared" si="21"/>
        <v>2020</v>
      </c>
      <c r="B171" s="520">
        <f t="shared" si="22"/>
        <v>1.0129999999999999</v>
      </c>
      <c r="C171" s="521">
        <v>0.98226611439483502</v>
      </c>
      <c r="D171" s="521">
        <v>0.93906894301609456</v>
      </c>
      <c r="E171" s="521">
        <v>0.91438066505948845</v>
      </c>
      <c r="F171" s="521">
        <v>0.89469732393296331</v>
      </c>
      <c r="G171" s="522" t="s">
        <v>395</v>
      </c>
      <c r="H171" s="171">
        <f t="shared" si="23"/>
        <v>2020</v>
      </c>
      <c r="I171" s="523">
        <f>+I172/B172</f>
        <v>0.84462027302119957</v>
      </c>
      <c r="J171" s="524">
        <f>CHOOSE(H$166,C171,D171,E171,F171)</f>
        <v>0.91438066505948845</v>
      </c>
      <c r="K171" s="171"/>
      <c r="L171" s="171"/>
      <c r="M171" s="171"/>
    </row>
    <row r="172" spans="1:23" x14ac:dyDescent="0.2">
      <c r="A172" s="501">
        <f t="shared" si="21"/>
        <v>2021</v>
      </c>
      <c r="B172" s="520">
        <f t="shared" si="22"/>
        <v>1.0309999999999999</v>
      </c>
      <c r="C172" s="521">
        <v>1.035715774296154</v>
      </c>
      <c r="D172" s="521">
        <v>0.99016804426018545</v>
      </c>
      <c r="E172" s="521">
        <v>0.96413636247340351</v>
      </c>
      <c r="F172" s="521">
        <v>0.9433819593673225</v>
      </c>
      <c r="G172" s="525" t="s">
        <v>397</v>
      </c>
      <c r="H172" s="171">
        <f t="shared" si="23"/>
        <v>2021</v>
      </c>
      <c r="I172" s="523">
        <f>+I173/B173</f>
        <v>0.87080350148485675</v>
      </c>
      <c r="J172" s="524">
        <f>CHOOSE(H$166,C172,D172,E172,F172)</f>
        <v>0.96413636247340351</v>
      </c>
      <c r="K172" s="171"/>
      <c r="L172" s="171"/>
      <c r="M172" s="171"/>
    </row>
    <row r="173" spans="1:23" x14ac:dyDescent="0.2">
      <c r="A173" s="501">
        <f t="shared" si="21"/>
        <v>2022</v>
      </c>
      <c r="B173" s="520">
        <f t="shared" si="22"/>
        <v>1.069</v>
      </c>
      <c r="C173" s="521">
        <v>1.0715536226236932</v>
      </c>
      <c r="D173" s="521">
        <v>1.0244298495446398</v>
      </c>
      <c r="E173" s="521">
        <v>0.99749741922554991</v>
      </c>
      <c r="F173" s="521">
        <v>0.97602487204065558</v>
      </c>
      <c r="G173" s="526" t="s">
        <v>399</v>
      </c>
      <c r="H173" s="171">
        <f t="shared" si="23"/>
        <v>2022</v>
      </c>
      <c r="I173" s="527">
        <f>IF(Sheet1!$E$82&lt;=A173,1,I174/B174)</f>
        <v>0.93088894308731185</v>
      </c>
      <c r="J173" s="528">
        <f>IF(I173&gt;=1,1/((C$661/I173)+(D$661/I174)+(E$661/I175)+(F$661/I176)+(G$661/I177)+(H$661/I178)+(I$661/I179)+(J$661/I180)+(K$661/I181)+(L$661/I182)),CHOOSE(H$166,C173,D173,E173,F173))</f>
        <v>0.99749741922554991</v>
      </c>
      <c r="K173" s="171" t="str">
        <f>IF(I173=1,"&lt;Base Year","")</f>
        <v/>
      </c>
      <c r="L173" s="171"/>
      <c r="M173" s="171"/>
    </row>
    <row r="174" spans="1:23" x14ac:dyDescent="0.2">
      <c r="A174" s="501">
        <f t="shared" si="21"/>
        <v>2023</v>
      </c>
      <c r="B174" s="520">
        <f t="shared" si="22"/>
        <v>1.046</v>
      </c>
      <c r="C174" s="521">
        <v>1.0982746363224805</v>
      </c>
      <c r="D174" s="521">
        <v>1.0499757517423332</v>
      </c>
      <c r="E174" s="521">
        <v>1.0223717154258356</v>
      </c>
      <c r="F174" s="521">
        <v>1.0003637137239096</v>
      </c>
      <c r="G174" s="526" t="s">
        <v>401</v>
      </c>
      <c r="H174" s="171">
        <f t="shared" si="23"/>
        <v>2023</v>
      </c>
      <c r="I174" s="527">
        <f>IF(Sheet1!$E$82&lt;A174,I173*B174,IF(Sheet1!$E$82=A174,1,I175/B175))</f>
        <v>0.97370983446932824</v>
      </c>
      <c r="J174" s="528">
        <f t="shared" ref="J174:J231" si="24">IF(I174&gt;=1,1/((C$661/I174)+(D$661/I175)+(E$661/I176)+(F$661/I177)+(G$661/I178)+(H$661/I179)+(I$661/I180)+(J$661/I181)+(K$661/I182)+(L$661/I183)),CHOOSE(H$166,C174,D174,E174,F174))</f>
        <v>1.0223717154258356</v>
      </c>
      <c r="K174" s="171" t="str">
        <f>IF(I174=1,"&lt;Base Year","")</f>
        <v/>
      </c>
      <c r="L174" s="171"/>
      <c r="M174" s="171"/>
    </row>
    <row r="175" spans="1:23" x14ac:dyDescent="0.2">
      <c r="A175" s="501">
        <f t="shared" si="21"/>
        <v>2024</v>
      </c>
      <c r="B175" s="520">
        <f t="shared" si="22"/>
        <v>1.0269999999999999</v>
      </c>
      <c r="C175" s="521">
        <v>1.1221330730574011</v>
      </c>
      <c r="D175" s="521">
        <v>1.0727849646820276</v>
      </c>
      <c r="E175" s="521">
        <v>1.0445812703817212</v>
      </c>
      <c r="F175" s="521">
        <v>1.0220951764987487</v>
      </c>
      <c r="G175" s="526" t="s">
        <v>403</v>
      </c>
      <c r="H175" s="171">
        <f t="shared" si="23"/>
        <v>2024</v>
      </c>
      <c r="I175" s="527">
        <f>IF(Sheet1!$E$82&lt;A175,I174*B175,IF(Sheet1!$E$82=A175,1,I176/B176))</f>
        <v>1</v>
      </c>
      <c r="J175" s="528">
        <f t="shared" si="24"/>
        <v>1.0445812703817217</v>
      </c>
      <c r="K175" s="171" t="str">
        <f>IF(I175=1,"&lt;Base Year","")</f>
        <v>&lt;Base Year</v>
      </c>
      <c r="L175" s="171"/>
      <c r="M175" s="171"/>
    </row>
    <row r="176" spans="1:23" x14ac:dyDescent="0.2">
      <c r="A176" s="501">
        <f t="shared" si="21"/>
        <v>2025</v>
      </c>
      <c r="B176" s="520">
        <f t="shared" si="22"/>
        <v>1.022</v>
      </c>
      <c r="C176" s="521">
        <v>1.1457681326365117</v>
      </c>
      <c r="D176" s="521">
        <v>1.0953806239354795</v>
      </c>
      <c r="E176" s="521">
        <v>1.0665828860131255</v>
      </c>
      <c r="F176" s="521">
        <v>1.0436231761380874</v>
      </c>
      <c r="G176" s="526" t="s">
        <v>405</v>
      </c>
      <c r="H176" s="171">
        <f t="shared" si="23"/>
        <v>2025</v>
      </c>
      <c r="I176" s="527">
        <f>IF(Sheet1!$E$82&lt;A176,I175*B176,IF(Sheet1!$E$82=A176,1,1))</f>
        <v>1.022</v>
      </c>
      <c r="J176" s="528">
        <f t="shared" si="24"/>
        <v>1.0665828860131252</v>
      </c>
      <c r="K176" s="171" t="str">
        <f>IF(I176=1,"&lt;Base Year","")</f>
        <v/>
      </c>
      <c r="L176" s="171"/>
      <c r="M176" s="171"/>
    </row>
    <row r="177" spans="1:13" x14ac:dyDescent="0.2">
      <c r="A177" s="501">
        <f t="shared" si="21"/>
        <v>2026</v>
      </c>
      <c r="B177" s="520">
        <f t="shared" si="22"/>
        <v>1.0209999999999999</v>
      </c>
      <c r="C177" s="503"/>
      <c r="D177" s="503"/>
      <c r="E177" s="503"/>
      <c r="F177" s="503"/>
      <c r="G177" s="504"/>
      <c r="H177" s="171">
        <f t="shared" si="23"/>
        <v>2026</v>
      </c>
      <c r="I177" s="523">
        <f t="shared" ref="I177:I240" si="25">+I176*B177</f>
        <v>1.0434619999999999</v>
      </c>
      <c r="J177" s="523">
        <f t="shared" si="24"/>
        <v>1.0889811266194012</v>
      </c>
      <c r="K177" s="171"/>
      <c r="L177" s="171"/>
      <c r="M177" s="171"/>
    </row>
    <row r="178" spans="1:13" x14ac:dyDescent="0.2">
      <c r="A178" s="501">
        <f t="shared" si="21"/>
        <v>2027</v>
      </c>
      <c r="B178" s="520">
        <f t="shared" si="22"/>
        <v>1.0209999999999999</v>
      </c>
      <c r="C178" s="503"/>
      <c r="D178" s="503"/>
      <c r="E178" s="503"/>
      <c r="F178" s="503"/>
      <c r="G178" s="504"/>
      <c r="H178" s="171">
        <f t="shared" si="23"/>
        <v>2027</v>
      </c>
      <c r="I178" s="523">
        <f t="shared" si="25"/>
        <v>1.0653747019999997</v>
      </c>
      <c r="J178" s="523">
        <f t="shared" si="24"/>
        <v>1.1118497302784083</v>
      </c>
      <c r="K178" s="171"/>
      <c r="L178" s="171"/>
      <c r="M178" s="171"/>
    </row>
    <row r="179" spans="1:13" x14ac:dyDescent="0.2">
      <c r="A179" s="501">
        <f t="shared" si="21"/>
        <v>2028</v>
      </c>
      <c r="B179" s="520">
        <f t="shared" si="22"/>
        <v>1.0209999999999999</v>
      </c>
      <c r="C179" s="503"/>
      <c r="D179" s="503"/>
      <c r="E179" s="503"/>
      <c r="F179" s="503"/>
      <c r="G179" s="504"/>
      <c r="H179" s="171">
        <f t="shared" si="23"/>
        <v>2028</v>
      </c>
      <c r="I179" s="523">
        <f t="shared" si="25"/>
        <v>1.0877475707419997</v>
      </c>
      <c r="J179" s="523">
        <f t="shared" si="24"/>
        <v>1.135198574614255</v>
      </c>
      <c r="K179" s="171"/>
      <c r="L179" s="171"/>
      <c r="M179" s="171"/>
    </row>
    <row r="180" spans="1:13" x14ac:dyDescent="0.2">
      <c r="A180" s="501">
        <f t="shared" si="21"/>
        <v>2029</v>
      </c>
      <c r="B180" s="520">
        <f t="shared" si="22"/>
        <v>1.0209999999999999</v>
      </c>
      <c r="C180" s="503"/>
      <c r="D180" s="503"/>
      <c r="E180" s="503"/>
      <c r="F180" s="503"/>
      <c r="G180" s="504"/>
      <c r="H180" s="171">
        <f t="shared" si="23"/>
        <v>2029</v>
      </c>
      <c r="I180" s="523">
        <f t="shared" si="25"/>
        <v>1.1105902697275816</v>
      </c>
      <c r="J180" s="523">
        <f t="shared" si="24"/>
        <v>1.1590377446811539</v>
      </c>
      <c r="K180" s="171"/>
      <c r="L180" s="171"/>
      <c r="M180" s="171"/>
    </row>
    <row r="181" spans="1:13" x14ac:dyDescent="0.2">
      <c r="A181" s="501">
        <f t="shared" si="21"/>
        <v>2030</v>
      </c>
      <c r="B181" s="520">
        <f t="shared" si="22"/>
        <v>1.0209999999999999</v>
      </c>
      <c r="C181" s="503"/>
      <c r="D181" s="503"/>
      <c r="E181" s="503"/>
      <c r="F181" s="503"/>
      <c r="G181" s="504"/>
      <c r="H181" s="171">
        <f t="shared" si="23"/>
        <v>2030</v>
      </c>
      <c r="I181" s="523">
        <f t="shared" si="25"/>
        <v>1.1339126653918608</v>
      </c>
      <c r="J181" s="523">
        <f t="shared" si="24"/>
        <v>1.1833775373194579</v>
      </c>
      <c r="K181" s="171"/>
      <c r="L181" s="171"/>
      <c r="M181" s="171"/>
    </row>
    <row r="182" spans="1:13" x14ac:dyDescent="0.2">
      <c r="A182" s="501">
        <f t="shared" si="21"/>
        <v>2031</v>
      </c>
      <c r="B182" s="520">
        <f t="shared" si="22"/>
        <v>1.0209999999999999</v>
      </c>
      <c r="C182" s="503"/>
      <c r="D182" s="503"/>
      <c r="E182" s="503"/>
      <c r="F182" s="503"/>
      <c r="G182" s="504"/>
      <c r="H182" s="171">
        <f t="shared" si="23"/>
        <v>2031</v>
      </c>
      <c r="I182" s="523">
        <f t="shared" si="25"/>
        <v>1.1577248313650896</v>
      </c>
      <c r="J182" s="523">
        <f t="shared" si="24"/>
        <v>1.2082284656031665</v>
      </c>
      <c r="K182" s="171"/>
      <c r="L182" s="171"/>
      <c r="M182" s="171"/>
    </row>
    <row r="183" spans="1:13" x14ac:dyDescent="0.2">
      <c r="A183" s="501">
        <f t="shared" si="21"/>
        <v>2032</v>
      </c>
      <c r="B183" s="520">
        <f t="shared" si="22"/>
        <v>1.0209999999999999</v>
      </c>
      <c r="C183" s="503"/>
      <c r="D183" s="503"/>
      <c r="E183" s="503"/>
      <c r="F183" s="503"/>
      <c r="G183" s="504"/>
      <c r="H183" s="171">
        <f t="shared" si="23"/>
        <v>2032</v>
      </c>
      <c r="I183" s="523">
        <f t="shared" si="25"/>
        <v>1.1820370528237565</v>
      </c>
      <c r="J183" s="523">
        <f t="shared" si="24"/>
        <v>1.2336012633808331</v>
      </c>
      <c r="K183" s="171"/>
      <c r="L183" s="171"/>
      <c r="M183" s="171"/>
    </row>
    <row r="184" spans="1:13" x14ac:dyDescent="0.2">
      <c r="A184" s="501">
        <f t="shared" si="21"/>
        <v>2033</v>
      </c>
      <c r="B184" s="520">
        <f t="shared" si="22"/>
        <v>1.0209999999999999</v>
      </c>
      <c r="C184" s="503"/>
      <c r="D184" s="503"/>
      <c r="E184" s="503"/>
      <c r="F184" s="503"/>
      <c r="G184" s="504"/>
      <c r="H184" s="171">
        <f t="shared" si="23"/>
        <v>2033</v>
      </c>
      <c r="I184" s="523">
        <f t="shared" si="25"/>
        <v>1.2068598309330552</v>
      </c>
      <c r="J184" s="523">
        <f t="shared" si="24"/>
        <v>1.2595068899118302</v>
      </c>
      <c r="K184" s="171"/>
      <c r="L184" s="171"/>
      <c r="M184" s="171"/>
    </row>
    <row r="185" spans="1:13" x14ac:dyDescent="0.2">
      <c r="A185" s="501">
        <f t="shared" si="21"/>
        <v>2034</v>
      </c>
      <c r="B185" s="520">
        <f t="shared" si="22"/>
        <v>1.0209999999999999</v>
      </c>
      <c r="C185" s="503"/>
      <c r="D185" s="503"/>
      <c r="E185" s="503"/>
      <c r="F185" s="503"/>
      <c r="G185" s="504"/>
      <c r="H185" s="171">
        <f t="shared" si="23"/>
        <v>2034</v>
      </c>
      <c r="I185" s="523">
        <f t="shared" si="25"/>
        <v>1.2322038873826493</v>
      </c>
      <c r="J185" s="523">
        <f t="shared" si="24"/>
        <v>1.2859565345999786</v>
      </c>
      <c r="K185" s="171"/>
      <c r="L185" s="171"/>
      <c r="M185" s="171"/>
    </row>
    <row r="186" spans="1:13" x14ac:dyDescent="0.2">
      <c r="A186" s="501">
        <f t="shared" si="21"/>
        <v>2035</v>
      </c>
      <c r="B186" s="520">
        <f t="shared" si="22"/>
        <v>1.0209999999999999</v>
      </c>
      <c r="C186" s="503"/>
      <c r="D186" s="503"/>
      <c r="E186" s="503"/>
      <c r="F186" s="503"/>
      <c r="G186" s="504"/>
      <c r="H186" s="171">
        <f t="shared" si="23"/>
        <v>2035</v>
      </c>
      <c r="I186" s="523">
        <f t="shared" si="25"/>
        <v>1.2580801690176848</v>
      </c>
      <c r="J186" s="523">
        <f t="shared" si="24"/>
        <v>1.3129616218265783</v>
      </c>
      <c r="K186" s="171"/>
      <c r="L186" s="171"/>
      <c r="M186" s="171"/>
    </row>
    <row r="187" spans="1:13" x14ac:dyDescent="0.2">
      <c r="A187" s="501">
        <f t="shared" si="21"/>
        <v>2036</v>
      </c>
      <c r="B187" s="520">
        <f t="shared" si="22"/>
        <v>1.0209999999999999</v>
      </c>
      <c r="C187" s="503"/>
      <c r="D187" s="503"/>
      <c r="E187" s="503"/>
      <c r="F187" s="503"/>
      <c r="G187" s="504"/>
      <c r="H187" s="171">
        <f t="shared" si="23"/>
        <v>2036</v>
      </c>
      <c r="I187" s="523">
        <f t="shared" si="25"/>
        <v>1.2844998525670561</v>
      </c>
      <c r="J187" s="523">
        <f t="shared" si="24"/>
        <v>1.3405338158849363</v>
      </c>
      <c r="K187" s="171"/>
      <c r="L187" s="171"/>
      <c r="M187" s="171"/>
    </row>
    <row r="188" spans="1:13" x14ac:dyDescent="0.2">
      <c r="A188" s="501">
        <f t="shared" si="21"/>
        <v>2037</v>
      </c>
      <c r="B188" s="520">
        <f t="shared" si="22"/>
        <v>1.0209999999999999</v>
      </c>
      <c r="C188" s="503"/>
      <c r="D188" s="503"/>
      <c r="E188" s="503"/>
      <c r="F188" s="503"/>
      <c r="G188" s="504"/>
      <c r="H188" s="171">
        <f t="shared" si="23"/>
        <v>2037</v>
      </c>
      <c r="I188" s="523">
        <f t="shared" si="25"/>
        <v>1.3114743494709642</v>
      </c>
      <c r="J188" s="523">
        <f t="shared" si="24"/>
        <v>1.3686850260185199</v>
      </c>
      <c r="K188" s="171"/>
      <c r="L188" s="171"/>
      <c r="M188" s="171"/>
    </row>
    <row r="189" spans="1:13" x14ac:dyDescent="0.2">
      <c r="A189" s="501">
        <f t="shared" si="21"/>
        <v>2038</v>
      </c>
      <c r="B189" s="520">
        <f t="shared" si="22"/>
        <v>1.0209999999999999</v>
      </c>
      <c r="C189" s="503"/>
      <c r="D189" s="503"/>
      <c r="E189" s="503"/>
      <c r="F189" s="503"/>
      <c r="G189" s="504"/>
      <c r="H189" s="171">
        <f t="shared" si="23"/>
        <v>2038</v>
      </c>
      <c r="I189" s="523">
        <f t="shared" si="25"/>
        <v>1.3390153108098544</v>
      </c>
      <c r="J189" s="523">
        <f t="shared" si="24"/>
        <v>1.397427411564909</v>
      </c>
      <c r="K189" s="171"/>
      <c r="L189" s="171"/>
      <c r="M189" s="171"/>
    </row>
    <row r="190" spans="1:13" x14ac:dyDescent="0.2">
      <c r="A190" s="501">
        <f t="shared" si="21"/>
        <v>2039</v>
      </c>
      <c r="B190" s="520">
        <f t="shared" si="22"/>
        <v>1.0209999999999999</v>
      </c>
      <c r="C190" s="503"/>
      <c r="D190" s="503"/>
      <c r="E190" s="503"/>
      <c r="F190" s="503"/>
      <c r="G190" s="504"/>
      <c r="H190" s="171">
        <f t="shared" si="23"/>
        <v>2039</v>
      </c>
      <c r="I190" s="523">
        <f t="shared" si="25"/>
        <v>1.3671346323368612</v>
      </c>
      <c r="J190" s="523">
        <f t="shared" si="24"/>
        <v>1.4267733872077715</v>
      </c>
      <c r="K190" s="171"/>
      <c r="L190" s="171"/>
      <c r="M190" s="171"/>
    </row>
    <row r="191" spans="1:13" x14ac:dyDescent="0.2">
      <c r="A191" s="501">
        <f t="shared" si="21"/>
        <v>2040</v>
      </c>
      <c r="B191" s="520">
        <f t="shared" si="22"/>
        <v>1.0209999999999999</v>
      </c>
      <c r="C191" s="503"/>
      <c r="D191" s="503"/>
      <c r="E191" s="503"/>
      <c r="F191" s="503"/>
      <c r="G191" s="504"/>
      <c r="H191" s="171">
        <f t="shared" si="23"/>
        <v>2040</v>
      </c>
      <c r="I191" s="523">
        <f t="shared" si="25"/>
        <v>1.3958444596159352</v>
      </c>
      <c r="J191" s="523">
        <f t="shared" si="24"/>
        <v>1.4567356283391348</v>
      </c>
      <c r="K191" s="171"/>
      <c r="L191" s="171"/>
      <c r="M191" s="171"/>
    </row>
    <row r="192" spans="1:13" x14ac:dyDescent="0.2">
      <c r="A192" s="501">
        <f t="shared" si="21"/>
        <v>2041</v>
      </c>
      <c r="B192" s="520">
        <f t="shared" si="22"/>
        <v>1.0209999999999999</v>
      </c>
      <c r="C192" s="503"/>
      <c r="D192" s="503"/>
      <c r="E192" s="503"/>
      <c r="F192" s="503"/>
      <c r="G192" s="504"/>
      <c r="H192" s="171">
        <f t="shared" si="23"/>
        <v>2041</v>
      </c>
      <c r="I192" s="523">
        <f t="shared" si="25"/>
        <v>1.4251571932678697</v>
      </c>
      <c r="J192" s="523">
        <f t="shared" si="24"/>
        <v>1.4873270765342568</v>
      </c>
      <c r="K192" s="171"/>
      <c r="L192" s="171"/>
      <c r="M192" s="171"/>
    </row>
    <row r="193" spans="1:13" x14ac:dyDescent="0.2">
      <c r="A193" s="501">
        <f t="shared" si="21"/>
        <v>2042</v>
      </c>
      <c r="B193" s="520">
        <f t="shared" si="22"/>
        <v>1.0209999999999999</v>
      </c>
      <c r="C193" s="503"/>
      <c r="D193" s="503"/>
      <c r="E193" s="503"/>
      <c r="F193" s="503"/>
      <c r="G193" s="504"/>
      <c r="H193" s="171">
        <f t="shared" si="23"/>
        <v>2042</v>
      </c>
      <c r="I193" s="523">
        <f t="shared" si="25"/>
        <v>1.4550854943264948</v>
      </c>
      <c r="J193" s="523">
        <f t="shared" si="24"/>
        <v>1.5185609451414757</v>
      </c>
      <c r="K193" s="171"/>
      <c r="L193" s="171"/>
      <c r="M193" s="171"/>
    </row>
    <row r="194" spans="1:13" x14ac:dyDescent="0.2">
      <c r="A194" s="501">
        <f t="shared" si="21"/>
        <v>2043</v>
      </c>
      <c r="B194" s="520">
        <f t="shared" si="22"/>
        <v>1.0209999999999999</v>
      </c>
      <c r="C194" s="503"/>
      <c r="D194" s="503"/>
      <c r="E194" s="503"/>
      <c r="F194" s="503"/>
      <c r="G194" s="504"/>
      <c r="H194" s="171">
        <f t="shared" si="23"/>
        <v>2043</v>
      </c>
      <c r="I194" s="523">
        <f t="shared" si="25"/>
        <v>1.4856422897073511</v>
      </c>
      <c r="J194" s="523">
        <f t="shared" si="24"/>
        <v>1.5504507249894468</v>
      </c>
      <c r="K194" s="171"/>
      <c r="L194" s="171"/>
      <c r="M194" s="171"/>
    </row>
    <row r="195" spans="1:13" x14ac:dyDescent="0.2">
      <c r="A195" s="501">
        <f t="shared" si="21"/>
        <v>2044</v>
      </c>
      <c r="B195" s="520">
        <f t="shared" si="22"/>
        <v>1.0209999999999999</v>
      </c>
      <c r="C195" s="503"/>
      <c r="D195" s="503"/>
      <c r="E195" s="503"/>
      <c r="F195" s="503"/>
      <c r="G195" s="504"/>
      <c r="H195" s="171">
        <f t="shared" si="23"/>
        <v>2044</v>
      </c>
      <c r="I195" s="523">
        <f t="shared" si="25"/>
        <v>1.5168407777912054</v>
      </c>
      <c r="J195" s="523">
        <f t="shared" si="24"/>
        <v>1.5830101902142253</v>
      </c>
      <c r="K195" s="171"/>
      <c r="L195" s="171"/>
      <c r="M195" s="171"/>
    </row>
    <row r="196" spans="1:13" x14ac:dyDescent="0.2">
      <c r="A196" s="501">
        <f t="shared" si="21"/>
        <v>2045</v>
      </c>
      <c r="B196" s="520">
        <f t="shared" si="22"/>
        <v>1.0209999999999999</v>
      </c>
      <c r="C196" s="503"/>
      <c r="D196" s="503"/>
      <c r="E196" s="503"/>
      <c r="F196" s="503"/>
      <c r="G196" s="504"/>
      <c r="H196" s="171">
        <f t="shared" si="23"/>
        <v>2045</v>
      </c>
      <c r="I196" s="523">
        <f t="shared" si="25"/>
        <v>1.5486944341248206</v>
      </c>
      <c r="J196" s="523">
        <f t="shared" si="24"/>
        <v>1.6162534042087233</v>
      </c>
      <c r="K196" s="171"/>
      <c r="L196" s="171"/>
      <c r="M196" s="171"/>
    </row>
    <row r="197" spans="1:13" x14ac:dyDescent="0.2">
      <c r="A197" s="501">
        <f t="shared" si="21"/>
        <v>2046</v>
      </c>
      <c r="B197" s="520">
        <f t="shared" si="22"/>
        <v>1.0209999999999999</v>
      </c>
      <c r="C197" s="503"/>
      <c r="D197" s="503"/>
      <c r="E197" s="503"/>
      <c r="F197" s="503"/>
      <c r="G197" s="504"/>
      <c r="H197" s="171">
        <f t="shared" si="23"/>
        <v>2046</v>
      </c>
      <c r="I197" s="523">
        <f t="shared" si="25"/>
        <v>1.5812170172414417</v>
      </c>
      <c r="J197" s="523">
        <f t="shared" si="24"/>
        <v>1.6501947256971063</v>
      </c>
      <c r="K197" s="171"/>
      <c r="L197" s="171"/>
      <c r="M197" s="171"/>
    </row>
    <row r="198" spans="1:13" x14ac:dyDescent="0.2">
      <c r="A198" s="501">
        <f t="shared" si="21"/>
        <v>2047</v>
      </c>
      <c r="B198" s="520">
        <f t="shared" si="22"/>
        <v>1.0209999999999999</v>
      </c>
      <c r="C198" s="503"/>
      <c r="D198" s="503"/>
      <c r="E198" s="503"/>
      <c r="F198" s="503"/>
      <c r="G198" s="504"/>
      <c r="H198" s="171">
        <f t="shared" si="23"/>
        <v>2047</v>
      </c>
      <c r="I198" s="523">
        <f t="shared" si="25"/>
        <v>1.6144225746035119</v>
      </c>
      <c r="J198" s="523">
        <f t="shared" si="24"/>
        <v>1.6848488149367458</v>
      </c>
      <c r="K198" s="171"/>
      <c r="L198" s="171"/>
      <c r="M198" s="171"/>
    </row>
    <row r="199" spans="1:13" x14ac:dyDescent="0.2">
      <c r="A199" s="501">
        <f t="shared" si="21"/>
        <v>2048</v>
      </c>
      <c r="B199" s="520">
        <f t="shared" si="22"/>
        <v>1.0209999999999999</v>
      </c>
      <c r="C199" s="503"/>
      <c r="D199" s="503"/>
      <c r="E199" s="503"/>
      <c r="F199" s="503"/>
      <c r="G199" s="504"/>
      <c r="H199" s="171">
        <f t="shared" si="23"/>
        <v>2048</v>
      </c>
      <c r="I199" s="523">
        <f t="shared" si="25"/>
        <v>1.6483254486701855</v>
      </c>
      <c r="J199" s="523">
        <f t="shared" si="24"/>
        <v>1.7202306400504173</v>
      </c>
      <c r="K199" s="171"/>
      <c r="L199" s="171"/>
      <c r="M199" s="171"/>
    </row>
    <row r="200" spans="1:13" x14ac:dyDescent="0.2">
      <c r="A200" s="501">
        <f t="shared" si="21"/>
        <v>2049</v>
      </c>
      <c r="B200" s="520">
        <f t="shared" si="22"/>
        <v>1.0209999999999999</v>
      </c>
      <c r="C200" s="503"/>
      <c r="D200" s="503"/>
      <c r="E200" s="503"/>
      <c r="F200" s="503"/>
      <c r="G200" s="504"/>
      <c r="H200" s="171">
        <f t="shared" si="23"/>
        <v>2049</v>
      </c>
      <c r="I200" s="523">
        <f t="shared" si="25"/>
        <v>1.6829402830922593</v>
      </c>
      <c r="J200" s="523">
        <f t="shared" si="24"/>
        <v>1.7563554834914754</v>
      </c>
      <c r="K200" s="171"/>
      <c r="L200" s="171"/>
      <c r="M200" s="171"/>
    </row>
    <row r="201" spans="1:13" x14ac:dyDescent="0.2">
      <c r="A201" s="501">
        <f t="shared" si="21"/>
        <v>2050</v>
      </c>
      <c r="B201" s="520">
        <f t="shared" si="22"/>
        <v>1.0209999999999999</v>
      </c>
      <c r="C201" s="503"/>
      <c r="D201" s="503"/>
      <c r="E201" s="503"/>
      <c r="F201" s="503"/>
      <c r="G201" s="504"/>
      <c r="H201" s="171">
        <f t="shared" si="23"/>
        <v>2050</v>
      </c>
      <c r="I201" s="523">
        <f t="shared" si="25"/>
        <v>1.7182820290371965</v>
      </c>
      <c r="J201" s="523">
        <f t="shared" si="24"/>
        <v>1.7932389486447964</v>
      </c>
      <c r="K201" s="171"/>
      <c r="L201" s="171"/>
      <c r="M201" s="171"/>
    </row>
    <row r="202" spans="1:13" x14ac:dyDescent="0.2">
      <c r="A202" s="501">
        <f t="shared" si="21"/>
        <v>2051</v>
      </c>
      <c r="B202" s="520">
        <f t="shared" si="22"/>
        <v>1.0209999999999999</v>
      </c>
      <c r="C202" s="503"/>
      <c r="D202" s="503"/>
      <c r="E202" s="503"/>
      <c r="F202" s="503"/>
      <c r="G202" s="504"/>
      <c r="H202" s="171">
        <f t="shared" si="23"/>
        <v>2051</v>
      </c>
      <c r="I202" s="523">
        <f t="shared" si="25"/>
        <v>1.7543659516469774</v>
      </c>
      <c r="J202" s="523">
        <f t="shared" si="24"/>
        <v>1.8308969665663368</v>
      </c>
      <c r="K202" s="171"/>
      <c r="L202" s="171"/>
      <c r="M202" s="171"/>
    </row>
    <row r="203" spans="1:13" x14ac:dyDescent="0.2">
      <c r="A203" s="501">
        <f t="shared" si="21"/>
        <v>2052</v>
      </c>
      <c r="B203" s="520">
        <f t="shared" si="22"/>
        <v>1.0209999999999999</v>
      </c>
      <c r="C203" s="503"/>
      <c r="D203" s="503"/>
      <c r="E203" s="503"/>
      <c r="F203" s="503"/>
      <c r="G203" s="504"/>
      <c r="H203" s="171">
        <f t="shared" si="23"/>
        <v>2052</v>
      </c>
      <c r="I203" s="523">
        <f t="shared" si="25"/>
        <v>1.7912076366315637</v>
      </c>
      <c r="J203" s="523">
        <f t="shared" si="24"/>
        <v>1.8693458028642298</v>
      </c>
      <c r="K203" s="171"/>
      <c r="L203" s="171"/>
      <c r="M203" s="171"/>
    </row>
    <row r="204" spans="1:13" x14ac:dyDescent="0.2">
      <c r="A204" s="501">
        <f t="shared" si="21"/>
        <v>2053</v>
      </c>
      <c r="B204" s="520">
        <f t="shared" si="22"/>
        <v>1.0209999999999999</v>
      </c>
      <c r="C204" s="503"/>
      <c r="D204" s="503"/>
      <c r="E204" s="503"/>
      <c r="F204" s="503"/>
      <c r="G204" s="504"/>
      <c r="H204" s="171">
        <f t="shared" si="23"/>
        <v>2053</v>
      </c>
      <c r="I204" s="523">
        <f t="shared" si="25"/>
        <v>1.8288229970008263</v>
      </c>
      <c r="J204" s="523">
        <f t="shared" si="24"/>
        <v>1.9086020647243784</v>
      </c>
      <c r="K204" s="171"/>
      <c r="L204" s="171"/>
      <c r="M204" s="171"/>
    </row>
    <row r="205" spans="1:13" x14ac:dyDescent="0.2">
      <c r="A205" s="501">
        <f t="shared" si="21"/>
        <v>2054</v>
      </c>
      <c r="B205" s="520">
        <f t="shared" si="22"/>
        <v>1.0209999999999999</v>
      </c>
      <c r="C205" s="503"/>
      <c r="D205" s="503"/>
      <c r="E205" s="503"/>
      <c r="F205" s="503"/>
      <c r="G205" s="504"/>
      <c r="H205" s="171">
        <f t="shared" si="23"/>
        <v>2054</v>
      </c>
      <c r="I205" s="523">
        <f t="shared" si="25"/>
        <v>1.8672282799378435</v>
      </c>
      <c r="J205" s="523">
        <f t="shared" si="24"/>
        <v>1.94868270808359</v>
      </c>
      <c r="K205" s="171"/>
      <c r="L205" s="171"/>
      <c r="M205" s="171"/>
    </row>
    <row r="206" spans="1:13" x14ac:dyDescent="0.2">
      <c r="A206" s="501">
        <f t="shared" si="21"/>
        <v>2055</v>
      </c>
      <c r="B206" s="520">
        <f t="shared" si="22"/>
        <v>1.0209999999999999</v>
      </c>
      <c r="C206" s="503"/>
      <c r="D206" s="503"/>
      <c r="E206" s="503"/>
      <c r="F206" s="503"/>
      <c r="G206" s="504"/>
      <c r="H206" s="171">
        <f t="shared" si="23"/>
        <v>2055</v>
      </c>
      <c r="I206" s="523">
        <f t="shared" si="25"/>
        <v>1.9064400738165379</v>
      </c>
      <c r="J206" s="523">
        <f t="shared" si="24"/>
        <v>1.9896050449533456</v>
      </c>
      <c r="K206" s="171"/>
      <c r="L206" s="171"/>
      <c r="M206" s="171"/>
    </row>
    <row r="207" spans="1:13" x14ac:dyDescent="0.2">
      <c r="A207" s="501">
        <f t="shared" si="21"/>
        <v>2056</v>
      </c>
      <c r="B207" s="520">
        <f t="shared" si="22"/>
        <v>1.0209999999999999</v>
      </c>
      <c r="C207" s="503"/>
      <c r="D207" s="503"/>
      <c r="E207" s="503"/>
      <c r="F207" s="503"/>
      <c r="G207" s="504"/>
      <c r="H207" s="171">
        <f t="shared" si="23"/>
        <v>2056</v>
      </c>
      <c r="I207" s="523">
        <f t="shared" si="25"/>
        <v>1.9464753153666849</v>
      </c>
      <c r="J207" s="523">
        <f t="shared" si="24"/>
        <v>2.0313867508973655</v>
      </c>
      <c r="K207" s="171"/>
      <c r="L207" s="171"/>
      <c r="M207" s="171"/>
    </row>
    <row r="208" spans="1:13" x14ac:dyDescent="0.2">
      <c r="A208" s="501">
        <f t="shared" si="21"/>
        <v>2057</v>
      </c>
      <c r="B208" s="520">
        <f t="shared" si="22"/>
        <v>1.0209999999999999</v>
      </c>
      <c r="C208" s="503"/>
      <c r="D208" s="503"/>
      <c r="E208" s="503"/>
      <c r="F208" s="503"/>
      <c r="G208" s="504"/>
      <c r="H208" s="171">
        <f t="shared" si="23"/>
        <v>2057</v>
      </c>
      <c r="I208" s="523">
        <f t="shared" si="25"/>
        <v>1.9873512969893852</v>
      </c>
      <c r="J208" s="523">
        <f t="shared" si="24"/>
        <v>2.0740458726662099</v>
      </c>
      <c r="K208" s="171"/>
      <c r="L208" s="171"/>
      <c r="M208" s="171"/>
    </row>
    <row r="209" spans="1:16" x14ac:dyDescent="0.2">
      <c r="A209" s="501">
        <f t="shared" si="21"/>
        <v>2058</v>
      </c>
      <c r="B209" s="520">
        <f t="shared" si="22"/>
        <v>1.0209999999999999</v>
      </c>
      <c r="C209" s="503"/>
      <c r="D209" s="503"/>
      <c r="E209" s="503"/>
      <c r="F209" s="503"/>
      <c r="G209" s="504"/>
      <c r="H209" s="171">
        <f t="shared" si="23"/>
        <v>2058</v>
      </c>
      <c r="I209" s="523">
        <f t="shared" si="25"/>
        <v>2.0290856742261623</v>
      </c>
      <c r="J209" s="523">
        <f t="shared" si="24"/>
        <v>2.1176008359922007</v>
      </c>
      <c r="K209" s="171"/>
      <c r="L209" s="171"/>
      <c r="M209" s="171"/>
      <c r="P209" s="529"/>
    </row>
    <row r="210" spans="1:16" x14ac:dyDescent="0.2">
      <c r="A210" s="501">
        <f t="shared" si="21"/>
        <v>2059</v>
      </c>
      <c r="B210" s="520">
        <f t="shared" si="22"/>
        <v>1.0209999999999999</v>
      </c>
      <c r="C210" s="503"/>
      <c r="D210" s="503"/>
      <c r="E210" s="503"/>
      <c r="F210" s="503"/>
      <c r="G210" s="504"/>
      <c r="H210" s="171">
        <f t="shared" si="23"/>
        <v>2059</v>
      </c>
      <c r="I210" s="523">
        <f t="shared" si="25"/>
        <v>2.0716964733849115</v>
      </c>
      <c r="J210" s="523">
        <f t="shared" si="24"/>
        <v>2.1620704535480364</v>
      </c>
      <c r="K210" s="171"/>
      <c r="L210" s="171"/>
      <c r="M210" s="171"/>
      <c r="P210" s="529"/>
    </row>
    <row r="211" spans="1:16" x14ac:dyDescent="0.2">
      <c r="A211" s="501">
        <f t="shared" si="21"/>
        <v>2060</v>
      </c>
      <c r="B211" s="520">
        <f t="shared" si="22"/>
        <v>1.0209999999999999</v>
      </c>
      <c r="C211" s="503"/>
      <c r="D211" s="503"/>
      <c r="E211" s="503"/>
      <c r="F211" s="503"/>
      <c r="G211" s="504"/>
      <c r="H211" s="171">
        <f t="shared" si="23"/>
        <v>2060</v>
      </c>
      <c r="I211" s="523">
        <f t="shared" si="25"/>
        <v>2.1152020993259946</v>
      </c>
      <c r="J211" s="523">
        <f t="shared" si="24"/>
        <v>2.2074739330725448</v>
      </c>
      <c r="K211" s="171"/>
      <c r="L211" s="171"/>
      <c r="M211" s="171"/>
      <c r="P211" s="529"/>
    </row>
    <row r="212" spans="1:16" x14ac:dyDescent="0.2">
      <c r="A212" s="501">
        <f t="shared" si="21"/>
        <v>2061</v>
      </c>
      <c r="B212" s="520">
        <f t="shared" si="22"/>
        <v>1.0209999999999999</v>
      </c>
      <c r="C212" s="503"/>
      <c r="D212" s="503"/>
      <c r="E212" s="503"/>
      <c r="F212" s="503"/>
      <c r="G212" s="504"/>
      <c r="H212" s="171">
        <f t="shared" si="23"/>
        <v>2061</v>
      </c>
      <c r="I212" s="523">
        <f t="shared" si="25"/>
        <v>2.1596213434118403</v>
      </c>
      <c r="J212" s="523">
        <f t="shared" si="24"/>
        <v>2.2538308856670679</v>
      </c>
      <c r="K212" s="171"/>
      <c r="L212" s="171"/>
      <c r="M212" s="171"/>
      <c r="P212" s="529"/>
    </row>
    <row r="213" spans="1:16" x14ac:dyDescent="0.2">
      <c r="A213" s="501">
        <f t="shared" si="21"/>
        <v>2062</v>
      </c>
      <c r="B213" s="520">
        <f t="shared" si="22"/>
        <v>1.0209999999999999</v>
      </c>
      <c r="C213" s="503"/>
      <c r="D213" s="503"/>
      <c r="E213" s="503"/>
      <c r="F213" s="503"/>
      <c r="G213" s="504"/>
      <c r="H213" s="171">
        <f t="shared" si="23"/>
        <v>2062</v>
      </c>
      <c r="I213" s="523">
        <f t="shared" si="25"/>
        <v>2.2049733916234886</v>
      </c>
      <c r="J213" s="523">
        <f t="shared" si="24"/>
        <v>2.3011613342660762</v>
      </c>
      <c r="K213" s="171"/>
      <c r="L213" s="171"/>
      <c r="M213" s="171"/>
      <c r="P213" s="529"/>
    </row>
    <row r="214" spans="1:16" x14ac:dyDescent="0.2">
      <c r="A214" s="501">
        <f t="shared" si="21"/>
        <v>2063</v>
      </c>
      <c r="B214" s="520">
        <f t="shared" si="22"/>
        <v>1.0209999999999999</v>
      </c>
      <c r="C214" s="503"/>
      <c r="D214" s="503"/>
      <c r="E214" s="503"/>
      <c r="F214" s="503"/>
      <c r="G214" s="504"/>
      <c r="H214" s="171">
        <f t="shared" si="23"/>
        <v>2063</v>
      </c>
      <c r="I214" s="523">
        <f t="shared" si="25"/>
        <v>2.2512778328475815</v>
      </c>
      <c r="J214" s="523">
        <f t="shared" si="24"/>
        <v>2.3494857222856638</v>
      </c>
      <c r="K214" s="171"/>
      <c r="L214" s="171"/>
      <c r="M214" s="171"/>
      <c r="P214" s="529"/>
    </row>
    <row r="215" spans="1:16" x14ac:dyDescent="0.2">
      <c r="A215" s="501">
        <f t="shared" si="21"/>
        <v>2064</v>
      </c>
      <c r="B215" s="520">
        <f t="shared" si="22"/>
        <v>1.0209999999999999</v>
      </c>
      <c r="C215" s="503"/>
      <c r="D215" s="503"/>
      <c r="E215" s="503"/>
      <c r="F215" s="503"/>
      <c r="G215" s="504"/>
      <c r="H215" s="171">
        <f t="shared" si="23"/>
        <v>2064</v>
      </c>
      <c r="I215" s="523">
        <f t="shared" si="25"/>
        <v>2.2985546673373807</v>
      </c>
      <c r="J215" s="523">
        <f t="shared" si="24"/>
        <v>2.3988249224536626</v>
      </c>
      <c r="K215" s="171"/>
      <c r="L215" s="171"/>
      <c r="M215" s="171"/>
      <c r="P215" s="529"/>
    </row>
    <row r="216" spans="1:16" x14ac:dyDescent="0.2">
      <c r="A216" s="501">
        <f t="shared" si="21"/>
        <v>2065</v>
      </c>
      <c r="B216" s="520">
        <f t="shared" si="22"/>
        <v>1.0209999999999999</v>
      </c>
      <c r="C216" s="503"/>
      <c r="D216" s="503"/>
      <c r="E216" s="503"/>
      <c r="F216" s="503"/>
      <c r="G216" s="504"/>
      <c r="H216" s="171">
        <f t="shared" si="23"/>
        <v>2065</v>
      </c>
      <c r="I216" s="523">
        <f t="shared" si="25"/>
        <v>2.3468243153514656</v>
      </c>
      <c r="J216" s="523">
        <f t="shared" si="24"/>
        <v>2.4492002458251894</v>
      </c>
      <c r="K216" s="171"/>
      <c r="L216" s="171"/>
      <c r="M216" s="171"/>
    </row>
    <row r="217" spans="1:16" x14ac:dyDescent="0.2">
      <c r="A217" s="501">
        <f t="shared" si="21"/>
        <v>2066</v>
      </c>
      <c r="B217" s="520">
        <f t="shared" si="22"/>
        <v>1.0209999999999999</v>
      </c>
      <c r="C217" s="503"/>
      <c r="D217" s="503"/>
      <c r="E217" s="503"/>
      <c r="F217" s="503"/>
      <c r="G217" s="504"/>
      <c r="H217" s="171">
        <f t="shared" si="23"/>
        <v>2066</v>
      </c>
      <c r="I217" s="523">
        <f t="shared" si="25"/>
        <v>2.3961076259738463</v>
      </c>
      <c r="J217" s="523">
        <f t="shared" si="24"/>
        <v>2.5006334509875181</v>
      </c>
      <c r="K217" s="171"/>
      <c r="L217" s="171"/>
      <c r="M217" s="171"/>
    </row>
    <row r="218" spans="1:16" x14ac:dyDescent="0.2">
      <c r="A218" s="501">
        <f t="shared" si="21"/>
        <v>2067</v>
      </c>
      <c r="B218" s="520">
        <f t="shared" si="22"/>
        <v>1.0209999999999999</v>
      </c>
      <c r="C218" s="503"/>
      <c r="D218" s="503"/>
      <c r="E218" s="503"/>
      <c r="F218" s="503"/>
      <c r="G218" s="504"/>
      <c r="H218" s="171">
        <f t="shared" si="23"/>
        <v>2067</v>
      </c>
      <c r="I218" s="523">
        <f t="shared" si="25"/>
        <v>2.4464258861192967</v>
      </c>
      <c r="J218" s="523">
        <f t="shared" si="24"/>
        <v>2.5531467534582561</v>
      </c>
      <c r="K218" s="171"/>
      <c r="L218" s="171"/>
      <c r="M218" s="171"/>
    </row>
    <row r="219" spans="1:16" x14ac:dyDescent="0.2">
      <c r="A219" s="501">
        <f t="shared" si="21"/>
        <v>2068</v>
      </c>
      <c r="B219" s="520">
        <f t="shared" si="22"/>
        <v>1.0209999999999999</v>
      </c>
      <c r="C219" s="503"/>
      <c r="D219" s="503"/>
      <c r="E219" s="503"/>
      <c r="F219" s="503"/>
      <c r="G219" s="504"/>
      <c r="H219" s="171">
        <f t="shared" si="23"/>
        <v>2068</v>
      </c>
      <c r="I219" s="523">
        <f t="shared" si="25"/>
        <v>2.4978008297278018</v>
      </c>
      <c r="J219" s="523">
        <f t="shared" si="24"/>
        <v>2.6067628352808789</v>
      </c>
      <c r="K219" s="171"/>
      <c r="L219" s="171"/>
      <c r="M219" s="171"/>
    </row>
    <row r="220" spans="1:16" x14ac:dyDescent="0.2">
      <c r="A220" s="501">
        <f t="shared" si="21"/>
        <v>2069</v>
      </c>
      <c r="B220" s="520">
        <f t="shared" si="22"/>
        <v>1.0209999999999999</v>
      </c>
      <c r="C220" s="503"/>
      <c r="D220" s="503"/>
      <c r="E220" s="503"/>
      <c r="F220" s="503"/>
      <c r="G220" s="504"/>
      <c r="H220" s="171">
        <f t="shared" si="23"/>
        <v>2069</v>
      </c>
      <c r="I220" s="523">
        <f t="shared" si="25"/>
        <v>2.5502546471520855</v>
      </c>
      <c r="J220" s="523">
        <f t="shared" si="24"/>
        <v>2.6615048548217772</v>
      </c>
      <c r="K220" s="171"/>
      <c r="L220" s="171"/>
      <c r="M220" s="171"/>
    </row>
    <row r="221" spans="1:16" x14ac:dyDescent="0.2">
      <c r="A221" s="501">
        <f t="shared" si="21"/>
        <v>2070</v>
      </c>
      <c r="B221" s="520">
        <f t="shared" si="22"/>
        <v>1.0209999999999999</v>
      </c>
      <c r="C221" s="503"/>
      <c r="D221" s="503"/>
      <c r="E221" s="503"/>
      <c r="F221" s="503"/>
      <c r="G221" s="504"/>
      <c r="H221" s="171">
        <f t="shared" si="23"/>
        <v>2070</v>
      </c>
      <c r="I221" s="523">
        <f t="shared" si="25"/>
        <v>2.6038099947422793</v>
      </c>
      <c r="J221" s="523">
        <f t="shared" si="24"/>
        <v>2.7173964567730349</v>
      </c>
      <c r="K221" s="171"/>
      <c r="L221" s="171"/>
      <c r="M221" s="171"/>
    </row>
    <row r="222" spans="1:16" x14ac:dyDescent="0.2">
      <c r="A222" s="501">
        <f t="shared" si="21"/>
        <v>2071</v>
      </c>
      <c r="B222" s="520">
        <f t="shared" si="22"/>
        <v>1.0209999999999999</v>
      </c>
      <c r="C222" s="503"/>
      <c r="D222" s="503"/>
      <c r="E222" s="503"/>
      <c r="F222" s="503"/>
      <c r="G222" s="504"/>
      <c r="H222" s="171">
        <f t="shared" si="23"/>
        <v>2071</v>
      </c>
      <c r="I222" s="523">
        <f t="shared" si="25"/>
        <v>2.6584900046318669</v>
      </c>
      <c r="J222" s="523">
        <f t="shared" si="24"/>
        <v>2.7744617823652682</v>
      </c>
      <c r="K222" s="171"/>
      <c r="L222" s="171"/>
      <c r="M222" s="171"/>
    </row>
    <row r="223" spans="1:16" x14ac:dyDescent="0.2">
      <c r="A223" s="501">
        <f t="shared" si="21"/>
        <v>2072</v>
      </c>
      <c r="B223" s="520">
        <f t="shared" si="22"/>
        <v>1.0209999999999999</v>
      </c>
      <c r="C223" s="503"/>
      <c r="D223" s="503"/>
      <c r="E223" s="503"/>
      <c r="F223" s="503"/>
      <c r="G223" s="504"/>
      <c r="H223" s="171">
        <f t="shared" si="23"/>
        <v>2072</v>
      </c>
      <c r="I223" s="523">
        <f t="shared" si="25"/>
        <v>2.7143182947291358</v>
      </c>
      <c r="J223" s="523">
        <f t="shared" si="24"/>
        <v>2.8327254797949388</v>
      </c>
      <c r="K223" s="171"/>
      <c r="L223" s="171"/>
      <c r="M223" s="171"/>
    </row>
    <row r="224" spans="1:16" x14ac:dyDescent="0.2">
      <c r="A224" s="501">
        <f t="shared" si="21"/>
        <v>2073</v>
      </c>
      <c r="B224" s="520">
        <f t="shared" si="22"/>
        <v>1.0209999999999999</v>
      </c>
      <c r="C224" s="503"/>
      <c r="D224" s="503"/>
      <c r="E224" s="503"/>
      <c r="F224" s="503"/>
      <c r="G224" s="504"/>
      <c r="H224" s="171">
        <f t="shared" si="23"/>
        <v>2073</v>
      </c>
      <c r="I224" s="523">
        <f t="shared" si="25"/>
        <v>2.7713189789184476</v>
      </c>
      <c r="J224" s="523">
        <f t="shared" si="24"/>
        <v>2.8922127148706318</v>
      </c>
      <c r="K224" s="171"/>
      <c r="L224" s="171"/>
      <c r="M224" s="171"/>
    </row>
    <row r="225" spans="1:13" x14ac:dyDescent="0.2">
      <c r="A225" s="501">
        <f t="shared" si="21"/>
        <v>2074</v>
      </c>
      <c r="B225" s="520">
        <f t="shared" si="22"/>
        <v>1.0209999999999999</v>
      </c>
      <c r="C225" s="503"/>
      <c r="D225" s="503"/>
      <c r="E225" s="503"/>
      <c r="F225" s="503"/>
      <c r="G225" s="504"/>
      <c r="H225" s="171">
        <f t="shared" si="23"/>
        <v>2074</v>
      </c>
      <c r="I225" s="523">
        <f t="shared" si="25"/>
        <v>2.8295166774757345</v>
      </c>
      <c r="J225" s="523">
        <f t="shared" si="24"/>
        <v>2.9529491818829152</v>
      </c>
      <c r="K225" s="171"/>
      <c r="L225" s="171"/>
      <c r="M225" s="171"/>
    </row>
    <row r="226" spans="1:13" x14ac:dyDescent="0.2">
      <c r="A226" s="501">
        <f t="shared" si="21"/>
        <v>2075</v>
      </c>
      <c r="B226" s="520">
        <f t="shared" si="22"/>
        <v>1.0209999999999999</v>
      </c>
      <c r="C226" s="503"/>
      <c r="D226" s="503"/>
      <c r="E226" s="503"/>
      <c r="F226" s="503"/>
      <c r="G226" s="504"/>
      <c r="H226" s="171">
        <f t="shared" si="23"/>
        <v>2075</v>
      </c>
      <c r="I226" s="523">
        <f t="shared" si="25"/>
        <v>2.8889365277027248</v>
      </c>
      <c r="J226" s="523">
        <f t="shared" si="24"/>
        <v>3.014961114702456</v>
      </c>
      <c r="K226" s="171"/>
      <c r="L226" s="171"/>
      <c r="M226" s="171"/>
    </row>
    <row r="227" spans="1:13" x14ac:dyDescent="0.2">
      <c r="A227" s="501">
        <f t="shared" si="21"/>
        <v>2076</v>
      </c>
      <c r="B227" s="520">
        <f t="shared" si="22"/>
        <v>1.0209999999999999</v>
      </c>
      <c r="C227" s="503"/>
      <c r="D227" s="503"/>
      <c r="E227" s="503"/>
      <c r="F227" s="503"/>
      <c r="G227" s="504"/>
      <c r="H227" s="171">
        <f t="shared" si="23"/>
        <v>2076</v>
      </c>
      <c r="I227" s="523">
        <f t="shared" si="25"/>
        <v>2.9496041947844818</v>
      </c>
      <c r="J227" s="523">
        <f t="shared" si="24"/>
        <v>3.0782752981112074</v>
      </c>
      <c r="K227" s="171"/>
      <c r="L227" s="171"/>
      <c r="M227" s="171"/>
    </row>
    <row r="228" spans="1:13" x14ac:dyDescent="0.2">
      <c r="A228" s="501">
        <f t="shared" si="21"/>
        <v>2077</v>
      </c>
      <c r="B228" s="520">
        <f t="shared" si="22"/>
        <v>1.0209999999999999</v>
      </c>
      <c r="C228" s="503"/>
      <c r="D228" s="503"/>
      <c r="E228" s="503"/>
      <c r="F228" s="503"/>
      <c r="G228" s="504"/>
      <c r="H228" s="171">
        <f t="shared" si="23"/>
        <v>2077</v>
      </c>
      <c r="I228" s="523">
        <f t="shared" si="25"/>
        <v>3.0115458828749557</v>
      </c>
      <c r="J228" s="523">
        <f t="shared" si="24"/>
        <v>3.1429190793715431</v>
      </c>
      <c r="K228" s="171"/>
      <c r="L228" s="171"/>
      <c r="M228" s="171"/>
    </row>
    <row r="229" spans="1:13" x14ac:dyDescent="0.2">
      <c r="A229" s="501">
        <f t="shared" si="21"/>
        <v>2078</v>
      </c>
      <c r="B229" s="520">
        <f t="shared" si="22"/>
        <v>1.0209999999999999</v>
      </c>
      <c r="C229" s="503"/>
      <c r="D229" s="503"/>
      <c r="E229" s="503"/>
      <c r="F229" s="503"/>
      <c r="G229" s="504"/>
      <c r="H229" s="171">
        <f t="shared" si="23"/>
        <v>2078</v>
      </c>
      <c r="I229" s="523">
        <f t="shared" si="25"/>
        <v>3.0747883464153296</v>
      </c>
      <c r="J229" s="523">
        <f t="shared" si="24"/>
        <v>3.2089203800383443</v>
      </c>
      <c r="K229" s="171"/>
      <c r="L229" s="171"/>
      <c r="M229" s="171"/>
    </row>
    <row r="230" spans="1:13" x14ac:dyDescent="0.2">
      <c r="A230" s="501">
        <f t="shared" si="21"/>
        <v>2079</v>
      </c>
      <c r="B230" s="520">
        <f t="shared" si="22"/>
        <v>1.0209999999999999</v>
      </c>
      <c r="C230" s="503"/>
      <c r="D230" s="503"/>
      <c r="E230" s="503"/>
      <c r="F230" s="503"/>
      <c r="G230" s="504"/>
      <c r="H230" s="171">
        <f t="shared" si="23"/>
        <v>2079</v>
      </c>
      <c r="I230" s="523">
        <f t="shared" si="25"/>
        <v>3.1393589016900512</v>
      </c>
      <c r="J230" s="523">
        <f t="shared" si="24"/>
        <v>3.2763077080191496</v>
      </c>
      <c r="K230" s="171"/>
      <c r="L230" s="171"/>
      <c r="M230" s="171"/>
    </row>
    <row r="231" spans="1:13" x14ac:dyDescent="0.2">
      <c r="A231" s="501">
        <f t="shared" si="21"/>
        <v>2080</v>
      </c>
      <c r="B231" s="520">
        <f t="shared" si="22"/>
        <v>1.0209999999999999</v>
      </c>
      <c r="C231" s="503"/>
      <c r="D231" s="503"/>
      <c r="E231" s="503"/>
      <c r="F231" s="503"/>
      <c r="G231" s="504"/>
      <c r="H231" s="171">
        <f t="shared" si="23"/>
        <v>2080</v>
      </c>
      <c r="I231" s="523">
        <f t="shared" si="25"/>
        <v>3.205285438625542</v>
      </c>
      <c r="J231" s="523">
        <f t="shared" si="24"/>
        <v>3.3451101698875512</v>
      </c>
      <c r="K231" s="171"/>
      <c r="L231" s="171"/>
      <c r="M231" s="171"/>
    </row>
    <row r="232" spans="1:13" x14ac:dyDescent="0.2">
      <c r="A232" s="501">
        <f t="shared" si="21"/>
        <v>2081</v>
      </c>
      <c r="B232" s="520">
        <f t="shared" si="22"/>
        <v>1.0209999999999999</v>
      </c>
      <c r="C232" s="503"/>
      <c r="D232" s="503"/>
      <c r="E232" s="503"/>
      <c r="F232" s="503"/>
      <c r="G232" s="504"/>
      <c r="H232" s="171">
        <f t="shared" si="23"/>
        <v>2081</v>
      </c>
      <c r="I232" s="523">
        <f t="shared" si="25"/>
        <v>3.2725964328366781</v>
      </c>
      <c r="J232" s="523" t="s">
        <v>415</v>
      </c>
      <c r="K232" s="171"/>
      <c r="L232" s="171"/>
      <c r="M232" s="171"/>
    </row>
    <row r="233" spans="1:13" x14ac:dyDescent="0.2">
      <c r="A233" s="501">
        <f t="shared" ref="A233:A240" si="26">+A75</f>
        <v>2082</v>
      </c>
      <c r="B233" s="520">
        <f t="shared" ref="B233:B240" si="27">B75</f>
        <v>1.0209999999999999</v>
      </c>
      <c r="C233" s="503"/>
      <c r="D233" s="503"/>
      <c r="E233" s="503"/>
      <c r="F233" s="503"/>
      <c r="G233" s="504"/>
      <c r="H233" s="171">
        <f t="shared" ref="H233:H240" si="28">+A233</f>
        <v>2082</v>
      </c>
      <c r="I233" s="523">
        <f t="shared" si="25"/>
        <v>3.3413209579262482</v>
      </c>
      <c r="J233" s="523" t="s">
        <v>415</v>
      </c>
      <c r="K233" s="171"/>
      <c r="L233" s="171"/>
      <c r="M233" s="171"/>
    </row>
    <row r="234" spans="1:13" x14ac:dyDescent="0.2">
      <c r="A234" s="501">
        <f t="shared" si="26"/>
        <v>2083</v>
      </c>
      <c r="B234" s="520">
        <f t="shared" si="27"/>
        <v>1.0209999999999999</v>
      </c>
      <c r="C234" s="503"/>
      <c r="D234" s="503"/>
      <c r="E234" s="503"/>
      <c r="F234" s="503"/>
      <c r="G234" s="504"/>
      <c r="H234" s="171">
        <f t="shared" si="28"/>
        <v>2083</v>
      </c>
      <c r="I234" s="523">
        <f t="shared" si="25"/>
        <v>3.4114886980426991</v>
      </c>
      <c r="J234" s="523" t="s">
        <v>415</v>
      </c>
      <c r="K234" s="171"/>
      <c r="L234" s="171"/>
      <c r="M234" s="171"/>
    </row>
    <row r="235" spans="1:13" x14ac:dyDescent="0.2">
      <c r="A235" s="501">
        <f t="shared" si="26"/>
        <v>2084</v>
      </c>
      <c r="B235" s="520">
        <f t="shared" si="27"/>
        <v>1.0209999999999999</v>
      </c>
      <c r="C235" s="503"/>
      <c r="D235" s="503"/>
      <c r="E235" s="503"/>
      <c r="F235" s="503"/>
      <c r="G235" s="504"/>
      <c r="H235" s="171">
        <f t="shared" si="28"/>
        <v>2084</v>
      </c>
      <c r="I235" s="523">
        <f t="shared" si="25"/>
        <v>3.4831299607015955</v>
      </c>
      <c r="J235" s="523" t="s">
        <v>415</v>
      </c>
      <c r="K235" s="171"/>
      <c r="L235" s="171"/>
      <c r="M235" s="171"/>
    </row>
    <row r="236" spans="1:13" x14ac:dyDescent="0.2">
      <c r="A236" s="501">
        <f t="shared" si="26"/>
        <v>2085</v>
      </c>
      <c r="B236" s="520">
        <f t="shared" si="27"/>
        <v>1.0209999999999999</v>
      </c>
      <c r="C236" s="503"/>
      <c r="D236" s="503"/>
      <c r="E236" s="503"/>
      <c r="F236" s="503"/>
      <c r="G236" s="504"/>
      <c r="H236" s="171">
        <f t="shared" si="28"/>
        <v>2085</v>
      </c>
      <c r="I236" s="523">
        <f t="shared" si="25"/>
        <v>3.5562756898763288</v>
      </c>
      <c r="J236" s="523" t="s">
        <v>415</v>
      </c>
      <c r="K236" s="171"/>
      <c r="L236" s="171"/>
      <c r="M236" s="171"/>
    </row>
    <row r="237" spans="1:13" x14ac:dyDescent="0.2">
      <c r="A237" s="501">
        <f t="shared" si="26"/>
        <v>2086</v>
      </c>
      <c r="B237" s="520">
        <f t="shared" si="27"/>
        <v>1.0209999999999999</v>
      </c>
      <c r="C237" s="503"/>
      <c r="D237" s="503"/>
      <c r="E237" s="503"/>
      <c r="F237" s="503"/>
      <c r="G237" s="504"/>
      <c r="H237" s="171">
        <f t="shared" si="28"/>
        <v>2086</v>
      </c>
      <c r="I237" s="523">
        <f t="shared" si="25"/>
        <v>3.6309574793637314</v>
      </c>
      <c r="J237" s="523" t="s">
        <v>415</v>
      </c>
      <c r="K237" s="171"/>
      <c r="L237" s="171"/>
      <c r="M237" s="171"/>
    </row>
    <row r="238" spans="1:13" x14ac:dyDescent="0.2">
      <c r="A238" s="501">
        <f t="shared" si="26"/>
        <v>2087</v>
      </c>
      <c r="B238" s="520">
        <f t="shared" si="27"/>
        <v>1.0209999999999999</v>
      </c>
      <c r="C238" s="503"/>
      <c r="D238" s="503"/>
      <c r="E238" s="503"/>
      <c r="F238" s="503"/>
      <c r="G238" s="504"/>
      <c r="H238" s="171">
        <f t="shared" si="28"/>
        <v>2087</v>
      </c>
      <c r="I238" s="523">
        <f t="shared" si="25"/>
        <v>3.7072075864303695</v>
      </c>
      <c r="J238" s="523" t="s">
        <v>415</v>
      </c>
      <c r="K238" s="171"/>
      <c r="L238" s="171"/>
      <c r="M238" s="171"/>
    </row>
    <row r="239" spans="1:13" x14ac:dyDescent="0.2">
      <c r="A239" s="501">
        <f t="shared" si="26"/>
        <v>2088</v>
      </c>
      <c r="B239" s="520">
        <f t="shared" si="27"/>
        <v>1.0209999999999999</v>
      </c>
      <c r="C239" s="503"/>
      <c r="D239" s="503"/>
      <c r="E239" s="503"/>
      <c r="F239" s="503"/>
      <c r="G239" s="504"/>
      <c r="H239" s="171">
        <f t="shared" si="28"/>
        <v>2088</v>
      </c>
      <c r="I239" s="523">
        <f t="shared" si="25"/>
        <v>3.7850589457454071</v>
      </c>
      <c r="J239" s="523" t="s">
        <v>415</v>
      </c>
      <c r="K239" s="171"/>
      <c r="L239" s="171"/>
      <c r="M239" s="171"/>
    </row>
    <row r="240" spans="1:13" x14ac:dyDescent="0.2">
      <c r="A240" s="501">
        <f t="shared" si="26"/>
        <v>2089</v>
      </c>
      <c r="B240" s="520">
        <f t="shared" si="27"/>
        <v>1.0209999999999999</v>
      </c>
      <c r="C240" s="503"/>
      <c r="D240" s="503"/>
      <c r="E240" s="503"/>
      <c r="F240" s="503"/>
      <c r="G240" s="504"/>
      <c r="H240" s="171">
        <f t="shared" si="28"/>
        <v>2089</v>
      </c>
      <c r="I240" s="523">
        <f t="shared" si="25"/>
        <v>3.8645451836060603</v>
      </c>
      <c r="J240" s="523" t="s">
        <v>415</v>
      </c>
      <c r="K240" s="171"/>
      <c r="L240" s="171"/>
      <c r="M240" s="171"/>
    </row>
    <row r="241" spans="1:23" ht="12" x14ac:dyDescent="0.25">
      <c r="A241" s="536"/>
      <c r="B241" s="531"/>
      <c r="C241" s="531"/>
      <c r="D241" s="531"/>
      <c r="E241" s="531"/>
      <c r="F241" s="531"/>
      <c r="G241" s="496" t="s">
        <v>416</v>
      </c>
      <c r="H241" s="504"/>
      <c r="I241" s="504"/>
      <c r="J241" s="532"/>
      <c r="K241" s="504"/>
      <c r="L241" s="532"/>
      <c r="M241" s="532"/>
    </row>
    <row r="242" spans="1:23" x14ac:dyDescent="0.2">
      <c r="A242" s="501" t="s">
        <v>377</v>
      </c>
      <c r="B242" s="502">
        <f>B5</f>
        <v>45348</v>
      </c>
      <c r="C242" s="503"/>
      <c r="D242" s="503"/>
      <c r="E242" s="503"/>
      <c r="F242" s="503"/>
      <c r="G242" s="504"/>
      <c r="H242" s="505"/>
      <c r="I242" s="505"/>
      <c r="J242" s="505"/>
      <c r="K242" s="505"/>
      <c r="L242" s="505"/>
      <c r="M242" s="505"/>
      <c r="N242" s="533"/>
      <c r="O242" s="533"/>
      <c r="P242" s="533"/>
      <c r="Q242" s="533"/>
      <c r="R242" s="534"/>
      <c r="S242" s="533"/>
      <c r="T242" s="533"/>
      <c r="U242" s="533"/>
      <c r="V242" s="533"/>
      <c r="W242" s="535"/>
    </row>
    <row r="243" spans="1:23" ht="12" thickBot="1" x14ac:dyDescent="0.25">
      <c r="A243" s="503"/>
      <c r="B243" s="503"/>
      <c r="C243" s="503"/>
      <c r="D243" s="503"/>
      <c r="E243" s="503"/>
      <c r="F243" s="503"/>
      <c r="G243" s="504"/>
      <c r="H243" s="505" t="s">
        <v>378</v>
      </c>
      <c r="I243" s="505"/>
      <c r="J243" s="505"/>
      <c r="K243" s="505"/>
      <c r="L243" s="505"/>
      <c r="M243" s="505"/>
    </row>
    <row r="244" spans="1:23" ht="13.2" thickBot="1" x14ac:dyDescent="0.3">
      <c r="A244" s="508"/>
      <c r="B244" s="508" t="s">
        <v>380</v>
      </c>
      <c r="C244" s="508" t="s">
        <v>296</v>
      </c>
      <c r="D244" s="508" t="s">
        <v>296</v>
      </c>
      <c r="E244" s="508" t="s">
        <v>296</v>
      </c>
      <c r="F244" s="508" t="s">
        <v>296</v>
      </c>
      <c r="G244" s="504"/>
      <c r="H244" s="509">
        <f>IF(K252="&lt;Base Year",H252,IF(K253="&lt;Base Year",H253,IF(K254="&lt;Base Year",H254,IF(K255="&lt;Base Year",H255,"None"))))</f>
        <v>2024</v>
      </c>
      <c r="I244" s="510" t="s">
        <v>381</v>
      </c>
      <c r="J244" s="511"/>
      <c r="K244" s="171"/>
      <c r="L244" s="171"/>
      <c r="M244" s="171"/>
    </row>
    <row r="245" spans="1:23" x14ac:dyDescent="0.2">
      <c r="A245" s="515" t="s">
        <v>383</v>
      </c>
      <c r="B245" s="515" t="s">
        <v>384</v>
      </c>
      <c r="C245" s="515">
        <f>+C8</f>
        <v>2022</v>
      </c>
      <c r="D245" s="515">
        <f t="shared" ref="D245:F245" si="29">+D8</f>
        <v>2023</v>
      </c>
      <c r="E245" s="515">
        <f t="shared" si="29"/>
        <v>2024</v>
      </c>
      <c r="F245" s="515">
        <f t="shared" si="29"/>
        <v>2025</v>
      </c>
      <c r="G245" s="504"/>
      <c r="H245" s="509">
        <f>IF(K252="&lt;Base Year",1,IF(K253="&lt;Base Year",2,IF(K254="&lt;Base Year",3,IF(K255="&lt;Base Year",4,5))))</f>
        <v>3</v>
      </c>
      <c r="I245" s="516" t="s">
        <v>1072</v>
      </c>
      <c r="J245" s="516" t="s">
        <v>1071</v>
      </c>
      <c r="K245" s="171"/>
      <c r="L245" s="171"/>
      <c r="M245" s="171"/>
    </row>
    <row r="246" spans="1:23" ht="12" thickBot="1" x14ac:dyDescent="0.25">
      <c r="A246" s="518" t="s">
        <v>386</v>
      </c>
      <c r="B246" s="518" t="s">
        <v>387</v>
      </c>
      <c r="C246" s="518"/>
      <c r="D246" s="518"/>
      <c r="E246" s="518"/>
      <c r="F246" s="518"/>
      <c r="G246" s="504"/>
      <c r="H246" s="171">
        <v>0</v>
      </c>
      <c r="I246" s="519" t="s">
        <v>123</v>
      </c>
      <c r="J246" s="519" t="s">
        <v>123</v>
      </c>
      <c r="K246" s="171"/>
      <c r="L246" s="171"/>
      <c r="M246" s="171"/>
    </row>
    <row r="247" spans="1:23" x14ac:dyDescent="0.2">
      <c r="A247" s="501">
        <f>+A10</f>
        <v>2017</v>
      </c>
      <c r="B247" s="520">
        <f>B10</f>
        <v>1.0169999999999999</v>
      </c>
      <c r="C247" s="521">
        <v>0.89638609959117876</v>
      </c>
      <c r="D247" s="521">
        <v>0.85696567838544813</v>
      </c>
      <c r="E247" s="521">
        <v>0.83443590884659014</v>
      </c>
      <c r="F247" s="521">
        <v>0.81647349202210395</v>
      </c>
      <c r="G247" s="522" t="s">
        <v>389</v>
      </c>
      <c r="H247" s="171">
        <f>+A247</f>
        <v>2017</v>
      </c>
      <c r="I247" s="523">
        <f>+I248/B248</f>
        <v>0.80062099798634889</v>
      </c>
      <c r="J247" s="524">
        <f>CHOOSE(H$245,C247,D247,E247,F247)</f>
        <v>0.83443590884659014</v>
      </c>
      <c r="K247" s="171"/>
      <c r="L247" s="171"/>
      <c r="M247" s="171"/>
    </row>
    <row r="248" spans="1:23" x14ac:dyDescent="0.2">
      <c r="A248" s="501">
        <f t="shared" ref="A248:A311" si="30">+A11</f>
        <v>2018</v>
      </c>
      <c r="B248" s="520">
        <f t="shared" ref="B248:B311" si="31">B11</f>
        <v>1.022</v>
      </c>
      <c r="C248" s="521">
        <v>0.9168213080860057</v>
      </c>
      <c r="D248" s="521">
        <v>0.87650220658317934</v>
      </c>
      <c r="E248" s="521">
        <v>0.85345881848410843</v>
      </c>
      <c r="F248" s="521">
        <v>0.83508690654022366</v>
      </c>
      <c r="G248" s="525" t="s">
        <v>391</v>
      </c>
      <c r="H248" s="171">
        <f t="shared" ref="H248:H311" si="32">+A248</f>
        <v>2018</v>
      </c>
      <c r="I248" s="523">
        <f>+I249/B249</f>
        <v>0.81823465994204858</v>
      </c>
      <c r="J248" s="524">
        <f>CHOOSE(H$245,C248,D248,E248,F248)</f>
        <v>0.85345881848410843</v>
      </c>
      <c r="K248" s="171"/>
      <c r="L248" s="171"/>
      <c r="M248" s="171"/>
    </row>
    <row r="249" spans="1:23" x14ac:dyDescent="0.2">
      <c r="A249" s="501">
        <f t="shared" si="30"/>
        <v>2019</v>
      </c>
      <c r="B249" s="520">
        <f t="shared" si="31"/>
        <v>1.0189999999999999</v>
      </c>
      <c r="C249" s="521">
        <v>0.94645268303447683</v>
      </c>
      <c r="D249" s="521">
        <v>0.90483048091250173</v>
      </c>
      <c r="E249" s="521">
        <v>0.8810423377921146</v>
      </c>
      <c r="F249" s="521">
        <v>0.86207665145999479</v>
      </c>
      <c r="G249" s="525" t="s">
        <v>393</v>
      </c>
      <c r="H249" s="171">
        <f t="shared" si="32"/>
        <v>2019</v>
      </c>
      <c r="I249" s="523">
        <f>+I250/B250</f>
        <v>0.83378111848094738</v>
      </c>
      <c r="J249" s="524">
        <f>CHOOSE(H$245,C249,D249,E249,F249)</f>
        <v>0.8810423377921146</v>
      </c>
      <c r="K249" s="171"/>
      <c r="L249" s="171"/>
      <c r="M249" s="171"/>
    </row>
    <row r="250" spans="1:23" x14ac:dyDescent="0.2">
      <c r="A250" s="501">
        <f t="shared" si="30"/>
        <v>2020</v>
      </c>
      <c r="B250" s="520">
        <f t="shared" si="31"/>
        <v>1.0129999999999999</v>
      </c>
      <c r="C250" s="521">
        <v>0.98775223632012277</v>
      </c>
      <c r="D250" s="521">
        <v>0.94431380145327215</v>
      </c>
      <c r="E250" s="521">
        <v>0.91948763530016775</v>
      </c>
      <c r="F250" s="521">
        <v>0.8996943593935105</v>
      </c>
      <c r="G250" s="522" t="s">
        <v>395</v>
      </c>
      <c r="H250" s="171">
        <f t="shared" si="32"/>
        <v>2020</v>
      </c>
      <c r="I250" s="523">
        <f>+I251/B251</f>
        <v>0.84462027302119957</v>
      </c>
      <c r="J250" s="524">
        <f>CHOOSE(H$245,C250,D250,E250,F250)</f>
        <v>0.91948763530016775</v>
      </c>
      <c r="K250" s="171"/>
      <c r="L250" s="171"/>
      <c r="M250" s="171"/>
    </row>
    <row r="251" spans="1:23" x14ac:dyDescent="0.2">
      <c r="A251" s="501">
        <f t="shared" si="30"/>
        <v>2021</v>
      </c>
      <c r="B251" s="520">
        <f t="shared" si="31"/>
        <v>1.0309999999999999</v>
      </c>
      <c r="C251" s="521">
        <v>1.0336408899497112</v>
      </c>
      <c r="D251" s="521">
        <v>0.98818440721769696</v>
      </c>
      <c r="E251" s="521">
        <v>0.96220487557711487</v>
      </c>
      <c r="F251" s="521">
        <v>0.94149205046684437</v>
      </c>
      <c r="G251" s="525" t="s">
        <v>397</v>
      </c>
      <c r="H251" s="171">
        <f t="shared" si="32"/>
        <v>2021</v>
      </c>
      <c r="I251" s="523">
        <f>+I252/B252</f>
        <v>0.87080350148485675</v>
      </c>
      <c r="J251" s="524">
        <f>CHOOSE(H$245,C251,D251,E251,F251)</f>
        <v>0.96220487557711487</v>
      </c>
      <c r="K251" s="171"/>
      <c r="L251" s="171"/>
      <c r="M251" s="171"/>
    </row>
    <row r="252" spans="1:23" x14ac:dyDescent="0.2">
      <c r="A252" s="501">
        <f t="shared" si="30"/>
        <v>2022</v>
      </c>
      <c r="B252" s="520">
        <f t="shared" si="31"/>
        <v>1.069</v>
      </c>
      <c r="C252" s="521">
        <v>1.0695593188258647</v>
      </c>
      <c r="D252" s="521">
        <v>1.0225232493555112</v>
      </c>
      <c r="E252" s="521">
        <v>0.99564094387099433</v>
      </c>
      <c r="F252" s="521">
        <v>0.97420835995204935</v>
      </c>
      <c r="G252" s="526" t="s">
        <v>399</v>
      </c>
      <c r="H252" s="171">
        <f t="shared" si="32"/>
        <v>2022</v>
      </c>
      <c r="I252" s="527">
        <f>IF(Sheet1!$E$82&lt;=A252,1,I253/B253)</f>
        <v>0.93088894308731185</v>
      </c>
      <c r="J252" s="528">
        <f>IF(I252&gt;=1,1/((C$669/I252)+(D$669/I253)+(E$669/I254)+(F$669/I255)+(G$669/I256)+(H$669/I257)+(I$669/I258)+(J$669/I259)+(K$669/I260)+(L$669/I261)),CHOOSE(H$245,C252,D252,E252,F252))</f>
        <v>0.99564094387099433</v>
      </c>
      <c r="K252" s="171" t="str">
        <f>IF(I252=1,"&lt;Base Year","")</f>
        <v/>
      </c>
      <c r="L252" s="171"/>
      <c r="M252" s="171"/>
    </row>
    <row r="253" spans="1:23" x14ac:dyDescent="0.2">
      <c r="A253" s="501">
        <f t="shared" si="30"/>
        <v>2023</v>
      </c>
      <c r="B253" s="520">
        <f t="shared" si="31"/>
        <v>1.046</v>
      </c>
      <c r="C253" s="521">
        <v>1.0993736853231677</v>
      </c>
      <c r="D253" s="521">
        <v>1.0510264678041756</v>
      </c>
      <c r="E253" s="521">
        <v>1.0233948079884865</v>
      </c>
      <c r="F253" s="521">
        <v>1.0013647827675993</v>
      </c>
      <c r="G253" s="526" t="s">
        <v>401</v>
      </c>
      <c r="H253" s="171">
        <f t="shared" si="32"/>
        <v>2023</v>
      </c>
      <c r="I253" s="527">
        <f>IF(Sheet1!$E$82&lt;A253,I252*B253,IF(Sheet1!$E$82=A253,1,I254/B254))</f>
        <v>0.97370983446932824</v>
      </c>
      <c r="J253" s="528">
        <f t="shared" ref="J253:J310" si="33">IF(I253&gt;=1,1/((C$669/I253)+(D$669/I254)+(E$669/I255)+(F$669/I256)+(G$669/I257)+(H$669/I258)+(I$669/I259)+(J$669/I260)+(K$669/I261)+(L$669/I262)),CHOOSE(H$245,C253,D253,E253,F253))</f>
        <v>1.0233948079884865</v>
      </c>
      <c r="K253" s="171" t="str">
        <f>IF(I253=1,"&lt;Base Year","")</f>
        <v/>
      </c>
      <c r="L253" s="171"/>
      <c r="M253" s="171"/>
    </row>
    <row r="254" spans="1:23" x14ac:dyDescent="0.2">
      <c r="A254" s="501">
        <f t="shared" si="30"/>
        <v>2024</v>
      </c>
      <c r="B254" s="520">
        <f t="shared" si="31"/>
        <v>1.0269999999999999</v>
      </c>
      <c r="C254" s="521">
        <v>1.1230951377568885</v>
      </c>
      <c r="D254" s="521">
        <v>1.0737047206088797</v>
      </c>
      <c r="E254" s="521">
        <v>1.0454768457730086</v>
      </c>
      <c r="F254" s="521">
        <v>1.0229714733591082</v>
      </c>
      <c r="G254" s="526" t="s">
        <v>403</v>
      </c>
      <c r="H254" s="171">
        <f t="shared" si="32"/>
        <v>2024</v>
      </c>
      <c r="I254" s="527">
        <f>IF(Sheet1!$E$82&lt;A254,I253*B254,IF(Sheet1!$E$82=A254,1,I255/B255))</f>
        <v>1</v>
      </c>
      <c r="J254" s="528">
        <f t="shared" si="33"/>
        <v>1.045476845773009</v>
      </c>
      <c r="K254" s="171" t="str">
        <f>IF(I254=1,"&lt;Base Year","")</f>
        <v>&lt;Base Year</v>
      </c>
      <c r="L254" s="171"/>
      <c r="M254" s="171"/>
    </row>
    <row r="255" spans="1:23" x14ac:dyDescent="0.2">
      <c r="A255" s="501">
        <f t="shared" si="30"/>
        <v>2025</v>
      </c>
      <c r="B255" s="520">
        <f t="shared" si="31"/>
        <v>1.022</v>
      </c>
      <c r="C255" s="521">
        <v>1.1467270584125222</v>
      </c>
      <c r="D255" s="521">
        <v>1.0962973789794668</v>
      </c>
      <c r="E255" s="521">
        <v>1.0674755394152551</v>
      </c>
      <c r="F255" s="521">
        <v>1.0444966139092515</v>
      </c>
      <c r="G255" s="526" t="s">
        <v>405</v>
      </c>
      <c r="H255" s="171">
        <f t="shared" si="32"/>
        <v>2025</v>
      </c>
      <c r="I255" s="527">
        <f>IF(Sheet1!$E$82&lt;A255,I254*B255,IF(Sheet1!$E$82=A255,1,1))</f>
        <v>1.022</v>
      </c>
      <c r="J255" s="528">
        <f t="shared" si="33"/>
        <v>1.0674755394152553</v>
      </c>
      <c r="K255" s="171" t="str">
        <f>IF(I255=1,"&lt;Base Year","")</f>
        <v/>
      </c>
      <c r="L255" s="171"/>
      <c r="M255" s="171"/>
    </row>
    <row r="256" spans="1:23" x14ac:dyDescent="0.2">
      <c r="A256" s="501">
        <f t="shared" si="30"/>
        <v>2026</v>
      </c>
      <c r="B256" s="520">
        <f t="shared" si="31"/>
        <v>1.0209999999999999</v>
      </c>
      <c r="C256" s="503"/>
      <c r="D256" s="503"/>
      <c r="E256" s="503"/>
      <c r="F256" s="503"/>
      <c r="G256" s="504"/>
      <c r="H256" s="171">
        <f t="shared" si="32"/>
        <v>2026</v>
      </c>
      <c r="I256" s="523">
        <f t="shared" ref="I256:I319" si="34">+I255*B256</f>
        <v>1.0434619999999999</v>
      </c>
      <c r="J256" s="523">
        <f t="shared" si="33"/>
        <v>1.0898925257429755</v>
      </c>
      <c r="K256" s="171"/>
      <c r="L256" s="171"/>
      <c r="M256" s="171"/>
    </row>
    <row r="257" spans="1:13" x14ac:dyDescent="0.2">
      <c r="A257" s="501">
        <f t="shared" si="30"/>
        <v>2027</v>
      </c>
      <c r="B257" s="520">
        <f t="shared" si="31"/>
        <v>1.0209999999999999</v>
      </c>
      <c r="C257" s="503"/>
      <c r="D257" s="503"/>
      <c r="E257" s="503"/>
      <c r="F257" s="503"/>
      <c r="G257" s="504"/>
      <c r="H257" s="171">
        <f t="shared" si="32"/>
        <v>2027</v>
      </c>
      <c r="I257" s="523">
        <f t="shared" si="34"/>
        <v>1.0653747019999997</v>
      </c>
      <c r="J257" s="523">
        <f t="shared" si="33"/>
        <v>1.1127802687835777</v>
      </c>
      <c r="K257" s="171"/>
      <c r="L257" s="171"/>
      <c r="M257" s="171"/>
    </row>
    <row r="258" spans="1:13" x14ac:dyDescent="0.2">
      <c r="A258" s="501">
        <f t="shared" si="30"/>
        <v>2028</v>
      </c>
      <c r="B258" s="520">
        <f t="shared" si="31"/>
        <v>1.0209999999999999</v>
      </c>
      <c r="C258" s="503"/>
      <c r="D258" s="503"/>
      <c r="E258" s="503"/>
      <c r="F258" s="503"/>
      <c r="G258" s="504"/>
      <c r="H258" s="171">
        <f t="shared" si="32"/>
        <v>2028</v>
      </c>
      <c r="I258" s="523">
        <f t="shared" si="34"/>
        <v>1.0877475707419997</v>
      </c>
      <c r="J258" s="523">
        <f t="shared" si="33"/>
        <v>1.1361486544280328</v>
      </c>
      <c r="K258" s="171"/>
      <c r="L258" s="171"/>
      <c r="M258" s="171"/>
    </row>
    <row r="259" spans="1:13" x14ac:dyDescent="0.2">
      <c r="A259" s="501">
        <f t="shared" si="30"/>
        <v>2029</v>
      </c>
      <c r="B259" s="520">
        <f t="shared" si="31"/>
        <v>1.0209999999999999</v>
      </c>
      <c r="C259" s="503"/>
      <c r="D259" s="503"/>
      <c r="E259" s="503"/>
      <c r="F259" s="503"/>
      <c r="G259" s="504"/>
      <c r="H259" s="171">
        <f t="shared" si="32"/>
        <v>2029</v>
      </c>
      <c r="I259" s="523">
        <f t="shared" si="34"/>
        <v>1.1105902697275816</v>
      </c>
      <c r="J259" s="523">
        <f t="shared" si="33"/>
        <v>1.1600077761710212</v>
      </c>
      <c r="K259" s="171"/>
      <c r="L259" s="171"/>
      <c r="M259" s="171"/>
    </row>
    <row r="260" spans="1:13" x14ac:dyDescent="0.2">
      <c r="A260" s="501">
        <f t="shared" si="30"/>
        <v>2030</v>
      </c>
      <c r="B260" s="520">
        <f t="shared" si="31"/>
        <v>1.0209999999999999</v>
      </c>
      <c r="C260" s="503"/>
      <c r="D260" s="503"/>
      <c r="E260" s="503"/>
      <c r="F260" s="503"/>
      <c r="G260" s="504"/>
      <c r="H260" s="171">
        <f t="shared" si="32"/>
        <v>2030</v>
      </c>
      <c r="I260" s="523">
        <f t="shared" si="34"/>
        <v>1.1339126653918608</v>
      </c>
      <c r="J260" s="523">
        <f t="shared" si="33"/>
        <v>1.1843679394706128</v>
      </c>
      <c r="K260" s="171"/>
      <c r="L260" s="171"/>
      <c r="M260" s="171"/>
    </row>
    <row r="261" spans="1:13" x14ac:dyDescent="0.2">
      <c r="A261" s="501">
        <f t="shared" si="30"/>
        <v>2031</v>
      </c>
      <c r="B261" s="520">
        <f t="shared" si="31"/>
        <v>1.0209999999999999</v>
      </c>
      <c r="C261" s="503"/>
      <c r="D261" s="503"/>
      <c r="E261" s="503"/>
      <c r="F261" s="503"/>
      <c r="G261" s="504"/>
      <c r="H261" s="171">
        <f t="shared" si="32"/>
        <v>2031</v>
      </c>
      <c r="I261" s="523">
        <f t="shared" si="34"/>
        <v>1.1577248313650896</v>
      </c>
      <c r="J261" s="523">
        <f t="shared" si="33"/>
        <v>1.2092396661994955</v>
      </c>
      <c r="K261" s="171"/>
      <c r="L261" s="171"/>
      <c r="M261" s="171"/>
    </row>
    <row r="262" spans="1:13" x14ac:dyDescent="0.2">
      <c r="A262" s="501">
        <f t="shared" si="30"/>
        <v>2032</v>
      </c>
      <c r="B262" s="520">
        <f t="shared" si="31"/>
        <v>1.0209999999999999</v>
      </c>
      <c r="C262" s="503"/>
      <c r="D262" s="503"/>
      <c r="E262" s="503"/>
      <c r="F262" s="503"/>
      <c r="G262" s="504"/>
      <c r="H262" s="171">
        <f t="shared" si="32"/>
        <v>2032</v>
      </c>
      <c r="I262" s="523">
        <f t="shared" si="34"/>
        <v>1.1820370528237565</v>
      </c>
      <c r="J262" s="523">
        <f t="shared" si="33"/>
        <v>1.2346336991896851</v>
      </c>
      <c r="K262" s="171"/>
      <c r="L262" s="171"/>
      <c r="M262" s="171"/>
    </row>
    <row r="263" spans="1:13" x14ac:dyDescent="0.2">
      <c r="A263" s="501">
        <f t="shared" si="30"/>
        <v>2033</v>
      </c>
      <c r="B263" s="520">
        <f t="shared" si="31"/>
        <v>1.0209999999999999</v>
      </c>
      <c r="C263" s="503"/>
      <c r="D263" s="503"/>
      <c r="E263" s="503"/>
      <c r="F263" s="503"/>
      <c r="G263" s="504"/>
      <c r="H263" s="171">
        <f t="shared" si="32"/>
        <v>2033</v>
      </c>
      <c r="I263" s="523">
        <f t="shared" si="34"/>
        <v>1.2068598309330552</v>
      </c>
      <c r="J263" s="523">
        <f t="shared" si="33"/>
        <v>1.2605610068726683</v>
      </c>
      <c r="K263" s="171"/>
      <c r="L263" s="171"/>
      <c r="M263" s="171"/>
    </row>
    <row r="264" spans="1:13" x14ac:dyDescent="0.2">
      <c r="A264" s="501">
        <f t="shared" si="30"/>
        <v>2034</v>
      </c>
      <c r="B264" s="520">
        <f t="shared" si="31"/>
        <v>1.0209999999999999</v>
      </c>
      <c r="C264" s="503"/>
      <c r="D264" s="503"/>
      <c r="E264" s="503"/>
      <c r="F264" s="503"/>
      <c r="G264" s="504"/>
      <c r="H264" s="171">
        <f t="shared" si="32"/>
        <v>2034</v>
      </c>
      <c r="I264" s="523">
        <f t="shared" si="34"/>
        <v>1.2322038873826493</v>
      </c>
      <c r="J264" s="523">
        <f t="shared" si="33"/>
        <v>1.2870327880169941</v>
      </c>
      <c r="K264" s="171"/>
      <c r="L264" s="171"/>
      <c r="M264" s="171"/>
    </row>
    <row r="265" spans="1:13" x14ac:dyDescent="0.2">
      <c r="A265" s="501">
        <f t="shared" si="30"/>
        <v>2035</v>
      </c>
      <c r="B265" s="520">
        <f t="shared" si="31"/>
        <v>1.0209999999999999</v>
      </c>
      <c r="C265" s="503"/>
      <c r="D265" s="503"/>
      <c r="E265" s="503"/>
      <c r="F265" s="503"/>
      <c r="G265" s="504"/>
      <c r="H265" s="171">
        <f t="shared" si="32"/>
        <v>2035</v>
      </c>
      <c r="I265" s="523">
        <f t="shared" si="34"/>
        <v>1.2580801690176848</v>
      </c>
      <c r="J265" s="523">
        <f t="shared" si="33"/>
        <v>1.314060476565351</v>
      </c>
      <c r="K265" s="171"/>
      <c r="L265" s="171"/>
      <c r="M265" s="171"/>
    </row>
    <row r="266" spans="1:13" x14ac:dyDescent="0.2">
      <c r="A266" s="501">
        <f t="shared" si="30"/>
        <v>2036</v>
      </c>
      <c r="B266" s="520">
        <f t="shared" si="31"/>
        <v>1.0209999999999999</v>
      </c>
      <c r="C266" s="503"/>
      <c r="D266" s="503"/>
      <c r="E266" s="503"/>
      <c r="F266" s="503"/>
      <c r="G266" s="504"/>
      <c r="H266" s="171">
        <f t="shared" si="32"/>
        <v>2036</v>
      </c>
      <c r="I266" s="523">
        <f t="shared" si="34"/>
        <v>1.2844998525670561</v>
      </c>
      <c r="J266" s="523">
        <f t="shared" si="33"/>
        <v>1.3416557465732231</v>
      </c>
      <c r="K266" s="171"/>
      <c r="L266" s="171"/>
      <c r="M266" s="171"/>
    </row>
    <row r="267" spans="1:13" x14ac:dyDescent="0.2">
      <c r="A267" s="501">
        <f t="shared" si="30"/>
        <v>2037</v>
      </c>
      <c r="B267" s="520">
        <f t="shared" si="31"/>
        <v>1.0209999999999999</v>
      </c>
      <c r="C267" s="503"/>
      <c r="D267" s="503"/>
      <c r="E267" s="503"/>
      <c r="F267" s="503"/>
      <c r="G267" s="504"/>
      <c r="H267" s="171">
        <f t="shared" si="32"/>
        <v>2037</v>
      </c>
      <c r="I267" s="523">
        <f t="shared" si="34"/>
        <v>1.3114743494709642</v>
      </c>
      <c r="J267" s="523">
        <f t="shared" si="33"/>
        <v>1.3698305172512606</v>
      </c>
      <c r="K267" s="171"/>
      <c r="L267" s="171"/>
      <c r="M267" s="171"/>
    </row>
    <row r="268" spans="1:13" x14ac:dyDescent="0.2">
      <c r="A268" s="501">
        <f t="shared" si="30"/>
        <v>2038</v>
      </c>
      <c r="B268" s="520">
        <f t="shared" si="31"/>
        <v>1.0209999999999999</v>
      </c>
      <c r="C268" s="503"/>
      <c r="D268" s="503"/>
      <c r="E268" s="503"/>
      <c r="F268" s="503"/>
      <c r="G268" s="504"/>
      <c r="H268" s="171">
        <f t="shared" si="32"/>
        <v>2038</v>
      </c>
      <c r="I268" s="523">
        <f t="shared" si="34"/>
        <v>1.3390153108098544</v>
      </c>
      <c r="J268" s="523">
        <f t="shared" si="33"/>
        <v>1.3985969581135373</v>
      </c>
      <c r="K268" s="171"/>
      <c r="L268" s="171"/>
      <c r="M268" s="171"/>
    </row>
    <row r="269" spans="1:13" x14ac:dyDescent="0.2">
      <c r="A269" s="501">
        <f t="shared" si="30"/>
        <v>2039</v>
      </c>
      <c r="B269" s="520">
        <f t="shared" si="31"/>
        <v>1.0209999999999999</v>
      </c>
      <c r="C269" s="503"/>
      <c r="D269" s="503"/>
      <c r="E269" s="503"/>
      <c r="F269" s="503"/>
      <c r="G269" s="504"/>
      <c r="H269" s="171">
        <f t="shared" si="32"/>
        <v>2039</v>
      </c>
      <c r="I269" s="523">
        <f t="shared" si="34"/>
        <v>1.3671346323368612</v>
      </c>
      <c r="J269" s="523">
        <f t="shared" si="33"/>
        <v>1.4279674942339216</v>
      </c>
      <c r="K269" s="171"/>
      <c r="L269" s="171"/>
      <c r="M269" s="171"/>
    </row>
    <row r="270" spans="1:13" x14ac:dyDescent="0.2">
      <c r="A270" s="501">
        <f t="shared" si="30"/>
        <v>2040</v>
      </c>
      <c r="B270" s="520">
        <f t="shared" si="31"/>
        <v>1.0209999999999999</v>
      </c>
      <c r="C270" s="503"/>
      <c r="D270" s="503"/>
      <c r="E270" s="503"/>
      <c r="F270" s="503"/>
      <c r="G270" s="504"/>
      <c r="H270" s="171">
        <f t="shared" si="32"/>
        <v>2040</v>
      </c>
      <c r="I270" s="523">
        <f t="shared" si="34"/>
        <v>1.3958444596159352</v>
      </c>
      <c r="J270" s="523">
        <f t="shared" si="33"/>
        <v>1.4579548116128336</v>
      </c>
      <c r="K270" s="171"/>
      <c r="L270" s="171"/>
      <c r="M270" s="171"/>
    </row>
    <row r="271" spans="1:13" x14ac:dyDescent="0.2">
      <c r="A271" s="501">
        <f t="shared" si="30"/>
        <v>2041</v>
      </c>
      <c r="B271" s="520">
        <f t="shared" si="31"/>
        <v>1.0209999999999999</v>
      </c>
      <c r="C271" s="503"/>
      <c r="D271" s="503"/>
      <c r="E271" s="503"/>
      <c r="F271" s="503"/>
      <c r="G271" s="504"/>
      <c r="H271" s="171">
        <f t="shared" si="32"/>
        <v>2041</v>
      </c>
      <c r="I271" s="523">
        <f t="shared" si="34"/>
        <v>1.4251571932678697</v>
      </c>
      <c r="J271" s="523">
        <f t="shared" si="33"/>
        <v>1.4885718626567028</v>
      </c>
      <c r="K271" s="171"/>
      <c r="L271" s="171"/>
      <c r="M271" s="171"/>
    </row>
    <row r="272" spans="1:13" x14ac:dyDescent="0.2">
      <c r="A272" s="501">
        <f t="shared" si="30"/>
        <v>2042</v>
      </c>
      <c r="B272" s="520">
        <f t="shared" si="31"/>
        <v>1.0209999999999999</v>
      </c>
      <c r="C272" s="503"/>
      <c r="D272" s="503"/>
      <c r="E272" s="503"/>
      <c r="F272" s="503"/>
      <c r="G272" s="504"/>
      <c r="H272" s="171">
        <f t="shared" si="32"/>
        <v>2042</v>
      </c>
      <c r="I272" s="523">
        <f t="shared" si="34"/>
        <v>1.4550854943264948</v>
      </c>
      <c r="J272" s="523">
        <f t="shared" si="33"/>
        <v>1.5198318717724939</v>
      </c>
      <c r="K272" s="171"/>
      <c r="L272" s="171"/>
      <c r="M272" s="171"/>
    </row>
    <row r="273" spans="1:16" x14ac:dyDescent="0.2">
      <c r="A273" s="501">
        <f t="shared" si="30"/>
        <v>2043</v>
      </c>
      <c r="B273" s="520">
        <f t="shared" si="31"/>
        <v>1.0209999999999999</v>
      </c>
      <c r="C273" s="503"/>
      <c r="D273" s="503"/>
      <c r="E273" s="503"/>
      <c r="F273" s="503"/>
      <c r="G273" s="504"/>
      <c r="H273" s="171">
        <f t="shared" si="32"/>
        <v>2043</v>
      </c>
      <c r="I273" s="523">
        <f t="shared" si="34"/>
        <v>1.4856422897073511</v>
      </c>
      <c r="J273" s="523">
        <f t="shared" si="33"/>
        <v>1.5517483410797159</v>
      </c>
      <c r="K273" s="171"/>
      <c r="L273" s="171"/>
      <c r="M273" s="171"/>
    </row>
    <row r="274" spans="1:16" x14ac:dyDescent="0.2">
      <c r="A274" s="501">
        <f t="shared" si="30"/>
        <v>2044</v>
      </c>
      <c r="B274" s="520">
        <f t="shared" si="31"/>
        <v>1.0209999999999999</v>
      </c>
      <c r="C274" s="503"/>
      <c r="D274" s="503"/>
      <c r="E274" s="503"/>
      <c r="F274" s="503"/>
      <c r="G274" s="504"/>
      <c r="H274" s="171">
        <f t="shared" si="32"/>
        <v>2044</v>
      </c>
      <c r="I274" s="523">
        <f t="shared" si="34"/>
        <v>1.5168407777912054</v>
      </c>
      <c r="J274" s="523">
        <f t="shared" si="33"/>
        <v>1.5843350562423895</v>
      </c>
      <c r="K274" s="171"/>
      <c r="L274" s="171"/>
      <c r="M274" s="171"/>
    </row>
    <row r="275" spans="1:16" x14ac:dyDescent="0.2">
      <c r="A275" s="501">
        <f t="shared" si="30"/>
        <v>2045</v>
      </c>
      <c r="B275" s="520">
        <f t="shared" si="31"/>
        <v>1.0209999999999999</v>
      </c>
      <c r="C275" s="503"/>
      <c r="D275" s="503"/>
      <c r="E275" s="503"/>
      <c r="F275" s="503"/>
      <c r="G275" s="504"/>
      <c r="H275" s="171">
        <f t="shared" si="32"/>
        <v>2045</v>
      </c>
      <c r="I275" s="523">
        <f t="shared" si="34"/>
        <v>1.5486944341248206</v>
      </c>
      <c r="J275" s="523">
        <f t="shared" si="33"/>
        <v>1.6176060924234799</v>
      </c>
      <c r="K275" s="171"/>
      <c r="L275" s="171"/>
      <c r="M275" s="171"/>
    </row>
    <row r="276" spans="1:16" x14ac:dyDescent="0.2">
      <c r="A276" s="501">
        <f t="shared" si="30"/>
        <v>2046</v>
      </c>
      <c r="B276" s="520">
        <f t="shared" si="31"/>
        <v>1.0209999999999999</v>
      </c>
      <c r="C276" s="503"/>
      <c r="D276" s="503"/>
      <c r="E276" s="503"/>
      <c r="F276" s="503"/>
      <c r="G276" s="504"/>
      <c r="H276" s="171">
        <f t="shared" si="32"/>
        <v>2046</v>
      </c>
      <c r="I276" s="523">
        <f t="shared" si="34"/>
        <v>1.5812170172414417</v>
      </c>
      <c r="J276" s="523">
        <f t="shared" si="33"/>
        <v>1.6515758203643727</v>
      </c>
      <c r="K276" s="171"/>
      <c r="L276" s="171"/>
      <c r="M276" s="171"/>
    </row>
    <row r="277" spans="1:16" x14ac:dyDescent="0.2">
      <c r="A277" s="501">
        <f t="shared" si="30"/>
        <v>2047</v>
      </c>
      <c r="B277" s="520">
        <f t="shared" si="31"/>
        <v>1.0209999999999999</v>
      </c>
      <c r="C277" s="503"/>
      <c r="D277" s="503"/>
      <c r="E277" s="503"/>
      <c r="F277" s="503"/>
      <c r="G277" s="504"/>
      <c r="H277" s="171">
        <f t="shared" si="32"/>
        <v>2047</v>
      </c>
      <c r="I277" s="523">
        <f t="shared" si="34"/>
        <v>1.6144225746035119</v>
      </c>
      <c r="J277" s="523">
        <f t="shared" si="33"/>
        <v>1.6862589125920249</v>
      </c>
      <c r="K277" s="171"/>
      <c r="L277" s="171"/>
      <c r="M277" s="171"/>
    </row>
    <row r="278" spans="1:16" x14ac:dyDescent="0.2">
      <c r="A278" s="501">
        <f t="shared" si="30"/>
        <v>2048</v>
      </c>
      <c r="B278" s="520">
        <f t="shared" si="31"/>
        <v>1.0209999999999999</v>
      </c>
      <c r="C278" s="503"/>
      <c r="D278" s="503"/>
      <c r="E278" s="503"/>
      <c r="F278" s="503"/>
      <c r="G278" s="504"/>
      <c r="H278" s="171">
        <f t="shared" si="32"/>
        <v>2048</v>
      </c>
      <c r="I278" s="523">
        <f t="shared" si="34"/>
        <v>1.6483254486701855</v>
      </c>
      <c r="J278" s="523">
        <f t="shared" si="33"/>
        <v>1.7216703497564565</v>
      </c>
      <c r="K278" s="171"/>
      <c r="L278" s="171"/>
      <c r="M278" s="171"/>
    </row>
    <row r="279" spans="1:16" x14ac:dyDescent="0.2">
      <c r="A279" s="501">
        <f t="shared" si="30"/>
        <v>2049</v>
      </c>
      <c r="B279" s="520">
        <f t="shared" si="31"/>
        <v>1.0209999999999999</v>
      </c>
      <c r="C279" s="503"/>
      <c r="D279" s="503"/>
      <c r="E279" s="503"/>
      <c r="F279" s="503"/>
      <c r="G279" s="504"/>
      <c r="H279" s="171">
        <f t="shared" si="32"/>
        <v>2049</v>
      </c>
      <c r="I279" s="523">
        <f t="shared" si="34"/>
        <v>1.6829402830922593</v>
      </c>
      <c r="J279" s="523">
        <f t="shared" si="33"/>
        <v>1.7578254271013425</v>
      </c>
      <c r="K279" s="171"/>
      <c r="L279" s="171"/>
      <c r="M279" s="171"/>
    </row>
    <row r="280" spans="1:16" x14ac:dyDescent="0.2">
      <c r="A280" s="501">
        <f t="shared" si="30"/>
        <v>2050</v>
      </c>
      <c r="B280" s="520">
        <f t="shared" si="31"/>
        <v>1.0209999999999999</v>
      </c>
      <c r="C280" s="503"/>
      <c r="D280" s="503"/>
      <c r="E280" s="503"/>
      <c r="F280" s="503"/>
      <c r="G280" s="504"/>
      <c r="H280" s="171">
        <f t="shared" si="32"/>
        <v>2050</v>
      </c>
      <c r="I280" s="523">
        <f t="shared" si="34"/>
        <v>1.7182820290371965</v>
      </c>
      <c r="J280" s="523">
        <f t="shared" si="33"/>
        <v>1.7947397610704698</v>
      </c>
      <c r="K280" s="171"/>
      <c r="L280" s="171"/>
      <c r="M280" s="171"/>
    </row>
    <row r="281" spans="1:16" x14ac:dyDescent="0.2">
      <c r="A281" s="501">
        <f t="shared" si="30"/>
        <v>2051</v>
      </c>
      <c r="B281" s="520">
        <f t="shared" si="31"/>
        <v>1.0209999999999999</v>
      </c>
      <c r="C281" s="503"/>
      <c r="D281" s="503"/>
      <c r="E281" s="503"/>
      <c r="F281" s="503"/>
      <c r="G281" s="504"/>
      <c r="H281" s="171">
        <f t="shared" si="32"/>
        <v>2051</v>
      </c>
      <c r="I281" s="523">
        <f t="shared" si="34"/>
        <v>1.7543659516469774</v>
      </c>
      <c r="J281" s="523">
        <f t="shared" si="33"/>
        <v>1.8324292960529496</v>
      </c>
      <c r="K281" s="171"/>
      <c r="L281" s="171"/>
      <c r="M281" s="171"/>
    </row>
    <row r="282" spans="1:16" x14ac:dyDescent="0.2">
      <c r="A282" s="501">
        <f t="shared" si="30"/>
        <v>2052</v>
      </c>
      <c r="B282" s="520">
        <f t="shared" si="31"/>
        <v>1.0209999999999999</v>
      </c>
      <c r="C282" s="503"/>
      <c r="D282" s="503"/>
      <c r="E282" s="503"/>
      <c r="F282" s="503"/>
      <c r="G282" s="504"/>
      <c r="H282" s="171">
        <f t="shared" si="32"/>
        <v>2052</v>
      </c>
      <c r="I282" s="523">
        <f t="shared" si="34"/>
        <v>1.7912076366315637</v>
      </c>
      <c r="J282" s="523">
        <f t="shared" si="33"/>
        <v>1.8709103112700614</v>
      </c>
      <c r="K282" s="171"/>
      <c r="L282" s="171"/>
      <c r="M282" s="171"/>
    </row>
    <row r="283" spans="1:16" x14ac:dyDescent="0.2">
      <c r="A283" s="501">
        <f t="shared" si="30"/>
        <v>2053</v>
      </c>
      <c r="B283" s="520">
        <f t="shared" si="31"/>
        <v>1.0209999999999999</v>
      </c>
      <c r="C283" s="503"/>
      <c r="D283" s="503"/>
      <c r="E283" s="503"/>
      <c r="F283" s="503"/>
      <c r="G283" s="504"/>
      <c r="H283" s="171">
        <f t="shared" si="32"/>
        <v>2053</v>
      </c>
      <c r="I283" s="523">
        <f t="shared" si="34"/>
        <v>1.8288229970008263</v>
      </c>
      <c r="J283" s="523">
        <f t="shared" si="33"/>
        <v>1.9101994278067329</v>
      </c>
      <c r="K283" s="171"/>
      <c r="L283" s="171"/>
      <c r="M283" s="171"/>
    </row>
    <row r="284" spans="1:16" x14ac:dyDescent="0.2">
      <c r="A284" s="501">
        <f t="shared" si="30"/>
        <v>2054</v>
      </c>
      <c r="B284" s="520">
        <f t="shared" si="31"/>
        <v>1.0209999999999999</v>
      </c>
      <c r="C284" s="503"/>
      <c r="D284" s="503"/>
      <c r="E284" s="503"/>
      <c r="F284" s="503"/>
      <c r="G284" s="504"/>
      <c r="H284" s="171">
        <f t="shared" si="32"/>
        <v>2054</v>
      </c>
      <c r="I284" s="523">
        <f t="shared" si="34"/>
        <v>1.8672282799378435</v>
      </c>
      <c r="J284" s="523">
        <f t="shared" si="33"/>
        <v>1.9503136157906735</v>
      </c>
      <c r="K284" s="171"/>
      <c r="L284" s="171"/>
      <c r="M284" s="171"/>
    </row>
    <row r="285" spans="1:16" x14ac:dyDescent="0.2">
      <c r="A285" s="501">
        <f t="shared" si="30"/>
        <v>2055</v>
      </c>
      <c r="B285" s="520">
        <f t="shared" si="31"/>
        <v>1.0209999999999999</v>
      </c>
      <c r="C285" s="503"/>
      <c r="D285" s="503"/>
      <c r="E285" s="503"/>
      <c r="F285" s="503"/>
      <c r="G285" s="504"/>
      <c r="H285" s="171">
        <f t="shared" si="32"/>
        <v>2055</v>
      </c>
      <c r="I285" s="523">
        <f t="shared" si="34"/>
        <v>1.9064400738165379</v>
      </c>
      <c r="J285" s="523">
        <f t="shared" si="33"/>
        <v>1.9912702017222779</v>
      </c>
      <c r="K285" s="171"/>
      <c r="L285" s="171"/>
      <c r="M285" s="171"/>
    </row>
    <row r="286" spans="1:16" x14ac:dyDescent="0.2">
      <c r="A286" s="501">
        <f t="shared" si="30"/>
        <v>2056</v>
      </c>
      <c r="B286" s="520">
        <f t="shared" si="31"/>
        <v>1.0209999999999999</v>
      </c>
      <c r="C286" s="503"/>
      <c r="D286" s="503"/>
      <c r="E286" s="503"/>
      <c r="F286" s="503"/>
      <c r="G286" s="504"/>
      <c r="H286" s="171">
        <f t="shared" si="32"/>
        <v>2056</v>
      </c>
      <c r="I286" s="523">
        <f t="shared" si="34"/>
        <v>1.9464753153666849</v>
      </c>
      <c r="J286" s="523">
        <f t="shared" si="33"/>
        <v>2.0330868759584453</v>
      </c>
      <c r="K286" s="171"/>
      <c r="L286" s="171"/>
      <c r="M286" s="171"/>
    </row>
    <row r="287" spans="1:16" x14ac:dyDescent="0.2">
      <c r="A287" s="501">
        <f t="shared" si="30"/>
        <v>2057</v>
      </c>
      <c r="B287" s="520">
        <f t="shared" si="31"/>
        <v>1.0209999999999999</v>
      </c>
      <c r="C287" s="503"/>
      <c r="D287" s="503"/>
      <c r="E287" s="503"/>
      <c r="F287" s="503"/>
      <c r="G287" s="504"/>
      <c r="H287" s="171">
        <f t="shared" si="32"/>
        <v>2057</v>
      </c>
      <c r="I287" s="523">
        <f t="shared" si="34"/>
        <v>1.9873512969893852</v>
      </c>
      <c r="J287" s="523">
        <f t="shared" si="33"/>
        <v>2.0757817003535726</v>
      </c>
      <c r="K287" s="171"/>
      <c r="L287" s="171"/>
      <c r="M287" s="171"/>
    </row>
    <row r="288" spans="1:16" x14ac:dyDescent="0.2">
      <c r="A288" s="501">
        <f t="shared" si="30"/>
        <v>2058</v>
      </c>
      <c r="B288" s="520">
        <f t="shared" si="31"/>
        <v>1.0209999999999999</v>
      </c>
      <c r="C288" s="503"/>
      <c r="D288" s="503"/>
      <c r="E288" s="503"/>
      <c r="F288" s="503"/>
      <c r="G288" s="504"/>
      <c r="H288" s="171">
        <f t="shared" si="32"/>
        <v>2058</v>
      </c>
      <c r="I288" s="523">
        <f t="shared" si="34"/>
        <v>2.0290856742261623</v>
      </c>
      <c r="J288" s="523">
        <f t="shared" si="33"/>
        <v>2.1193731160609977</v>
      </c>
      <c r="K288" s="171"/>
      <c r="L288" s="171"/>
      <c r="M288" s="171"/>
      <c r="P288" s="529"/>
    </row>
    <row r="289" spans="1:16" x14ac:dyDescent="0.2">
      <c r="A289" s="501">
        <f t="shared" si="30"/>
        <v>2059</v>
      </c>
      <c r="B289" s="520">
        <f t="shared" si="31"/>
        <v>1.0209999999999999</v>
      </c>
      <c r="C289" s="503"/>
      <c r="D289" s="503"/>
      <c r="E289" s="503"/>
      <c r="F289" s="503"/>
      <c r="G289" s="504"/>
      <c r="H289" s="171">
        <f t="shared" si="32"/>
        <v>2059</v>
      </c>
      <c r="I289" s="523">
        <f t="shared" si="34"/>
        <v>2.0716964733849115</v>
      </c>
      <c r="J289" s="523">
        <f t="shared" si="33"/>
        <v>2.1638799514982781</v>
      </c>
      <c r="K289" s="171"/>
      <c r="L289" s="171"/>
      <c r="M289" s="171"/>
      <c r="P289" s="529"/>
    </row>
    <row r="290" spans="1:16" x14ac:dyDescent="0.2">
      <c r="A290" s="501">
        <f t="shared" si="30"/>
        <v>2060</v>
      </c>
      <c r="B290" s="520">
        <f t="shared" si="31"/>
        <v>1.0209999999999999</v>
      </c>
      <c r="C290" s="503"/>
      <c r="D290" s="503"/>
      <c r="E290" s="503"/>
      <c r="F290" s="503"/>
      <c r="G290" s="504"/>
      <c r="H290" s="171">
        <f t="shared" si="32"/>
        <v>2060</v>
      </c>
      <c r="I290" s="523">
        <f t="shared" si="34"/>
        <v>2.1152020993259946</v>
      </c>
      <c r="J290" s="523">
        <f t="shared" si="33"/>
        <v>2.2093214304797422</v>
      </c>
      <c r="K290" s="171"/>
      <c r="L290" s="171"/>
      <c r="M290" s="171"/>
      <c r="P290" s="529"/>
    </row>
    <row r="291" spans="1:16" x14ac:dyDescent="0.2">
      <c r="A291" s="501">
        <f t="shared" si="30"/>
        <v>2061</v>
      </c>
      <c r="B291" s="520">
        <f t="shared" si="31"/>
        <v>1.0209999999999999</v>
      </c>
      <c r="C291" s="503"/>
      <c r="D291" s="503"/>
      <c r="E291" s="503"/>
      <c r="F291" s="503"/>
      <c r="G291" s="504"/>
      <c r="H291" s="171">
        <f t="shared" si="32"/>
        <v>2061</v>
      </c>
      <c r="I291" s="523">
        <f t="shared" si="34"/>
        <v>2.1596213434118403</v>
      </c>
      <c r="J291" s="523">
        <f t="shared" si="33"/>
        <v>2.2557171805198162</v>
      </c>
      <c r="K291" s="171"/>
      <c r="L291" s="171"/>
      <c r="M291" s="171"/>
      <c r="P291" s="529"/>
    </row>
    <row r="292" spans="1:16" x14ac:dyDescent="0.2">
      <c r="A292" s="501">
        <f t="shared" si="30"/>
        <v>2062</v>
      </c>
      <c r="B292" s="520">
        <f t="shared" si="31"/>
        <v>1.0209999999999999</v>
      </c>
      <c r="C292" s="503"/>
      <c r="D292" s="503"/>
      <c r="E292" s="503"/>
      <c r="F292" s="503"/>
      <c r="G292" s="504"/>
      <c r="H292" s="171">
        <f t="shared" si="32"/>
        <v>2062</v>
      </c>
      <c r="I292" s="523">
        <f t="shared" si="34"/>
        <v>2.2049733916234886</v>
      </c>
      <c r="J292" s="523">
        <f t="shared" si="33"/>
        <v>2.3030872413107324</v>
      </c>
      <c r="K292" s="171"/>
      <c r="L292" s="171"/>
      <c r="M292" s="171"/>
      <c r="P292" s="529"/>
    </row>
    <row r="293" spans="1:16" x14ac:dyDescent="0.2">
      <c r="A293" s="501">
        <f t="shared" si="30"/>
        <v>2063</v>
      </c>
      <c r="B293" s="520">
        <f t="shared" si="31"/>
        <v>1.0209999999999999</v>
      </c>
      <c r="C293" s="503"/>
      <c r="D293" s="503"/>
      <c r="E293" s="503"/>
      <c r="F293" s="503"/>
      <c r="G293" s="504"/>
      <c r="H293" s="171">
        <f t="shared" si="32"/>
        <v>2063</v>
      </c>
      <c r="I293" s="523">
        <f t="shared" si="34"/>
        <v>2.2512778328475815</v>
      </c>
      <c r="J293" s="523">
        <f t="shared" si="33"/>
        <v>2.3514520733782573</v>
      </c>
      <c r="K293" s="171"/>
      <c r="L293" s="171"/>
      <c r="M293" s="171"/>
      <c r="P293" s="529"/>
    </row>
    <row r="294" spans="1:16" x14ac:dyDescent="0.2">
      <c r="A294" s="501">
        <f t="shared" si="30"/>
        <v>2064</v>
      </c>
      <c r="B294" s="520">
        <f t="shared" si="31"/>
        <v>1.0209999999999999</v>
      </c>
      <c r="C294" s="503"/>
      <c r="D294" s="503"/>
      <c r="E294" s="503"/>
      <c r="F294" s="503"/>
      <c r="G294" s="504"/>
      <c r="H294" s="171">
        <f t="shared" si="32"/>
        <v>2064</v>
      </c>
      <c r="I294" s="523">
        <f t="shared" si="34"/>
        <v>2.2985546673373807</v>
      </c>
      <c r="J294" s="523">
        <f t="shared" si="33"/>
        <v>2.4008325669192012</v>
      </c>
      <c r="K294" s="171"/>
      <c r="L294" s="171"/>
      <c r="M294" s="171"/>
      <c r="P294" s="529"/>
    </row>
    <row r="295" spans="1:16" x14ac:dyDescent="0.2">
      <c r="A295" s="501">
        <f t="shared" si="30"/>
        <v>2065</v>
      </c>
      <c r="B295" s="520">
        <f t="shared" si="31"/>
        <v>1.0209999999999999</v>
      </c>
      <c r="C295" s="503"/>
      <c r="D295" s="503"/>
      <c r="E295" s="503"/>
      <c r="F295" s="503"/>
      <c r="G295" s="504"/>
      <c r="H295" s="171">
        <f t="shared" si="32"/>
        <v>2065</v>
      </c>
      <c r="I295" s="523">
        <f t="shared" si="34"/>
        <v>2.3468243153514656</v>
      </c>
      <c r="J295" s="523">
        <f t="shared" si="33"/>
        <v>2.4512500508245036</v>
      </c>
      <c r="K295" s="171"/>
      <c r="L295" s="171"/>
      <c r="M295" s="171"/>
    </row>
    <row r="296" spans="1:16" x14ac:dyDescent="0.2">
      <c r="A296" s="501">
        <f t="shared" si="30"/>
        <v>2066</v>
      </c>
      <c r="B296" s="520">
        <f t="shared" si="31"/>
        <v>1.0209999999999999</v>
      </c>
      <c r="C296" s="503"/>
      <c r="D296" s="503"/>
      <c r="E296" s="503"/>
      <c r="F296" s="503"/>
      <c r="G296" s="504"/>
      <c r="H296" s="171">
        <f t="shared" si="32"/>
        <v>2066</v>
      </c>
      <c r="I296" s="523">
        <f t="shared" si="34"/>
        <v>2.3961076259738463</v>
      </c>
      <c r="J296" s="523">
        <f t="shared" si="33"/>
        <v>2.5027263018918187</v>
      </c>
      <c r="K296" s="171"/>
      <c r="L296" s="171"/>
      <c r="M296" s="171"/>
    </row>
    <row r="297" spans="1:16" x14ac:dyDescent="0.2">
      <c r="A297" s="501">
        <f t="shared" si="30"/>
        <v>2067</v>
      </c>
      <c r="B297" s="520">
        <f t="shared" si="31"/>
        <v>1.0209999999999999</v>
      </c>
      <c r="C297" s="503"/>
      <c r="D297" s="503"/>
      <c r="E297" s="503"/>
      <c r="F297" s="503"/>
      <c r="G297" s="504"/>
      <c r="H297" s="171">
        <f t="shared" si="32"/>
        <v>2067</v>
      </c>
      <c r="I297" s="523">
        <f t="shared" si="34"/>
        <v>2.4464258861192967</v>
      </c>
      <c r="J297" s="523">
        <f t="shared" si="33"/>
        <v>2.5552835542315466</v>
      </c>
      <c r="K297" s="171"/>
      <c r="L297" s="171"/>
      <c r="M297" s="171"/>
    </row>
    <row r="298" spans="1:16" x14ac:dyDescent="0.2">
      <c r="A298" s="501">
        <f t="shared" si="30"/>
        <v>2068</v>
      </c>
      <c r="B298" s="520">
        <f t="shared" si="31"/>
        <v>1.0209999999999999</v>
      </c>
      <c r="C298" s="503"/>
      <c r="D298" s="503"/>
      <c r="E298" s="503"/>
      <c r="F298" s="503"/>
      <c r="G298" s="504"/>
      <c r="H298" s="171">
        <f t="shared" si="32"/>
        <v>2068</v>
      </c>
      <c r="I298" s="523">
        <f t="shared" si="34"/>
        <v>2.4978008297278018</v>
      </c>
      <c r="J298" s="523">
        <f t="shared" si="33"/>
        <v>2.6089445088704091</v>
      </c>
      <c r="K298" s="171"/>
      <c r="L298" s="171"/>
      <c r="M298" s="171"/>
    </row>
    <row r="299" spans="1:16" x14ac:dyDescent="0.2">
      <c r="A299" s="501">
        <f t="shared" si="30"/>
        <v>2069</v>
      </c>
      <c r="B299" s="520">
        <f t="shared" si="31"/>
        <v>1.0209999999999999</v>
      </c>
      <c r="C299" s="503"/>
      <c r="D299" s="503"/>
      <c r="E299" s="503"/>
      <c r="F299" s="503"/>
      <c r="G299" s="504"/>
      <c r="H299" s="171">
        <f t="shared" si="32"/>
        <v>2069</v>
      </c>
      <c r="I299" s="523">
        <f t="shared" si="34"/>
        <v>2.5502546471520855</v>
      </c>
      <c r="J299" s="523">
        <f t="shared" si="33"/>
        <v>2.6637323435566866</v>
      </c>
      <c r="K299" s="171"/>
      <c r="L299" s="171"/>
      <c r="M299" s="171"/>
    </row>
    <row r="300" spans="1:16" x14ac:dyDescent="0.2">
      <c r="A300" s="501">
        <f t="shared" si="30"/>
        <v>2070</v>
      </c>
      <c r="B300" s="520">
        <f t="shared" si="31"/>
        <v>1.0209999999999999</v>
      </c>
      <c r="C300" s="503"/>
      <c r="D300" s="503"/>
      <c r="E300" s="503"/>
      <c r="F300" s="503"/>
      <c r="G300" s="504"/>
      <c r="H300" s="171">
        <f t="shared" si="32"/>
        <v>2070</v>
      </c>
      <c r="I300" s="523">
        <f t="shared" si="34"/>
        <v>2.6038099947422793</v>
      </c>
      <c r="J300" s="523">
        <f t="shared" si="33"/>
        <v>2.7196707227713772</v>
      </c>
      <c r="K300" s="171"/>
      <c r="L300" s="171"/>
      <c r="M300" s="171"/>
    </row>
    <row r="301" spans="1:16" x14ac:dyDescent="0.2">
      <c r="A301" s="501">
        <f t="shared" si="30"/>
        <v>2071</v>
      </c>
      <c r="B301" s="520">
        <f t="shared" si="31"/>
        <v>1.0209999999999999</v>
      </c>
      <c r="C301" s="503"/>
      <c r="D301" s="503"/>
      <c r="E301" s="503"/>
      <c r="F301" s="503"/>
      <c r="G301" s="504"/>
      <c r="H301" s="171">
        <f t="shared" si="32"/>
        <v>2071</v>
      </c>
      <c r="I301" s="523">
        <f t="shared" si="34"/>
        <v>2.6584900046318669</v>
      </c>
      <c r="J301" s="523">
        <f t="shared" si="33"/>
        <v>2.7767838079495761</v>
      </c>
      <c r="K301" s="171"/>
      <c r="L301" s="171"/>
      <c r="M301" s="171"/>
    </row>
    <row r="302" spans="1:16" x14ac:dyDescent="0.2">
      <c r="A302" s="501">
        <f t="shared" si="30"/>
        <v>2072</v>
      </c>
      <c r="B302" s="520">
        <f t="shared" si="31"/>
        <v>1.0209999999999999</v>
      </c>
      <c r="C302" s="503"/>
      <c r="D302" s="503"/>
      <c r="E302" s="503"/>
      <c r="F302" s="503"/>
      <c r="G302" s="504"/>
      <c r="H302" s="171">
        <f t="shared" si="32"/>
        <v>2072</v>
      </c>
      <c r="I302" s="523">
        <f t="shared" si="34"/>
        <v>2.7143182947291358</v>
      </c>
      <c r="J302" s="523">
        <f t="shared" si="33"/>
        <v>2.8350962679165175</v>
      </c>
      <c r="K302" s="171"/>
      <c r="L302" s="171"/>
      <c r="M302" s="171"/>
    </row>
    <row r="303" spans="1:16" x14ac:dyDescent="0.2">
      <c r="A303" s="501">
        <f t="shared" si="30"/>
        <v>2073</v>
      </c>
      <c r="B303" s="520">
        <f t="shared" si="31"/>
        <v>1.0209999999999999</v>
      </c>
      <c r="C303" s="503"/>
      <c r="D303" s="503"/>
      <c r="E303" s="503"/>
      <c r="F303" s="503"/>
      <c r="G303" s="504"/>
      <c r="H303" s="171">
        <f t="shared" si="32"/>
        <v>2073</v>
      </c>
      <c r="I303" s="523">
        <f t="shared" si="34"/>
        <v>2.7713189789184476</v>
      </c>
      <c r="J303" s="523">
        <f t="shared" si="33"/>
        <v>2.8946332895427638</v>
      </c>
      <c r="K303" s="171"/>
      <c r="L303" s="171"/>
      <c r="M303" s="171"/>
    </row>
    <row r="304" spans="1:16" x14ac:dyDescent="0.2">
      <c r="A304" s="501">
        <f t="shared" si="30"/>
        <v>2074</v>
      </c>
      <c r="B304" s="520">
        <f t="shared" si="31"/>
        <v>1.0209999999999999</v>
      </c>
      <c r="C304" s="503"/>
      <c r="D304" s="503"/>
      <c r="E304" s="503"/>
      <c r="F304" s="503"/>
      <c r="G304" s="504"/>
      <c r="H304" s="171">
        <f t="shared" si="32"/>
        <v>2074</v>
      </c>
      <c r="I304" s="523">
        <f t="shared" si="34"/>
        <v>2.8295166774757345</v>
      </c>
      <c r="J304" s="523">
        <f t="shared" si="33"/>
        <v>2.955420588623161</v>
      </c>
      <c r="K304" s="171"/>
      <c r="L304" s="171"/>
      <c r="M304" s="171"/>
    </row>
    <row r="305" spans="1:13" x14ac:dyDescent="0.2">
      <c r="A305" s="501">
        <f t="shared" si="30"/>
        <v>2075</v>
      </c>
      <c r="B305" s="520">
        <f t="shared" si="31"/>
        <v>1.0209999999999999</v>
      </c>
      <c r="C305" s="503"/>
      <c r="D305" s="503"/>
      <c r="E305" s="503"/>
      <c r="F305" s="503"/>
      <c r="G305" s="504"/>
      <c r="H305" s="171">
        <f t="shared" si="32"/>
        <v>2075</v>
      </c>
      <c r="I305" s="523">
        <f t="shared" si="34"/>
        <v>2.8889365277027248</v>
      </c>
      <c r="J305" s="523">
        <f t="shared" si="33"/>
        <v>3.0174844209842471</v>
      </c>
      <c r="K305" s="171"/>
      <c r="L305" s="171"/>
      <c r="M305" s="171"/>
    </row>
    <row r="306" spans="1:13" x14ac:dyDescent="0.2">
      <c r="A306" s="501">
        <f t="shared" si="30"/>
        <v>2076</v>
      </c>
      <c r="B306" s="520">
        <f t="shared" si="31"/>
        <v>1.0209999999999999</v>
      </c>
      <c r="C306" s="503"/>
      <c r="D306" s="503"/>
      <c r="E306" s="503"/>
      <c r="F306" s="503"/>
      <c r="G306" s="504"/>
      <c r="H306" s="171">
        <f t="shared" si="32"/>
        <v>2076</v>
      </c>
      <c r="I306" s="523">
        <f t="shared" si="34"/>
        <v>2.9496041947844818</v>
      </c>
      <c r="J306" s="523">
        <f t="shared" si="33"/>
        <v>3.0808515938249164</v>
      </c>
      <c r="K306" s="171"/>
      <c r="L306" s="171"/>
      <c r="M306" s="171"/>
    </row>
    <row r="307" spans="1:13" x14ac:dyDescent="0.2">
      <c r="A307" s="501">
        <f t="shared" si="30"/>
        <v>2077</v>
      </c>
      <c r="B307" s="520">
        <f t="shared" si="31"/>
        <v>1.0209999999999999</v>
      </c>
      <c r="C307" s="503"/>
      <c r="D307" s="503"/>
      <c r="E307" s="503"/>
      <c r="F307" s="503"/>
      <c r="G307" s="504"/>
      <c r="H307" s="171">
        <f t="shared" si="32"/>
        <v>2077</v>
      </c>
      <c r="I307" s="523">
        <f t="shared" si="34"/>
        <v>3.0115458828749557</v>
      </c>
      <c r="J307" s="523">
        <f t="shared" si="33"/>
        <v>3.1455494772952393</v>
      </c>
      <c r="K307" s="171"/>
      <c r="L307" s="171"/>
      <c r="M307" s="171"/>
    </row>
    <row r="308" spans="1:13" x14ac:dyDescent="0.2">
      <c r="A308" s="501">
        <f t="shared" si="30"/>
        <v>2078</v>
      </c>
      <c r="B308" s="520">
        <f t="shared" si="31"/>
        <v>1.0209999999999999</v>
      </c>
      <c r="C308" s="503"/>
      <c r="D308" s="503"/>
      <c r="E308" s="503"/>
      <c r="F308" s="503"/>
      <c r="G308" s="504"/>
      <c r="H308" s="171">
        <f t="shared" si="32"/>
        <v>2078</v>
      </c>
      <c r="I308" s="523">
        <f t="shared" si="34"/>
        <v>3.0747883464153296</v>
      </c>
      <c r="J308" s="523">
        <f t="shared" si="33"/>
        <v>3.2116060163184392</v>
      </c>
      <c r="K308" s="171"/>
      <c r="L308" s="171"/>
      <c r="M308" s="171"/>
    </row>
    <row r="309" spans="1:13" x14ac:dyDescent="0.2">
      <c r="A309" s="501">
        <f t="shared" si="30"/>
        <v>2079</v>
      </c>
      <c r="B309" s="520">
        <f t="shared" si="31"/>
        <v>1.0209999999999999</v>
      </c>
      <c r="C309" s="503"/>
      <c r="D309" s="503"/>
      <c r="E309" s="503"/>
      <c r="F309" s="503"/>
      <c r="G309" s="504"/>
      <c r="H309" s="171">
        <f t="shared" si="32"/>
        <v>2079</v>
      </c>
      <c r="I309" s="523">
        <f t="shared" si="34"/>
        <v>3.1393589016900512</v>
      </c>
      <c r="J309" s="523">
        <f t="shared" si="33"/>
        <v>3.2790497426611251</v>
      </c>
      <c r="K309" s="171"/>
      <c r="L309" s="171"/>
      <c r="M309" s="171"/>
    </row>
    <row r="310" spans="1:13" x14ac:dyDescent="0.2">
      <c r="A310" s="501">
        <f t="shared" si="30"/>
        <v>2080</v>
      </c>
      <c r="B310" s="520">
        <f t="shared" si="31"/>
        <v>1.0209999999999999</v>
      </c>
      <c r="C310" s="503"/>
      <c r="D310" s="503"/>
      <c r="E310" s="503"/>
      <c r="F310" s="503"/>
      <c r="G310" s="504"/>
      <c r="H310" s="171">
        <f t="shared" si="32"/>
        <v>2080</v>
      </c>
      <c r="I310" s="523">
        <f t="shared" si="34"/>
        <v>3.205285438625542</v>
      </c>
      <c r="J310" s="523">
        <f t="shared" si="33"/>
        <v>3.3479097872570085</v>
      </c>
      <c r="K310" s="171"/>
      <c r="L310" s="171"/>
      <c r="M310" s="171"/>
    </row>
    <row r="311" spans="1:13" x14ac:dyDescent="0.2">
      <c r="A311" s="501">
        <f t="shared" si="30"/>
        <v>2081</v>
      </c>
      <c r="B311" s="520">
        <f t="shared" si="31"/>
        <v>1.0209999999999999</v>
      </c>
      <c r="C311" s="503"/>
      <c r="D311" s="503"/>
      <c r="E311" s="503"/>
      <c r="F311" s="503"/>
      <c r="G311" s="504"/>
      <c r="H311" s="171">
        <f t="shared" si="32"/>
        <v>2081</v>
      </c>
      <c r="I311" s="523">
        <f t="shared" si="34"/>
        <v>3.2725964328366781</v>
      </c>
      <c r="J311" s="523" t="s">
        <v>415</v>
      </c>
      <c r="K311" s="171"/>
      <c r="L311" s="171"/>
      <c r="M311" s="171"/>
    </row>
    <row r="312" spans="1:13" x14ac:dyDescent="0.2">
      <c r="A312" s="501">
        <f t="shared" ref="A312:A319" si="35">+A75</f>
        <v>2082</v>
      </c>
      <c r="B312" s="520">
        <f t="shared" ref="B312:B319" si="36">B75</f>
        <v>1.0209999999999999</v>
      </c>
      <c r="C312" s="503"/>
      <c r="D312" s="503"/>
      <c r="E312" s="503"/>
      <c r="F312" s="503"/>
      <c r="G312" s="504"/>
      <c r="H312" s="171">
        <f t="shared" ref="H312:H319" si="37">+A312</f>
        <v>2082</v>
      </c>
      <c r="I312" s="523">
        <f t="shared" si="34"/>
        <v>3.3413209579262482</v>
      </c>
      <c r="J312" s="523" t="s">
        <v>415</v>
      </c>
      <c r="K312" s="171"/>
      <c r="L312" s="171"/>
      <c r="M312" s="171"/>
    </row>
    <row r="313" spans="1:13" x14ac:dyDescent="0.2">
      <c r="A313" s="501">
        <f t="shared" si="35"/>
        <v>2083</v>
      </c>
      <c r="B313" s="520">
        <f t="shared" si="36"/>
        <v>1.0209999999999999</v>
      </c>
      <c r="C313" s="503"/>
      <c r="D313" s="503"/>
      <c r="E313" s="503"/>
      <c r="F313" s="503"/>
      <c r="G313" s="504"/>
      <c r="H313" s="171">
        <f t="shared" si="37"/>
        <v>2083</v>
      </c>
      <c r="I313" s="523">
        <f t="shared" si="34"/>
        <v>3.4114886980426991</v>
      </c>
      <c r="J313" s="523" t="s">
        <v>415</v>
      </c>
      <c r="K313" s="171"/>
      <c r="L313" s="171"/>
      <c r="M313" s="171"/>
    </row>
    <row r="314" spans="1:13" x14ac:dyDescent="0.2">
      <c r="A314" s="501">
        <f t="shared" si="35"/>
        <v>2084</v>
      </c>
      <c r="B314" s="520">
        <f t="shared" si="36"/>
        <v>1.0209999999999999</v>
      </c>
      <c r="C314" s="503"/>
      <c r="D314" s="503"/>
      <c r="E314" s="503"/>
      <c r="F314" s="503"/>
      <c r="G314" s="504"/>
      <c r="H314" s="171">
        <f t="shared" si="37"/>
        <v>2084</v>
      </c>
      <c r="I314" s="523">
        <f t="shared" si="34"/>
        <v>3.4831299607015955</v>
      </c>
      <c r="J314" s="523" t="s">
        <v>415</v>
      </c>
      <c r="K314" s="171"/>
      <c r="L314" s="171"/>
      <c r="M314" s="171"/>
    </row>
    <row r="315" spans="1:13" x14ac:dyDescent="0.2">
      <c r="A315" s="501">
        <f t="shared" si="35"/>
        <v>2085</v>
      </c>
      <c r="B315" s="520">
        <f t="shared" si="36"/>
        <v>1.0209999999999999</v>
      </c>
      <c r="C315" s="503"/>
      <c r="D315" s="503"/>
      <c r="E315" s="503"/>
      <c r="F315" s="503"/>
      <c r="G315" s="504"/>
      <c r="H315" s="171">
        <f t="shared" si="37"/>
        <v>2085</v>
      </c>
      <c r="I315" s="523">
        <f t="shared" si="34"/>
        <v>3.5562756898763288</v>
      </c>
      <c r="J315" s="523" t="s">
        <v>415</v>
      </c>
      <c r="K315" s="171"/>
      <c r="L315" s="171"/>
      <c r="M315" s="171"/>
    </row>
    <row r="316" spans="1:13" x14ac:dyDescent="0.2">
      <c r="A316" s="501">
        <f t="shared" si="35"/>
        <v>2086</v>
      </c>
      <c r="B316" s="520">
        <f t="shared" si="36"/>
        <v>1.0209999999999999</v>
      </c>
      <c r="C316" s="503"/>
      <c r="D316" s="503"/>
      <c r="E316" s="503"/>
      <c r="F316" s="503"/>
      <c r="G316" s="504"/>
      <c r="H316" s="171">
        <f t="shared" si="37"/>
        <v>2086</v>
      </c>
      <c r="I316" s="523">
        <f t="shared" si="34"/>
        <v>3.6309574793637314</v>
      </c>
      <c r="J316" s="523" t="s">
        <v>415</v>
      </c>
      <c r="K316" s="171"/>
      <c r="L316" s="171"/>
      <c r="M316" s="171"/>
    </row>
    <row r="317" spans="1:13" x14ac:dyDescent="0.2">
      <c r="A317" s="501">
        <f t="shared" si="35"/>
        <v>2087</v>
      </c>
      <c r="B317" s="520">
        <f t="shared" si="36"/>
        <v>1.0209999999999999</v>
      </c>
      <c r="C317" s="503"/>
      <c r="D317" s="503"/>
      <c r="E317" s="503"/>
      <c r="F317" s="503"/>
      <c r="G317" s="504"/>
      <c r="H317" s="171">
        <f t="shared" si="37"/>
        <v>2087</v>
      </c>
      <c r="I317" s="523">
        <f t="shared" si="34"/>
        <v>3.7072075864303695</v>
      </c>
      <c r="J317" s="523" t="s">
        <v>415</v>
      </c>
      <c r="K317" s="171"/>
      <c r="L317" s="171"/>
      <c r="M317" s="171"/>
    </row>
    <row r="318" spans="1:13" x14ac:dyDescent="0.2">
      <c r="A318" s="501">
        <f t="shared" si="35"/>
        <v>2088</v>
      </c>
      <c r="B318" s="520">
        <f t="shared" si="36"/>
        <v>1.0209999999999999</v>
      </c>
      <c r="C318" s="503"/>
      <c r="D318" s="503"/>
      <c r="E318" s="503"/>
      <c r="F318" s="503"/>
      <c r="G318" s="504"/>
      <c r="H318" s="171">
        <f t="shared" si="37"/>
        <v>2088</v>
      </c>
      <c r="I318" s="523">
        <f t="shared" si="34"/>
        <v>3.7850589457454071</v>
      </c>
      <c r="J318" s="523" t="s">
        <v>415</v>
      </c>
      <c r="K318" s="171"/>
      <c r="L318" s="171"/>
      <c r="M318" s="171"/>
    </row>
    <row r="319" spans="1:13" x14ac:dyDescent="0.2">
      <c r="A319" s="501">
        <f t="shared" si="35"/>
        <v>2089</v>
      </c>
      <c r="B319" s="520">
        <f t="shared" si="36"/>
        <v>1.0209999999999999</v>
      </c>
      <c r="C319" s="503"/>
      <c r="D319" s="503"/>
      <c r="E319" s="503"/>
      <c r="F319" s="503"/>
      <c r="G319" s="504"/>
      <c r="H319" s="171">
        <f t="shared" si="37"/>
        <v>2089</v>
      </c>
      <c r="I319" s="523">
        <f t="shared" si="34"/>
        <v>3.8645451836060603</v>
      </c>
      <c r="J319" s="523" t="s">
        <v>415</v>
      </c>
      <c r="K319" s="171"/>
      <c r="L319" s="171"/>
      <c r="M319" s="171"/>
    </row>
    <row r="320" spans="1:13" ht="12" x14ac:dyDescent="0.25">
      <c r="A320" s="536"/>
      <c r="B320" s="531"/>
      <c r="C320" s="531"/>
      <c r="D320" s="531"/>
      <c r="E320" s="531"/>
      <c r="F320" s="531"/>
      <c r="G320" s="496" t="s">
        <v>95</v>
      </c>
      <c r="H320" s="504"/>
      <c r="I320" s="504"/>
      <c r="J320" s="532"/>
      <c r="K320" s="504"/>
      <c r="L320" s="532"/>
      <c r="M320" s="532"/>
    </row>
    <row r="321" spans="1:23" x14ac:dyDescent="0.2">
      <c r="A321" s="501" t="s">
        <v>377</v>
      </c>
      <c r="B321" s="502">
        <f>B5</f>
        <v>45348</v>
      </c>
      <c r="C321" s="503"/>
      <c r="D321" s="503"/>
      <c r="E321" s="503"/>
      <c r="F321" s="503"/>
      <c r="G321" s="504"/>
      <c r="H321" s="505"/>
      <c r="I321" s="505"/>
      <c r="J321" s="505"/>
      <c r="K321" s="505"/>
      <c r="L321" s="505"/>
      <c r="M321" s="505"/>
      <c r="N321" s="533"/>
      <c r="O321" s="533"/>
      <c r="P321" s="533"/>
      <c r="Q321" s="533"/>
      <c r="R321" s="534"/>
      <c r="S321" s="533"/>
      <c r="T321" s="533"/>
      <c r="U321" s="533"/>
      <c r="V321" s="533"/>
      <c r="W321" s="535"/>
    </row>
    <row r="322" spans="1:23" ht="12" thickBot="1" x14ac:dyDescent="0.25">
      <c r="A322" s="501"/>
      <c r="B322" s="503"/>
      <c r="C322" s="503"/>
      <c r="D322" s="503"/>
      <c r="E322" s="503"/>
      <c r="F322" s="503"/>
      <c r="G322" s="504"/>
      <c r="H322" s="505" t="s">
        <v>378</v>
      </c>
      <c r="I322" s="505"/>
      <c r="J322" s="505"/>
      <c r="K322" s="505"/>
      <c r="L322" s="505"/>
      <c r="M322" s="505"/>
    </row>
    <row r="323" spans="1:23" ht="13.2" thickBot="1" x14ac:dyDescent="0.3">
      <c r="A323" s="508"/>
      <c r="B323" s="508" t="s">
        <v>380</v>
      </c>
      <c r="C323" s="508" t="s">
        <v>296</v>
      </c>
      <c r="D323" s="508" t="s">
        <v>296</v>
      </c>
      <c r="E323" s="508" t="s">
        <v>296</v>
      </c>
      <c r="F323" s="508" t="s">
        <v>296</v>
      </c>
      <c r="G323" s="504"/>
      <c r="H323" s="509">
        <f>IF(K331="&lt;Base Year",H331,IF(K332="&lt;Base Year",H332,IF(K333="&lt;Base Year",H333,IF(K334="&lt;Base Year",H334,"None"))))</f>
        <v>2024</v>
      </c>
      <c r="I323" s="510" t="s">
        <v>381</v>
      </c>
      <c r="J323" s="511"/>
      <c r="K323" s="171"/>
      <c r="L323" s="171"/>
      <c r="M323" s="171"/>
    </row>
    <row r="324" spans="1:23" x14ac:dyDescent="0.2">
      <c r="A324" s="515" t="s">
        <v>383</v>
      </c>
      <c r="B324" s="515" t="s">
        <v>384</v>
      </c>
      <c r="C324" s="515">
        <f>+C8</f>
        <v>2022</v>
      </c>
      <c r="D324" s="515">
        <f t="shared" ref="D324:F324" si="38">+D8</f>
        <v>2023</v>
      </c>
      <c r="E324" s="515">
        <f t="shared" si="38"/>
        <v>2024</v>
      </c>
      <c r="F324" s="515">
        <f t="shared" si="38"/>
        <v>2025</v>
      </c>
      <c r="G324" s="504"/>
      <c r="H324" s="509">
        <f>IF(K331="&lt;Base Year",1,IF(K332="&lt;Base Year",2,IF(K333="&lt;Base Year",3,IF(K334="&lt;Base Year",4,5))))</f>
        <v>3</v>
      </c>
      <c r="I324" s="516" t="s">
        <v>1072</v>
      </c>
      <c r="J324" s="516" t="s">
        <v>1071</v>
      </c>
      <c r="K324" s="171"/>
      <c r="L324" s="171"/>
      <c r="M324" s="171"/>
    </row>
    <row r="325" spans="1:23" ht="12" thickBot="1" x14ac:dyDescent="0.25">
      <c r="A325" s="518" t="s">
        <v>386</v>
      </c>
      <c r="B325" s="518" t="s">
        <v>387</v>
      </c>
      <c r="C325" s="518"/>
      <c r="D325" s="518"/>
      <c r="E325" s="518"/>
      <c r="F325" s="518"/>
      <c r="G325" s="504"/>
      <c r="H325" s="171">
        <v>0</v>
      </c>
      <c r="I325" s="519" t="s">
        <v>123</v>
      </c>
      <c r="J325" s="519" t="s">
        <v>123</v>
      </c>
      <c r="K325" s="171"/>
      <c r="L325" s="171"/>
      <c r="M325" s="171"/>
    </row>
    <row r="326" spans="1:23" x14ac:dyDescent="0.2">
      <c r="A326" s="501">
        <f>+A10</f>
        <v>2017</v>
      </c>
      <c r="B326" s="520">
        <f>B10</f>
        <v>1.0169999999999999</v>
      </c>
      <c r="C326" s="521">
        <v>0.89768668114097427</v>
      </c>
      <c r="D326" s="521">
        <v>0.85820906418831189</v>
      </c>
      <c r="E326" s="521">
        <v>0.83564660583087824</v>
      </c>
      <c r="F326" s="521">
        <v>0.81765812703608431</v>
      </c>
      <c r="G326" s="522" t="s">
        <v>389</v>
      </c>
      <c r="H326" s="171">
        <f>+A326</f>
        <v>2017</v>
      </c>
      <c r="I326" s="523">
        <f>+I327/B327</f>
        <v>0.80062099798634889</v>
      </c>
      <c r="J326" s="524">
        <f>CHOOSE(H$324,C326,D326,E326,F326)</f>
        <v>0.83564660583087824</v>
      </c>
      <c r="K326" s="171"/>
      <c r="L326" s="171"/>
      <c r="M326" s="171"/>
    </row>
    <row r="327" spans="1:23" x14ac:dyDescent="0.2">
      <c r="A327" s="501">
        <f t="shared" ref="A327:A390" si="39">+A11</f>
        <v>2018</v>
      </c>
      <c r="B327" s="520">
        <f t="shared" ref="B327:B390" si="40">B11</f>
        <v>1.022</v>
      </c>
      <c r="C327" s="521">
        <v>0.91700247520788758</v>
      </c>
      <c r="D327" s="521">
        <v>0.87667540650849662</v>
      </c>
      <c r="E327" s="521">
        <v>0.85362746495471931</v>
      </c>
      <c r="F327" s="521">
        <v>0.83525192265628112</v>
      </c>
      <c r="G327" s="525" t="s">
        <v>391</v>
      </c>
      <c r="H327" s="171">
        <f t="shared" ref="H327:H390" si="41">+A327</f>
        <v>2018</v>
      </c>
      <c r="I327" s="523">
        <f>+I328/B328</f>
        <v>0.81823465994204858</v>
      </c>
      <c r="J327" s="524">
        <f>CHOOSE(H$324,C327,D327,E327,F327)</f>
        <v>0.85362746495471931</v>
      </c>
      <c r="K327" s="171"/>
      <c r="L327" s="171"/>
      <c r="M327" s="171"/>
    </row>
    <row r="328" spans="1:23" x14ac:dyDescent="0.2">
      <c r="A328" s="501">
        <f t="shared" si="39"/>
        <v>2019</v>
      </c>
      <c r="B328" s="520">
        <f t="shared" si="40"/>
        <v>1.0189999999999999</v>
      </c>
      <c r="C328" s="521">
        <v>0.94335014562814945</v>
      </c>
      <c r="D328" s="521">
        <v>0.90186438396572599</v>
      </c>
      <c r="E328" s="521">
        <v>0.87815422002504995</v>
      </c>
      <c r="F328" s="521">
        <v>0.85925070452548902</v>
      </c>
      <c r="G328" s="525" t="s">
        <v>393</v>
      </c>
      <c r="H328" s="171">
        <f t="shared" si="41"/>
        <v>2019</v>
      </c>
      <c r="I328" s="523">
        <f>+I329/B329</f>
        <v>0.83378111848094738</v>
      </c>
      <c r="J328" s="524">
        <f>CHOOSE(H$324,C328,D328,E328,F328)</f>
        <v>0.87815422002504995</v>
      </c>
      <c r="K328" s="171"/>
      <c r="L328" s="171"/>
      <c r="M328" s="171"/>
    </row>
    <row r="329" spans="1:23" x14ac:dyDescent="0.2">
      <c r="A329" s="501">
        <f t="shared" si="39"/>
        <v>2020</v>
      </c>
      <c r="B329" s="520">
        <f t="shared" si="40"/>
        <v>1.0129999999999999</v>
      </c>
      <c r="C329" s="521">
        <v>0.98373478309195284</v>
      </c>
      <c r="D329" s="521">
        <v>0.94047302398848276</v>
      </c>
      <c r="E329" s="521">
        <v>0.91574783251069414</v>
      </c>
      <c r="F329" s="521">
        <v>0.8960350611650626</v>
      </c>
      <c r="G329" s="522" t="s">
        <v>395</v>
      </c>
      <c r="H329" s="171">
        <f t="shared" si="41"/>
        <v>2020</v>
      </c>
      <c r="I329" s="523">
        <f>+I330/B330</f>
        <v>0.84462027302119957</v>
      </c>
      <c r="J329" s="524">
        <f>CHOOSE(H$324,C329,D329,E329,F329)</f>
        <v>0.91574783251069414</v>
      </c>
      <c r="K329" s="171"/>
      <c r="L329" s="171"/>
      <c r="M329" s="171"/>
    </row>
    <row r="330" spans="1:23" x14ac:dyDescent="0.2">
      <c r="A330" s="501">
        <f t="shared" si="39"/>
        <v>2021</v>
      </c>
      <c r="B330" s="520">
        <f t="shared" si="40"/>
        <v>1.0309999999999999</v>
      </c>
      <c r="C330" s="521">
        <v>1.0308564977949199</v>
      </c>
      <c r="D330" s="521">
        <v>0.98552246443108971</v>
      </c>
      <c r="E330" s="521">
        <v>0.95961291570700091</v>
      </c>
      <c r="F330" s="521">
        <v>0.93895588621037251</v>
      </c>
      <c r="G330" s="525" t="s">
        <v>397</v>
      </c>
      <c r="H330" s="171">
        <f t="shared" si="41"/>
        <v>2021</v>
      </c>
      <c r="I330" s="523">
        <f>+I331/B331</f>
        <v>0.87080350148485675</v>
      </c>
      <c r="J330" s="524">
        <f>CHOOSE(H$324,C330,D330,E330,F330)</f>
        <v>0.95961291570700091</v>
      </c>
      <c r="K330" s="171"/>
      <c r="L330" s="171"/>
      <c r="M330" s="171"/>
    </row>
    <row r="331" spans="1:23" x14ac:dyDescent="0.2">
      <c r="A331" s="501">
        <f t="shared" si="39"/>
        <v>2022</v>
      </c>
      <c r="B331" s="520">
        <f t="shared" si="40"/>
        <v>1.069</v>
      </c>
      <c r="C331" s="521">
        <v>1.0679999257551809</v>
      </c>
      <c r="D331" s="521">
        <v>1.021032433800364</v>
      </c>
      <c r="E331" s="521">
        <v>0.99418932210356792</v>
      </c>
      <c r="F331" s="521">
        <v>0.97278798640270825</v>
      </c>
      <c r="G331" s="526" t="s">
        <v>399</v>
      </c>
      <c r="H331" s="171">
        <f t="shared" si="41"/>
        <v>2022</v>
      </c>
      <c r="I331" s="527">
        <f>IF(Sheet1!$E$82&lt;=A331,1,I332/B332)</f>
        <v>0.93088894308731185</v>
      </c>
      <c r="J331" s="528">
        <f>IF(I331&gt;=1,1/((C$677/I331)+(D$677/I332)+(E$677/I333)+(F$677/I334)+(G$677/I335)+(H$677/I336)+(I$677/I337)+(J$677/I338)+(K$677/I339)+(L$677/I340)),CHOOSE(H$324,C331,D331,E331,F331))</f>
        <v>0.99418932210356792</v>
      </c>
      <c r="K331" s="171" t="str">
        <f>IF(I331=1,"&lt;Base Year","")</f>
        <v/>
      </c>
      <c r="L331" s="171"/>
      <c r="M331" s="171"/>
    </row>
    <row r="332" spans="1:23" x14ac:dyDescent="0.2">
      <c r="A332" s="501">
        <f t="shared" si="39"/>
        <v>2023</v>
      </c>
      <c r="B332" s="520">
        <f t="shared" si="40"/>
        <v>1.046</v>
      </c>
      <c r="C332" s="521">
        <v>1.0972561336753417</v>
      </c>
      <c r="D332" s="521">
        <v>1.0490020398425828</v>
      </c>
      <c r="E332" s="521">
        <v>1.0214236025731092</v>
      </c>
      <c r="F332" s="521">
        <v>0.99943601034550777</v>
      </c>
      <c r="G332" s="526" t="s">
        <v>401</v>
      </c>
      <c r="H332" s="171">
        <f t="shared" si="41"/>
        <v>2023</v>
      </c>
      <c r="I332" s="527">
        <f>IF(Sheet1!$E$82&lt;A332,I331*B332,IF(Sheet1!$E$82=A332,1,I333/B333))</f>
        <v>0.97370983446932824</v>
      </c>
      <c r="J332" s="528">
        <f t="shared" ref="J332:J389" si="42">IF(I332&gt;=1,1/((C$677/I332)+(D$677/I333)+(E$677/I334)+(F$677/I335)+(G$677/I336)+(H$677/I337)+(I$677/I338)+(J$677/I339)+(K$677/I340)+(L$677/I341)),CHOOSE(H$324,C332,D332,E332,F332))</f>
        <v>1.0214236025731092</v>
      </c>
      <c r="K332" s="171" t="str">
        <f>IF(I332=1,"&lt;Base Year","")</f>
        <v/>
      </c>
      <c r="L332" s="171"/>
      <c r="M332" s="171"/>
    </row>
    <row r="333" spans="1:23" x14ac:dyDescent="0.2">
      <c r="A333" s="501">
        <f t="shared" si="39"/>
        <v>2024</v>
      </c>
      <c r="B333" s="520">
        <f t="shared" si="40"/>
        <v>1.0269999999999999</v>
      </c>
      <c r="C333" s="521">
        <v>1.1210995569420412</v>
      </c>
      <c r="D333" s="521">
        <v>1.0717968995621805</v>
      </c>
      <c r="E333" s="521">
        <v>1.0436191816574303</v>
      </c>
      <c r="F333" s="521">
        <v>1.0211537980992467</v>
      </c>
      <c r="G333" s="526" t="s">
        <v>403</v>
      </c>
      <c r="H333" s="171">
        <f t="shared" si="41"/>
        <v>2024</v>
      </c>
      <c r="I333" s="527">
        <f>IF(Sheet1!$E$82&lt;A333,I332*B333,IF(Sheet1!$E$82=A333,1,I334/B334))</f>
        <v>1</v>
      </c>
      <c r="J333" s="528">
        <f t="shared" si="42"/>
        <v>1.0436191816574305</v>
      </c>
      <c r="K333" s="171" t="str">
        <f>IF(I333=1,"&lt;Base Year","")</f>
        <v>&lt;Base Year</v>
      </c>
      <c r="L333" s="171"/>
      <c r="M333" s="171"/>
    </row>
    <row r="334" spans="1:23" x14ac:dyDescent="0.2">
      <c r="A334" s="501">
        <f t="shared" si="39"/>
        <v>2025</v>
      </c>
      <c r="B334" s="520">
        <f t="shared" si="40"/>
        <v>1.022</v>
      </c>
      <c r="C334" s="521">
        <v>1.1447127833062081</v>
      </c>
      <c r="D334" s="521">
        <v>1.0943716857611931</v>
      </c>
      <c r="E334" s="521">
        <v>1.0656004729904511</v>
      </c>
      <c r="F334" s="521">
        <v>1.0426619109495607</v>
      </c>
      <c r="G334" s="526" t="s">
        <v>405</v>
      </c>
      <c r="H334" s="171">
        <f t="shared" si="41"/>
        <v>2025</v>
      </c>
      <c r="I334" s="527">
        <f>IF(Sheet1!$E$82&lt;A334,I333*B334,IF(Sheet1!$E$82=A334,1,1))</f>
        <v>1.022</v>
      </c>
      <c r="J334" s="528">
        <f t="shared" si="42"/>
        <v>1.0656004729904514</v>
      </c>
      <c r="K334" s="171" t="str">
        <f>IF(I334=1,"&lt;Base Year","")</f>
        <v/>
      </c>
      <c r="L334" s="171"/>
      <c r="M334" s="171"/>
    </row>
    <row r="335" spans="1:23" x14ac:dyDescent="0.2">
      <c r="A335" s="501">
        <f t="shared" si="39"/>
        <v>2026</v>
      </c>
      <c r="B335" s="520">
        <f t="shared" si="40"/>
        <v>1.0209999999999999</v>
      </c>
      <c r="C335" s="503"/>
      <c r="D335" s="503"/>
      <c r="E335" s="503"/>
      <c r="F335" s="503"/>
      <c r="G335" s="504"/>
      <c r="H335" s="171">
        <f t="shared" si="41"/>
        <v>2026</v>
      </c>
      <c r="I335" s="523">
        <f t="shared" ref="I335:I398" si="43">+I334*B335</f>
        <v>1.0434619999999999</v>
      </c>
      <c r="J335" s="523">
        <f t="shared" si="42"/>
        <v>1.0879780829232508</v>
      </c>
      <c r="K335" s="171"/>
      <c r="L335" s="171"/>
      <c r="M335" s="171"/>
    </row>
    <row r="336" spans="1:23" x14ac:dyDescent="0.2">
      <c r="A336" s="501">
        <f t="shared" si="39"/>
        <v>2027</v>
      </c>
      <c r="B336" s="520">
        <f t="shared" si="40"/>
        <v>1.0209999999999999</v>
      </c>
      <c r="C336" s="503"/>
      <c r="D336" s="503"/>
      <c r="E336" s="503"/>
      <c r="F336" s="503"/>
      <c r="G336" s="504"/>
      <c r="H336" s="171">
        <f t="shared" si="41"/>
        <v>2027</v>
      </c>
      <c r="I336" s="523">
        <f t="shared" si="43"/>
        <v>1.0653747019999997</v>
      </c>
      <c r="J336" s="523">
        <f t="shared" si="42"/>
        <v>1.1108256226646389</v>
      </c>
      <c r="K336" s="171"/>
      <c r="L336" s="171"/>
      <c r="M336" s="171"/>
    </row>
    <row r="337" spans="1:13" x14ac:dyDescent="0.2">
      <c r="A337" s="501">
        <f t="shared" si="39"/>
        <v>2028</v>
      </c>
      <c r="B337" s="520">
        <f t="shared" si="40"/>
        <v>1.0209999999999999</v>
      </c>
      <c r="C337" s="503"/>
      <c r="D337" s="503"/>
      <c r="E337" s="503"/>
      <c r="F337" s="503"/>
      <c r="G337" s="504"/>
      <c r="H337" s="171">
        <f t="shared" si="41"/>
        <v>2028</v>
      </c>
      <c r="I337" s="523">
        <f t="shared" si="43"/>
        <v>1.0877475707419997</v>
      </c>
      <c r="J337" s="523">
        <f t="shared" si="42"/>
        <v>1.1341529607405962</v>
      </c>
      <c r="K337" s="171"/>
      <c r="L337" s="171"/>
      <c r="M337" s="171"/>
    </row>
    <row r="338" spans="1:13" x14ac:dyDescent="0.2">
      <c r="A338" s="501">
        <f t="shared" si="39"/>
        <v>2029</v>
      </c>
      <c r="B338" s="520">
        <f t="shared" si="40"/>
        <v>1.0209999999999999</v>
      </c>
      <c r="C338" s="503"/>
      <c r="D338" s="503"/>
      <c r="E338" s="503"/>
      <c r="F338" s="503"/>
      <c r="G338" s="504"/>
      <c r="H338" s="171">
        <f t="shared" si="41"/>
        <v>2029</v>
      </c>
      <c r="I338" s="523">
        <f t="shared" si="43"/>
        <v>1.1105902697275816</v>
      </c>
      <c r="J338" s="523">
        <f t="shared" si="42"/>
        <v>1.1579701729161489</v>
      </c>
      <c r="K338" s="171"/>
      <c r="L338" s="171"/>
      <c r="M338" s="171"/>
    </row>
    <row r="339" spans="1:13" x14ac:dyDescent="0.2">
      <c r="A339" s="501">
        <f t="shared" si="39"/>
        <v>2030</v>
      </c>
      <c r="B339" s="520">
        <f t="shared" si="40"/>
        <v>1.0209999999999999</v>
      </c>
      <c r="C339" s="503"/>
      <c r="D339" s="503"/>
      <c r="E339" s="503"/>
      <c r="F339" s="503"/>
      <c r="G339" s="504"/>
      <c r="H339" s="171">
        <f t="shared" si="41"/>
        <v>2030</v>
      </c>
      <c r="I339" s="523">
        <f t="shared" si="43"/>
        <v>1.1339126653918608</v>
      </c>
      <c r="J339" s="523">
        <f t="shared" si="42"/>
        <v>1.1822875465473877</v>
      </c>
      <c r="K339" s="171"/>
      <c r="L339" s="171"/>
      <c r="M339" s="171"/>
    </row>
    <row r="340" spans="1:13" x14ac:dyDescent="0.2">
      <c r="A340" s="501">
        <f t="shared" si="39"/>
        <v>2031</v>
      </c>
      <c r="B340" s="520">
        <f t="shared" si="40"/>
        <v>1.0209999999999999</v>
      </c>
      <c r="C340" s="503"/>
      <c r="D340" s="503"/>
      <c r="E340" s="503"/>
      <c r="F340" s="503"/>
      <c r="G340" s="504"/>
      <c r="H340" s="171">
        <f t="shared" si="41"/>
        <v>2031</v>
      </c>
      <c r="I340" s="523">
        <f t="shared" si="43"/>
        <v>1.1577248313650896</v>
      </c>
      <c r="J340" s="523">
        <f t="shared" si="42"/>
        <v>1.2071155850248829</v>
      </c>
      <c r="K340" s="171"/>
      <c r="L340" s="171"/>
      <c r="M340" s="171"/>
    </row>
    <row r="341" spans="1:13" x14ac:dyDescent="0.2">
      <c r="A341" s="501">
        <f t="shared" si="39"/>
        <v>2032</v>
      </c>
      <c r="B341" s="520">
        <f t="shared" si="40"/>
        <v>1.0209999999999999</v>
      </c>
      <c r="C341" s="503"/>
      <c r="D341" s="503"/>
      <c r="E341" s="503"/>
      <c r="F341" s="503"/>
      <c r="G341" s="504"/>
      <c r="H341" s="171">
        <f t="shared" si="41"/>
        <v>2032</v>
      </c>
      <c r="I341" s="523">
        <f t="shared" si="43"/>
        <v>1.1820370528237565</v>
      </c>
      <c r="J341" s="523">
        <f t="shared" si="42"/>
        <v>1.2324650123104055</v>
      </c>
      <c r="K341" s="171"/>
      <c r="L341" s="171"/>
      <c r="M341" s="171"/>
    </row>
    <row r="342" spans="1:13" x14ac:dyDescent="0.2">
      <c r="A342" s="501">
        <f t="shared" si="39"/>
        <v>2033</v>
      </c>
      <c r="B342" s="520">
        <f t="shared" si="40"/>
        <v>1.0209999999999999</v>
      </c>
      <c r="C342" s="503"/>
      <c r="D342" s="503"/>
      <c r="E342" s="503"/>
      <c r="F342" s="503"/>
      <c r="G342" s="504"/>
      <c r="H342" s="171">
        <f t="shared" si="41"/>
        <v>2033</v>
      </c>
      <c r="I342" s="523">
        <f t="shared" si="43"/>
        <v>1.2068598309330552</v>
      </c>
      <c r="J342" s="523">
        <f t="shared" si="42"/>
        <v>1.2583467775689237</v>
      </c>
      <c r="K342" s="171"/>
      <c r="L342" s="171"/>
      <c r="M342" s="171"/>
    </row>
    <row r="343" spans="1:13" x14ac:dyDescent="0.2">
      <c r="A343" s="501">
        <f t="shared" si="39"/>
        <v>2034</v>
      </c>
      <c r="B343" s="520">
        <f t="shared" si="40"/>
        <v>1.0209999999999999</v>
      </c>
      <c r="C343" s="503"/>
      <c r="D343" s="503"/>
      <c r="E343" s="503"/>
      <c r="F343" s="503"/>
      <c r="G343" s="504"/>
      <c r="H343" s="171">
        <f t="shared" si="41"/>
        <v>2034</v>
      </c>
      <c r="I343" s="523">
        <f t="shared" si="43"/>
        <v>1.2322038873826493</v>
      </c>
      <c r="J343" s="523">
        <f t="shared" si="42"/>
        <v>1.2847720598978711</v>
      </c>
      <c r="K343" s="171"/>
      <c r="L343" s="171"/>
      <c r="M343" s="171"/>
    </row>
    <row r="344" spans="1:13" x14ac:dyDescent="0.2">
      <c r="A344" s="501">
        <f t="shared" si="39"/>
        <v>2035</v>
      </c>
      <c r="B344" s="520">
        <f t="shared" si="40"/>
        <v>1.0209999999999999</v>
      </c>
      <c r="C344" s="503"/>
      <c r="D344" s="503"/>
      <c r="E344" s="503"/>
      <c r="F344" s="503"/>
      <c r="G344" s="504"/>
      <c r="H344" s="171">
        <f t="shared" si="41"/>
        <v>2035</v>
      </c>
      <c r="I344" s="523">
        <f t="shared" si="43"/>
        <v>1.2580801690176848</v>
      </c>
      <c r="J344" s="523">
        <f t="shared" si="42"/>
        <v>1.3117522731557263</v>
      </c>
      <c r="K344" s="171"/>
      <c r="L344" s="171"/>
      <c r="M344" s="171"/>
    </row>
    <row r="345" spans="1:13" x14ac:dyDescent="0.2">
      <c r="A345" s="501">
        <f t="shared" si="39"/>
        <v>2036</v>
      </c>
      <c r="B345" s="520">
        <f t="shared" si="40"/>
        <v>1.0209999999999999</v>
      </c>
      <c r="C345" s="503"/>
      <c r="D345" s="503"/>
      <c r="E345" s="503"/>
      <c r="F345" s="503"/>
      <c r="G345" s="504"/>
      <c r="H345" s="171">
        <f t="shared" si="41"/>
        <v>2036</v>
      </c>
      <c r="I345" s="523">
        <f t="shared" si="43"/>
        <v>1.2844998525670561</v>
      </c>
      <c r="J345" s="523">
        <f t="shared" si="42"/>
        <v>1.3392990708919963</v>
      </c>
      <c r="K345" s="171"/>
      <c r="L345" s="171"/>
      <c r="M345" s="171"/>
    </row>
    <row r="346" spans="1:13" x14ac:dyDescent="0.2">
      <c r="A346" s="501">
        <f t="shared" si="39"/>
        <v>2037</v>
      </c>
      <c r="B346" s="520">
        <f t="shared" si="40"/>
        <v>1.0209999999999999</v>
      </c>
      <c r="C346" s="503"/>
      <c r="D346" s="503"/>
      <c r="E346" s="503"/>
      <c r="F346" s="503"/>
      <c r="G346" s="504"/>
      <c r="H346" s="171">
        <f t="shared" si="41"/>
        <v>2037</v>
      </c>
      <c r="I346" s="523">
        <f t="shared" si="43"/>
        <v>1.3114743494709642</v>
      </c>
      <c r="J346" s="523">
        <f t="shared" si="42"/>
        <v>1.3674243513807287</v>
      </c>
      <c r="K346" s="171"/>
      <c r="L346" s="171"/>
      <c r="M346" s="171"/>
    </row>
    <row r="347" spans="1:13" x14ac:dyDescent="0.2">
      <c r="A347" s="501">
        <f t="shared" si="39"/>
        <v>2038</v>
      </c>
      <c r="B347" s="520">
        <f t="shared" si="40"/>
        <v>1.0209999999999999</v>
      </c>
      <c r="C347" s="503"/>
      <c r="D347" s="503"/>
      <c r="E347" s="503"/>
      <c r="F347" s="503"/>
      <c r="G347" s="504"/>
      <c r="H347" s="171">
        <f t="shared" si="41"/>
        <v>2038</v>
      </c>
      <c r="I347" s="523">
        <f t="shared" si="43"/>
        <v>1.3390153108098544</v>
      </c>
      <c r="J347" s="523">
        <f t="shared" si="42"/>
        <v>1.3961402627597232</v>
      </c>
      <c r="K347" s="171"/>
      <c r="L347" s="171"/>
      <c r="M347" s="171"/>
    </row>
    <row r="348" spans="1:13" x14ac:dyDescent="0.2">
      <c r="A348" s="501">
        <f t="shared" si="39"/>
        <v>2039</v>
      </c>
      <c r="B348" s="520">
        <f t="shared" si="40"/>
        <v>1.0209999999999999</v>
      </c>
      <c r="C348" s="503"/>
      <c r="D348" s="503"/>
      <c r="E348" s="503"/>
      <c r="F348" s="503"/>
      <c r="G348" s="504"/>
      <c r="H348" s="171">
        <f t="shared" si="41"/>
        <v>2039</v>
      </c>
      <c r="I348" s="523">
        <f t="shared" si="43"/>
        <v>1.3671346323368612</v>
      </c>
      <c r="J348" s="523">
        <f t="shared" si="42"/>
        <v>1.4254592082776774</v>
      </c>
      <c r="K348" s="171"/>
      <c r="L348" s="171"/>
      <c r="M348" s="171"/>
    </row>
    <row r="349" spans="1:13" x14ac:dyDescent="0.2">
      <c r="A349" s="501">
        <f t="shared" si="39"/>
        <v>2040</v>
      </c>
      <c r="B349" s="520">
        <f t="shared" si="40"/>
        <v>1.0209999999999999</v>
      </c>
      <c r="C349" s="503"/>
      <c r="D349" s="503"/>
      <c r="E349" s="503"/>
      <c r="F349" s="503"/>
      <c r="G349" s="504"/>
      <c r="H349" s="171">
        <f t="shared" si="41"/>
        <v>2040</v>
      </c>
      <c r="I349" s="523">
        <f t="shared" si="43"/>
        <v>1.3958444596159352</v>
      </c>
      <c r="J349" s="523">
        <f t="shared" si="42"/>
        <v>1.4553938516515084</v>
      </c>
      <c r="K349" s="171"/>
      <c r="L349" s="171"/>
      <c r="M349" s="171"/>
    </row>
    <row r="350" spans="1:13" x14ac:dyDescent="0.2">
      <c r="A350" s="501">
        <f t="shared" si="39"/>
        <v>2041</v>
      </c>
      <c r="B350" s="520">
        <f t="shared" si="40"/>
        <v>1.0209999999999999</v>
      </c>
      <c r="C350" s="503"/>
      <c r="D350" s="503"/>
      <c r="E350" s="503"/>
      <c r="F350" s="503"/>
      <c r="G350" s="504"/>
      <c r="H350" s="171">
        <f t="shared" si="41"/>
        <v>2041</v>
      </c>
      <c r="I350" s="523">
        <f t="shared" si="43"/>
        <v>1.4251571932678697</v>
      </c>
      <c r="J350" s="523">
        <f t="shared" si="42"/>
        <v>1.4859571225361898</v>
      </c>
      <c r="K350" s="171"/>
      <c r="L350" s="171"/>
      <c r="M350" s="171"/>
    </row>
    <row r="351" spans="1:13" x14ac:dyDescent="0.2">
      <c r="A351" s="501">
        <f t="shared" si="39"/>
        <v>2042</v>
      </c>
      <c r="B351" s="520">
        <f t="shared" si="40"/>
        <v>1.0209999999999999</v>
      </c>
      <c r="C351" s="503"/>
      <c r="D351" s="503"/>
      <c r="E351" s="503"/>
      <c r="F351" s="503"/>
      <c r="G351" s="504"/>
      <c r="H351" s="171">
        <f t="shared" si="41"/>
        <v>2042</v>
      </c>
      <c r="I351" s="523">
        <f t="shared" si="43"/>
        <v>1.4550854943264948</v>
      </c>
      <c r="J351" s="523">
        <f t="shared" si="42"/>
        <v>1.5171622221094498</v>
      </c>
      <c r="K351" s="171"/>
      <c r="L351" s="171"/>
      <c r="M351" s="171"/>
    </row>
    <row r="352" spans="1:13" x14ac:dyDescent="0.2">
      <c r="A352" s="501">
        <f t="shared" si="39"/>
        <v>2043</v>
      </c>
      <c r="B352" s="520">
        <f t="shared" si="40"/>
        <v>1.0209999999999999</v>
      </c>
      <c r="C352" s="503"/>
      <c r="D352" s="503"/>
      <c r="E352" s="503"/>
      <c r="F352" s="503"/>
      <c r="G352" s="504"/>
      <c r="H352" s="171">
        <f t="shared" si="41"/>
        <v>2043</v>
      </c>
      <c r="I352" s="523">
        <f t="shared" si="43"/>
        <v>1.4856422897073511</v>
      </c>
      <c r="J352" s="523">
        <f t="shared" si="42"/>
        <v>1.5490226287737483</v>
      </c>
      <c r="K352" s="171"/>
      <c r="L352" s="171"/>
      <c r="M352" s="171"/>
    </row>
    <row r="353" spans="1:16" x14ac:dyDescent="0.2">
      <c r="A353" s="501">
        <f t="shared" si="39"/>
        <v>2044</v>
      </c>
      <c r="B353" s="520">
        <f t="shared" si="40"/>
        <v>1.0209999999999999</v>
      </c>
      <c r="C353" s="503"/>
      <c r="D353" s="503"/>
      <c r="E353" s="503"/>
      <c r="F353" s="503"/>
      <c r="G353" s="504"/>
      <c r="H353" s="171">
        <f t="shared" si="41"/>
        <v>2044</v>
      </c>
      <c r="I353" s="523">
        <f t="shared" si="43"/>
        <v>1.5168407777912054</v>
      </c>
      <c r="J353" s="523">
        <f t="shared" si="42"/>
        <v>1.5815521039779969</v>
      </c>
      <c r="K353" s="171"/>
      <c r="L353" s="171"/>
      <c r="M353" s="171"/>
    </row>
    <row r="354" spans="1:16" x14ac:dyDescent="0.2">
      <c r="A354" s="501">
        <f t="shared" si="39"/>
        <v>2045</v>
      </c>
      <c r="B354" s="520">
        <f t="shared" si="40"/>
        <v>1.0209999999999999</v>
      </c>
      <c r="C354" s="503"/>
      <c r="D354" s="503"/>
      <c r="E354" s="503"/>
      <c r="F354" s="503"/>
      <c r="G354" s="504"/>
      <c r="H354" s="171">
        <f t="shared" si="41"/>
        <v>2045</v>
      </c>
      <c r="I354" s="523">
        <f t="shared" si="43"/>
        <v>1.5486944341248206</v>
      </c>
      <c r="J354" s="523">
        <f t="shared" si="42"/>
        <v>1.6147646981615349</v>
      </c>
      <c r="K354" s="171"/>
      <c r="L354" s="171"/>
      <c r="M354" s="171"/>
    </row>
    <row r="355" spans="1:16" x14ac:dyDescent="0.2">
      <c r="A355" s="501">
        <f t="shared" si="39"/>
        <v>2046</v>
      </c>
      <c r="B355" s="520">
        <f t="shared" si="40"/>
        <v>1.0209999999999999</v>
      </c>
      <c r="C355" s="503"/>
      <c r="D355" s="503"/>
      <c r="E355" s="503"/>
      <c r="F355" s="503"/>
      <c r="G355" s="504"/>
      <c r="H355" s="171">
        <f t="shared" si="41"/>
        <v>2046</v>
      </c>
      <c r="I355" s="523">
        <f t="shared" si="43"/>
        <v>1.5812170172414417</v>
      </c>
      <c r="J355" s="523">
        <f t="shared" si="42"/>
        <v>1.6486747568229265</v>
      </c>
      <c r="K355" s="171"/>
      <c r="L355" s="171"/>
      <c r="M355" s="171"/>
    </row>
    <row r="356" spans="1:16" x14ac:dyDescent="0.2">
      <c r="A356" s="501">
        <f t="shared" si="39"/>
        <v>2047</v>
      </c>
      <c r="B356" s="520">
        <f t="shared" si="40"/>
        <v>1.0209999999999999</v>
      </c>
      <c r="C356" s="503"/>
      <c r="D356" s="503"/>
      <c r="E356" s="503"/>
      <c r="F356" s="503"/>
      <c r="G356" s="504"/>
      <c r="H356" s="171">
        <f t="shared" si="41"/>
        <v>2047</v>
      </c>
      <c r="I356" s="523">
        <f t="shared" si="43"/>
        <v>1.6144225746035119</v>
      </c>
      <c r="J356" s="523">
        <f t="shared" si="42"/>
        <v>1.6832969267162081</v>
      </c>
      <c r="K356" s="171"/>
      <c r="L356" s="171"/>
      <c r="M356" s="171"/>
    </row>
    <row r="357" spans="1:16" x14ac:dyDescent="0.2">
      <c r="A357" s="501">
        <f t="shared" si="39"/>
        <v>2048</v>
      </c>
      <c r="B357" s="520">
        <f t="shared" si="40"/>
        <v>1.0209999999999999</v>
      </c>
      <c r="C357" s="503"/>
      <c r="D357" s="503"/>
      <c r="E357" s="503"/>
      <c r="F357" s="503"/>
      <c r="G357" s="504"/>
      <c r="H357" s="171">
        <f t="shared" si="41"/>
        <v>2048</v>
      </c>
      <c r="I357" s="523">
        <f t="shared" si="43"/>
        <v>1.6483254486701855</v>
      </c>
      <c r="J357" s="523">
        <f t="shared" si="42"/>
        <v>1.7186461621772484</v>
      </c>
      <c r="K357" s="171"/>
      <c r="L357" s="171"/>
      <c r="M357" s="171"/>
    </row>
    <row r="358" spans="1:16" x14ac:dyDescent="0.2">
      <c r="A358" s="501">
        <f t="shared" si="39"/>
        <v>2049</v>
      </c>
      <c r="B358" s="520">
        <f t="shared" si="40"/>
        <v>1.0209999999999999</v>
      </c>
      <c r="C358" s="503"/>
      <c r="D358" s="503"/>
      <c r="E358" s="503"/>
      <c r="F358" s="503"/>
      <c r="G358" s="504"/>
      <c r="H358" s="171">
        <f t="shared" si="41"/>
        <v>2049</v>
      </c>
      <c r="I358" s="523">
        <f t="shared" si="43"/>
        <v>1.6829402830922593</v>
      </c>
      <c r="J358" s="523">
        <f t="shared" si="42"/>
        <v>1.7547377315829702</v>
      </c>
      <c r="K358" s="171"/>
      <c r="L358" s="171"/>
      <c r="M358" s="171"/>
    </row>
    <row r="359" spans="1:16" x14ac:dyDescent="0.2">
      <c r="A359" s="501">
        <f t="shared" si="39"/>
        <v>2050</v>
      </c>
      <c r="B359" s="520">
        <f t="shared" si="40"/>
        <v>1.0209999999999999</v>
      </c>
      <c r="C359" s="503"/>
      <c r="D359" s="503"/>
      <c r="E359" s="503"/>
      <c r="F359" s="503"/>
      <c r="G359" s="504"/>
      <c r="H359" s="171">
        <f t="shared" si="41"/>
        <v>2050</v>
      </c>
      <c r="I359" s="523">
        <f t="shared" si="43"/>
        <v>1.7182820290371965</v>
      </c>
      <c r="J359" s="523">
        <f t="shared" si="42"/>
        <v>1.7915872239462129</v>
      </c>
      <c r="K359" s="171"/>
      <c r="L359" s="171"/>
      <c r="M359" s="171"/>
    </row>
    <row r="360" spans="1:16" x14ac:dyDescent="0.2">
      <c r="A360" s="501">
        <f t="shared" si="39"/>
        <v>2051</v>
      </c>
      <c r="B360" s="520">
        <f t="shared" si="40"/>
        <v>1.0209999999999999</v>
      </c>
      <c r="C360" s="503"/>
      <c r="D360" s="503"/>
      <c r="E360" s="503"/>
      <c r="F360" s="503"/>
      <c r="G360" s="504"/>
      <c r="H360" s="171">
        <f t="shared" si="41"/>
        <v>2051</v>
      </c>
      <c r="I360" s="523">
        <f t="shared" si="43"/>
        <v>1.7543659516469774</v>
      </c>
      <c r="J360" s="523">
        <f t="shared" si="42"/>
        <v>1.8292105556490825</v>
      </c>
      <c r="K360" s="171"/>
      <c r="L360" s="171"/>
      <c r="M360" s="171"/>
    </row>
    <row r="361" spans="1:16" x14ac:dyDescent="0.2">
      <c r="A361" s="501">
        <f t="shared" si="39"/>
        <v>2052</v>
      </c>
      <c r="B361" s="520">
        <f t="shared" si="40"/>
        <v>1.0209999999999999</v>
      </c>
      <c r="C361" s="503"/>
      <c r="D361" s="503"/>
      <c r="E361" s="503"/>
      <c r="F361" s="503"/>
      <c r="G361" s="504"/>
      <c r="H361" s="171">
        <f t="shared" si="41"/>
        <v>2052</v>
      </c>
      <c r="I361" s="523">
        <f t="shared" si="43"/>
        <v>1.7912076366315637</v>
      </c>
      <c r="J361" s="523">
        <f t="shared" si="42"/>
        <v>1.8676239773177126</v>
      </c>
      <c r="K361" s="171"/>
      <c r="L361" s="171"/>
      <c r="M361" s="171"/>
    </row>
    <row r="362" spans="1:16" x14ac:dyDescent="0.2">
      <c r="A362" s="501">
        <f t="shared" si="39"/>
        <v>2053</v>
      </c>
      <c r="B362" s="520">
        <f t="shared" si="40"/>
        <v>1.0209999999999999</v>
      </c>
      <c r="C362" s="503"/>
      <c r="D362" s="503"/>
      <c r="E362" s="503"/>
      <c r="F362" s="503"/>
      <c r="G362" s="504"/>
      <c r="H362" s="171">
        <f t="shared" si="41"/>
        <v>2053</v>
      </c>
      <c r="I362" s="523">
        <f t="shared" si="43"/>
        <v>1.8288229970008263</v>
      </c>
      <c r="J362" s="523">
        <f t="shared" si="42"/>
        <v>1.9068440808413851</v>
      </c>
      <c r="K362" s="171"/>
      <c r="L362" s="171"/>
      <c r="M362" s="171"/>
    </row>
    <row r="363" spans="1:16" x14ac:dyDescent="0.2">
      <c r="A363" s="501">
        <f t="shared" si="39"/>
        <v>2054</v>
      </c>
      <c r="B363" s="520">
        <f t="shared" si="40"/>
        <v>1.0209999999999999</v>
      </c>
      <c r="C363" s="503"/>
      <c r="D363" s="503"/>
      <c r="E363" s="503"/>
      <c r="F363" s="503"/>
      <c r="G363" s="504"/>
      <c r="H363" s="171">
        <f t="shared" si="41"/>
        <v>2054</v>
      </c>
      <c r="I363" s="523">
        <f t="shared" si="43"/>
        <v>1.8672282799378435</v>
      </c>
      <c r="J363" s="523">
        <f t="shared" si="42"/>
        <v>1.9468878065390538</v>
      </c>
      <c r="K363" s="171"/>
      <c r="L363" s="171"/>
      <c r="M363" s="171"/>
    </row>
    <row r="364" spans="1:16" x14ac:dyDescent="0.2">
      <c r="A364" s="501">
        <f t="shared" si="39"/>
        <v>2055</v>
      </c>
      <c r="B364" s="520">
        <f t="shared" si="40"/>
        <v>1.0209999999999999</v>
      </c>
      <c r="C364" s="503"/>
      <c r="D364" s="503"/>
      <c r="E364" s="503"/>
      <c r="F364" s="503"/>
      <c r="G364" s="504"/>
      <c r="H364" s="171">
        <f t="shared" si="41"/>
        <v>2055</v>
      </c>
      <c r="I364" s="523">
        <f t="shared" si="43"/>
        <v>1.9064400738165379</v>
      </c>
      <c r="J364" s="523">
        <f t="shared" si="42"/>
        <v>1.9877724504763734</v>
      </c>
      <c r="K364" s="171"/>
      <c r="L364" s="171"/>
      <c r="M364" s="171"/>
    </row>
    <row r="365" spans="1:16" x14ac:dyDescent="0.2">
      <c r="A365" s="501">
        <f t="shared" si="39"/>
        <v>2056</v>
      </c>
      <c r="B365" s="520">
        <f t="shared" si="40"/>
        <v>1.0209999999999999</v>
      </c>
      <c r="C365" s="503"/>
      <c r="D365" s="503"/>
      <c r="E365" s="503"/>
      <c r="F365" s="503"/>
      <c r="G365" s="504"/>
      <c r="H365" s="171">
        <f t="shared" si="41"/>
        <v>2056</v>
      </c>
      <c r="I365" s="523">
        <f t="shared" si="43"/>
        <v>1.9464753153666849</v>
      </c>
      <c r="J365" s="523">
        <f t="shared" si="42"/>
        <v>2.0295156719363776</v>
      </c>
      <c r="K365" s="171"/>
      <c r="L365" s="171"/>
      <c r="M365" s="171"/>
    </row>
    <row r="366" spans="1:16" x14ac:dyDescent="0.2">
      <c r="A366" s="501">
        <f t="shared" si="39"/>
        <v>2057</v>
      </c>
      <c r="B366" s="520">
        <f t="shared" si="40"/>
        <v>1.0209999999999999</v>
      </c>
      <c r="C366" s="503"/>
      <c r="D366" s="503"/>
      <c r="E366" s="503"/>
      <c r="F366" s="503"/>
      <c r="G366" s="504"/>
      <c r="H366" s="171">
        <f t="shared" si="41"/>
        <v>2057</v>
      </c>
      <c r="I366" s="523">
        <f t="shared" si="43"/>
        <v>1.9873512969893852</v>
      </c>
      <c r="J366" s="523">
        <f t="shared" si="42"/>
        <v>2.072135501047041</v>
      </c>
      <c r="K366" s="171"/>
      <c r="L366" s="171"/>
      <c r="M366" s="171"/>
    </row>
    <row r="367" spans="1:16" x14ac:dyDescent="0.2">
      <c r="A367" s="501">
        <f t="shared" si="39"/>
        <v>2058</v>
      </c>
      <c r="B367" s="520">
        <f t="shared" si="40"/>
        <v>1.0209999999999999</v>
      </c>
      <c r="C367" s="503"/>
      <c r="D367" s="503"/>
      <c r="E367" s="503"/>
      <c r="F367" s="503"/>
      <c r="G367" s="504"/>
      <c r="H367" s="171">
        <f t="shared" si="41"/>
        <v>2058</v>
      </c>
      <c r="I367" s="523">
        <f t="shared" si="43"/>
        <v>2.0290856742261623</v>
      </c>
      <c r="J367" s="523">
        <f t="shared" si="42"/>
        <v>2.1156503465690291</v>
      </c>
      <c r="K367" s="171"/>
      <c r="L367" s="171"/>
      <c r="M367" s="171"/>
      <c r="P367" s="529"/>
    </row>
    <row r="368" spans="1:16" x14ac:dyDescent="0.2">
      <c r="A368" s="501">
        <f t="shared" si="39"/>
        <v>2059</v>
      </c>
      <c r="B368" s="520">
        <f t="shared" si="40"/>
        <v>1.0209999999999999</v>
      </c>
      <c r="C368" s="503"/>
      <c r="D368" s="503"/>
      <c r="E368" s="503"/>
      <c r="F368" s="503"/>
      <c r="G368" s="504"/>
      <c r="H368" s="171">
        <f t="shared" si="41"/>
        <v>2059</v>
      </c>
      <c r="I368" s="523">
        <f t="shared" si="43"/>
        <v>2.0716964733849115</v>
      </c>
      <c r="J368" s="523">
        <f t="shared" si="42"/>
        <v>2.1600790038469784</v>
      </c>
      <c r="K368" s="171"/>
      <c r="L368" s="171"/>
      <c r="M368" s="171"/>
      <c r="P368" s="529"/>
    </row>
    <row r="369" spans="1:16" x14ac:dyDescent="0.2">
      <c r="A369" s="501">
        <f t="shared" si="39"/>
        <v>2060</v>
      </c>
      <c r="B369" s="520">
        <f t="shared" si="40"/>
        <v>1.0209999999999999</v>
      </c>
      <c r="C369" s="503"/>
      <c r="D369" s="503"/>
      <c r="E369" s="503"/>
      <c r="F369" s="503"/>
      <c r="G369" s="504"/>
      <c r="H369" s="171">
        <f t="shared" si="41"/>
        <v>2060</v>
      </c>
      <c r="I369" s="523">
        <f t="shared" si="43"/>
        <v>2.1152020993259946</v>
      </c>
      <c r="J369" s="523">
        <f t="shared" si="42"/>
        <v>2.2054406629277654</v>
      </c>
      <c r="K369" s="171"/>
      <c r="L369" s="171"/>
      <c r="M369" s="171"/>
      <c r="P369" s="529"/>
    </row>
    <row r="370" spans="1:16" x14ac:dyDescent="0.2">
      <c r="A370" s="501">
        <f t="shared" si="39"/>
        <v>2061</v>
      </c>
      <c r="B370" s="520">
        <f t="shared" si="40"/>
        <v>1.0209999999999999</v>
      </c>
      <c r="C370" s="503"/>
      <c r="D370" s="503"/>
      <c r="E370" s="503"/>
      <c r="F370" s="503"/>
      <c r="G370" s="504"/>
      <c r="H370" s="171">
        <f t="shared" si="41"/>
        <v>2061</v>
      </c>
      <c r="I370" s="523">
        <f t="shared" si="43"/>
        <v>2.1596213434118403</v>
      </c>
      <c r="J370" s="523">
        <f t="shared" si="42"/>
        <v>2.2517549168492477</v>
      </c>
      <c r="K370" s="171"/>
      <c r="L370" s="171"/>
      <c r="M370" s="171"/>
      <c r="P370" s="529"/>
    </row>
    <row r="371" spans="1:16" x14ac:dyDescent="0.2">
      <c r="A371" s="501">
        <f t="shared" si="39"/>
        <v>2062</v>
      </c>
      <c r="B371" s="520">
        <f t="shared" si="40"/>
        <v>1.0209999999999999</v>
      </c>
      <c r="C371" s="503"/>
      <c r="D371" s="503"/>
      <c r="E371" s="503"/>
      <c r="F371" s="503"/>
      <c r="G371" s="504"/>
      <c r="H371" s="171">
        <f t="shared" si="41"/>
        <v>2062</v>
      </c>
      <c r="I371" s="523">
        <f t="shared" si="43"/>
        <v>2.2049733916234886</v>
      </c>
      <c r="J371" s="523">
        <f t="shared" si="42"/>
        <v>2.2990417701030812</v>
      </c>
      <c r="K371" s="171"/>
      <c r="L371" s="171"/>
      <c r="M371" s="171"/>
      <c r="P371" s="529"/>
    </row>
    <row r="372" spans="1:16" x14ac:dyDescent="0.2">
      <c r="A372" s="501">
        <f t="shared" si="39"/>
        <v>2063</v>
      </c>
      <c r="B372" s="520">
        <f t="shared" si="40"/>
        <v>1.0209999999999999</v>
      </c>
      <c r="C372" s="503"/>
      <c r="D372" s="503"/>
      <c r="E372" s="503"/>
      <c r="F372" s="503"/>
      <c r="G372" s="504"/>
      <c r="H372" s="171">
        <f t="shared" si="41"/>
        <v>2063</v>
      </c>
      <c r="I372" s="523">
        <f t="shared" si="43"/>
        <v>2.2512778328475815</v>
      </c>
      <c r="J372" s="523">
        <f t="shared" si="42"/>
        <v>2.3473216472752463</v>
      </c>
      <c r="K372" s="171"/>
      <c r="L372" s="171"/>
      <c r="M372" s="171"/>
      <c r="P372" s="529"/>
    </row>
    <row r="373" spans="1:16" x14ac:dyDescent="0.2">
      <c r="A373" s="501">
        <f t="shared" si="39"/>
        <v>2064</v>
      </c>
      <c r="B373" s="520">
        <f t="shared" si="40"/>
        <v>1.0209999999999999</v>
      </c>
      <c r="C373" s="503"/>
      <c r="D373" s="503"/>
      <c r="E373" s="503"/>
      <c r="F373" s="503"/>
      <c r="G373" s="504"/>
      <c r="H373" s="171">
        <f t="shared" si="41"/>
        <v>2064</v>
      </c>
      <c r="I373" s="523">
        <f t="shared" si="43"/>
        <v>2.2985546673373807</v>
      </c>
      <c r="J373" s="523">
        <f t="shared" si="42"/>
        <v>2.3966154018680266</v>
      </c>
      <c r="K373" s="171"/>
      <c r="L373" s="171"/>
      <c r="M373" s="171"/>
      <c r="P373" s="529"/>
    </row>
    <row r="374" spans="1:16" x14ac:dyDescent="0.2">
      <c r="A374" s="501">
        <f t="shared" si="39"/>
        <v>2065</v>
      </c>
      <c r="B374" s="520">
        <f t="shared" si="40"/>
        <v>1.0209999999999999</v>
      </c>
      <c r="C374" s="503"/>
      <c r="D374" s="503"/>
      <c r="E374" s="503"/>
      <c r="F374" s="503"/>
      <c r="G374" s="504"/>
      <c r="H374" s="171">
        <f t="shared" si="41"/>
        <v>2065</v>
      </c>
      <c r="I374" s="523">
        <f t="shared" si="43"/>
        <v>2.3468243153514656</v>
      </c>
      <c r="J374" s="523">
        <f t="shared" si="42"/>
        <v>2.4469443253072547</v>
      </c>
      <c r="K374" s="171"/>
      <c r="L374" s="171"/>
      <c r="M374" s="171"/>
    </row>
    <row r="375" spans="1:16" x14ac:dyDescent="0.2">
      <c r="A375" s="501">
        <f t="shared" si="39"/>
        <v>2066</v>
      </c>
      <c r="B375" s="520">
        <f t="shared" si="40"/>
        <v>1.0209999999999999</v>
      </c>
      <c r="C375" s="503"/>
      <c r="D375" s="503"/>
      <c r="E375" s="503"/>
      <c r="F375" s="503"/>
      <c r="G375" s="504"/>
      <c r="H375" s="171">
        <f t="shared" si="41"/>
        <v>2066</v>
      </c>
      <c r="I375" s="523">
        <f t="shared" si="43"/>
        <v>2.3961076259738463</v>
      </c>
      <c r="J375" s="523">
        <f t="shared" si="42"/>
        <v>2.4983301561387066</v>
      </c>
      <c r="K375" s="171"/>
      <c r="L375" s="171"/>
      <c r="M375" s="171"/>
    </row>
    <row r="376" spans="1:16" x14ac:dyDescent="0.2">
      <c r="A376" s="501">
        <f t="shared" si="39"/>
        <v>2067</v>
      </c>
      <c r="B376" s="520">
        <f t="shared" si="40"/>
        <v>1.0209999999999999</v>
      </c>
      <c r="C376" s="503"/>
      <c r="D376" s="503"/>
      <c r="E376" s="503"/>
      <c r="F376" s="503"/>
      <c r="G376" s="504"/>
      <c r="H376" s="171">
        <f t="shared" si="41"/>
        <v>2067</v>
      </c>
      <c r="I376" s="523">
        <f t="shared" si="43"/>
        <v>2.4464258861192967</v>
      </c>
      <c r="J376" s="523">
        <f t="shared" si="42"/>
        <v>2.550795089417619</v>
      </c>
      <c r="K376" s="171"/>
      <c r="L376" s="171"/>
      <c r="M376" s="171"/>
    </row>
    <row r="377" spans="1:16" x14ac:dyDescent="0.2">
      <c r="A377" s="501">
        <f t="shared" si="39"/>
        <v>2068</v>
      </c>
      <c r="B377" s="520">
        <f t="shared" si="40"/>
        <v>1.0209999999999999</v>
      </c>
      <c r="C377" s="503"/>
      <c r="D377" s="503"/>
      <c r="E377" s="503"/>
      <c r="F377" s="503"/>
      <c r="G377" s="504"/>
      <c r="H377" s="171">
        <f t="shared" si="41"/>
        <v>2068</v>
      </c>
      <c r="I377" s="523">
        <f t="shared" si="43"/>
        <v>2.4978008297278018</v>
      </c>
      <c r="J377" s="523">
        <f t="shared" si="42"/>
        <v>2.6043617862953896</v>
      </c>
      <c r="K377" s="171"/>
      <c r="L377" s="171"/>
      <c r="M377" s="171"/>
    </row>
    <row r="378" spans="1:16" x14ac:dyDescent="0.2">
      <c r="A378" s="501">
        <f t="shared" si="39"/>
        <v>2069</v>
      </c>
      <c r="B378" s="520">
        <f t="shared" si="40"/>
        <v>1.0209999999999999</v>
      </c>
      <c r="C378" s="503"/>
      <c r="D378" s="503"/>
      <c r="E378" s="503"/>
      <c r="F378" s="503"/>
      <c r="G378" s="504"/>
      <c r="H378" s="171">
        <f t="shared" si="41"/>
        <v>2069</v>
      </c>
      <c r="I378" s="523">
        <f t="shared" si="43"/>
        <v>2.5502546471520855</v>
      </c>
      <c r="J378" s="523">
        <f t="shared" si="42"/>
        <v>2.659053383807592</v>
      </c>
      <c r="K378" s="171"/>
      <c r="L378" s="171"/>
      <c r="M378" s="171"/>
    </row>
    <row r="379" spans="1:16" x14ac:dyDescent="0.2">
      <c r="A379" s="501">
        <f t="shared" si="39"/>
        <v>2070</v>
      </c>
      <c r="B379" s="520">
        <f t="shared" si="40"/>
        <v>1.0209999999999999</v>
      </c>
      <c r="C379" s="503"/>
      <c r="D379" s="503"/>
      <c r="E379" s="503"/>
      <c r="F379" s="503"/>
      <c r="G379" s="504"/>
      <c r="H379" s="171">
        <f t="shared" si="41"/>
        <v>2070</v>
      </c>
      <c r="I379" s="523">
        <f t="shared" si="43"/>
        <v>2.6038099947422793</v>
      </c>
      <c r="J379" s="523">
        <f t="shared" si="42"/>
        <v>2.7148935048675518</v>
      </c>
      <c r="K379" s="171"/>
      <c r="L379" s="171"/>
      <c r="M379" s="171"/>
    </row>
    <row r="380" spans="1:16" x14ac:dyDescent="0.2">
      <c r="A380" s="501">
        <f t="shared" si="39"/>
        <v>2071</v>
      </c>
      <c r="B380" s="520">
        <f t="shared" si="40"/>
        <v>1.0209999999999999</v>
      </c>
      <c r="C380" s="503"/>
      <c r="D380" s="503"/>
      <c r="E380" s="503"/>
      <c r="F380" s="503"/>
      <c r="G380" s="504"/>
      <c r="H380" s="171">
        <f t="shared" si="41"/>
        <v>2071</v>
      </c>
      <c r="I380" s="523">
        <f t="shared" si="43"/>
        <v>2.6584900046318669</v>
      </c>
      <c r="J380" s="523">
        <f t="shared" si="42"/>
        <v>2.77190626846977</v>
      </c>
      <c r="K380" s="171"/>
      <c r="L380" s="171"/>
      <c r="M380" s="171"/>
    </row>
    <row r="381" spans="1:16" x14ac:dyDescent="0.2">
      <c r="A381" s="501">
        <f t="shared" si="39"/>
        <v>2072</v>
      </c>
      <c r="B381" s="520">
        <f t="shared" si="40"/>
        <v>1.0209999999999999</v>
      </c>
      <c r="C381" s="503"/>
      <c r="D381" s="503"/>
      <c r="E381" s="503"/>
      <c r="F381" s="503"/>
      <c r="G381" s="504"/>
      <c r="H381" s="171">
        <f t="shared" si="41"/>
        <v>2072</v>
      </c>
      <c r="I381" s="523">
        <f t="shared" si="43"/>
        <v>2.7143182947291358</v>
      </c>
      <c r="J381" s="523">
        <f t="shared" si="42"/>
        <v>2.8301163001076342</v>
      </c>
      <c r="K381" s="171"/>
      <c r="L381" s="171"/>
      <c r="M381" s="171"/>
    </row>
    <row r="382" spans="1:16" x14ac:dyDescent="0.2">
      <c r="A382" s="501">
        <f t="shared" si="39"/>
        <v>2073</v>
      </c>
      <c r="B382" s="520">
        <f t="shared" si="40"/>
        <v>1.0209999999999999</v>
      </c>
      <c r="C382" s="503"/>
      <c r="D382" s="503"/>
      <c r="E382" s="503"/>
      <c r="F382" s="503"/>
      <c r="G382" s="504"/>
      <c r="H382" s="171">
        <f t="shared" si="41"/>
        <v>2073</v>
      </c>
      <c r="I382" s="523">
        <f t="shared" si="43"/>
        <v>2.7713189789184476</v>
      </c>
      <c r="J382" s="523">
        <f t="shared" si="42"/>
        <v>2.8895487424098945</v>
      </c>
      <c r="K382" s="171"/>
      <c r="L382" s="171"/>
      <c r="M382" s="171"/>
    </row>
    <row r="383" spans="1:16" x14ac:dyDescent="0.2">
      <c r="A383" s="501">
        <f t="shared" si="39"/>
        <v>2074</v>
      </c>
      <c r="B383" s="520">
        <f t="shared" si="40"/>
        <v>1.0209999999999999</v>
      </c>
      <c r="C383" s="503"/>
      <c r="D383" s="503"/>
      <c r="E383" s="503"/>
      <c r="F383" s="503"/>
      <c r="G383" s="504"/>
      <c r="H383" s="171">
        <f t="shared" si="41"/>
        <v>2074</v>
      </c>
      <c r="I383" s="523">
        <f t="shared" si="43"/>
        <v>2.8295166774757345</v>
      </c>
      <c r="J383" s="523">
        <f t="shared" si="42"/>
        <v>2.9502292660005018</v>
      </c>
      <c r="K383" s="171"/>
      <c r="L383" s="171"/>
      <c r="M383" s="171"/>
    </row>
    <row r="384" spans="1:16" x14ac:dyDescent="0.2">
      <c r="A384" s="501">
        <f t="shared" si="39"/>
        <v>2075</v>
      </c>
      <c r="B384" s="520">
        <f t="shared" si="40"/>
        <v>1.0209999999999999</v>
      </c>
      <c r="C384" s="503"/>
      <c r="D384" s="503"/>
      <c r="E384" s="503"/>
      <c r="F384" s="503"/>
      <c r="G384" s="504"/>
      <c r="H384" s="171">
        <f t="shared" si="41"/>
        <v>2075</v>
      </c>
      <c r="I384" s="523">
        <f t="shared" si="43"/>
        <v>2.8889365277027248</v>
      </c>
      <c r="J384" s="523">
        <f t="shared" si="42"/>
        <v>3.012184080586513</v>
      </c>
      <c r="K384" s="171"/>
      <c r="L384" s="171"/>
      <c r="M384" s="171"/>
    </row>
    <row r="385" spans="1:23" x14ac:dyDescent="0.2">
      <c r="A385" s="501">
        <f t="shared" si="39"/>
        <v>2076</v>
      </c>
      <c r="B385" s="520">
        <f t="shared" si="40"/>
        <v>1.0209999999999999</v>
      </c>
      <c r="C385" s="503"/>
      <c r="D385" s="503"/>
      <c r="E385" s="503"/>
      <c r="F385" s="503"/>
      <c r="G385" s="504"/>
      <c r="H385" s="171">
        <f t="shared" si="41"/>
        <v>2076</v>
      </c>
      <c r="I385" s="523">
        <f t="shared" si="43"/>
        <v>2.9496041947844818</v>
      </c>
      <c r="J385" s="523">
        <f t="shared" si="42"/>
        <v>3.0754399462788298</v>
      </c>
      <c r="K385" s="171"/>
      <c r="L385" s="171"/>
      <c r="M385" s="171"/>
    </row>
    <row r="386" spans="1:23" x14ac:dyDescent="0.2">
      <c r="A386" s="501">
        <f t="shared" si="39"/>
        <v>2077</v>
      </c>
      <c r="B386" s="520">
        <f t="shared" si="40"/>
        <v>1.0209999999999999</v>
      </c>
      <c r="C386" s="503"/>
      <c r="D386" s="503"/>
      <c r="E386" s="503"/>
      <c r="F386" s="503"/>
      <c r="G386" s="504"/>
      <c r="H386" s="171">
        <f t="shared" si="41"/>
        <v>2077</v>
      </c>
      <c r="I386" s="523">
        <f t="shared" si="43"/>
        <v>3.0115458828749557</v>
      </c>
      <c r="J386" s="523">
        <f t="shared" si="42"/>
        <v>3.1400241851506845</v>
      </c>
      <c r="K386" s="171"/>
      <c r="L386" s="171"/>
      <c r="M386" s="171"/>
    </row>
    <row r="387" spans="1:23" x14ac:dyDescent="0.2">
      <c r="A387" s="501">
        <f t="shared" si="39"/>
        <v>2078</v>
      </c>
      <c r="B387" s="520">
        <f t="shared" si="40"/>
        <v>1.0209999999999999</v>
      </c>
      <c r="C387" s="503"/>
      <c r="D387" s="503"/>
      <c r="E387" s="503"/>
      <c r="F387" s="503"/>
      <c r="G387" s="504"/>
      <c r="H387" s="171">
        <f t="shared" si="41"/>
        <v>2078</v>
      </c>
      <c r="I387" s="523">
        <f t="shared" si="43"/>
        <v>3.0747883464153296</v>
      </c>
      <c r="J387" s="523">
        <f t="shared" si="42"/>
        <v>3.2059646930388492</v>
      </c>
      <c r="K387" s="171"/>
      <c r="L387" s="171"/>
      <c r="M387" s="171"/>
    </row>
    <row r="388" spans="1:23" x14ac:dyDescent="0.2">
      <c r="A388" s="501">
        <f t="shared" si="39"/>
        <v>2079</v>
      </c>
      <c r="B388" s="520">
        <f t="shared" si="40"/>
        <v>1.0209999999999999</v>
      </c>
      <c r="C388" s="503"/>
      <c r="D388" s="503"/>
      <c r="E388" s="503"/>
      <c r="F388" s="503"/>
      <c r="G388" s="504"/>
      <c r="H388" s="171">
        <f t="shared" si="41"/>
        <v>2079</v>
      </c>
      <c r="I388" s="523">
        <f t="shared" si="43"/>
        <v>3.1393589016900512</v>
      </c>
      <c r="J388" s="523">
        <f t="shared" si="42"/>
        <v>3.2732899515926643</v>
      </c>
      <c r="K388" s="171"/>
      <c r="L388" s="171"/>
      <c r="M388" s="171"/>
    </row>
    <row r="389" spans="1:23" x14ac:dyDescent="0.2">
      <c r="A389" s="501">
        <f t="shared" si="39"/>
        <v>2080</v>
      </c>
      <c r="B389" s="520">
        <f t="shared" si="40"/>
        <v>1.0209999999999999</v>
      </c>
      <c r="C389" s="503"/>
      <c r="D389" s="503"/>
      <c r="E389" s="503"/>
      <c r="F389" s="503"/>
      <c r="G389" s="504"/>
      <c r="H389" s="171">
        <f t="shared" si="41"/>
        <v>2080</v>
      </c>
      <c r="I389" s="523">
        <f t="shared" si="43"/>
        <v>3.205285438625542</v>
      </c>
      <c r="J389" s="523">
        <f t="shared" si="42"/>
        <v>3.3420290405761106</v>
      </c>
      <c r="K389" s="171"/>
      <c r="L389" s="171"/>
      <c r="M389" s="171"/>
    </row>
    <row r="390" spans="1:23" x14ac:dyDescent="0.2">
      <c r="A390" s="501">
        <f t="shared" si="39"/>
        <v>2081</v>
      </c>
      <c r="B390" s="520">
        <f t="shared" si="40"/>
        <v>1.0209999999999999</v>
      </c>
      <c r="C390" s="503"/>
      <c r="D390" s="503"/>
      <c r="E390" s="503"/>
      <c r="F390" s="503"/>
      <c r="G390" s="504"/>
      <c r="H390" s="171">
        <f t="shared" si="41"/>
        <v>2081</v>
      </c>
      <c r="I390" s="523">
        <f t="shared" si="43"/>
        <v>3.2725964328366781</v>
      </c>
      <c r="J390" s="523" t="s">
        <v>415</v>
      </c>
      <c r="K390" s="171"/>
      <c r="L390" s="171"/>
      <c r="M390" s="171"/>
    </row>
    <row r="391" spans="1:23" x14ac:dyDescent="0.2">
      <c r="A391" s="501">
        <f t="shared" ref="A391:A398" si="44">+A75</f>
        <v>2082</v>
      </c>
      <c r="B391" s="520">
        <f t="shared" ref="B391:B398" si="45">B75</f>
        <v>1.0209999999999999</v>
      </c>
      <c r="C391" s="503"/>
      <c r="D391" s="503"/>
      <c r="E391" s="503"/>
      <c r="F391" s="503"/>
      <c r="G391" s="504"/>
      <c r="H391" s="171">
        <f t="shared" ref="H391:H398" si="46">+A391</f>
        <v>2082</v>
      </c>
      <c r="I391" s="523">
        <f t="shared" si="43"/>
        <v>3.3413209579262482</v>
      </c>
      <c r="J391" s="523" t="s">
        <v>415</v>
      </c>
      <c r="K391" s="171"/>
      <c r="L391" s="171"/>
      <c r="M391" s="171"/>
    </row>
    <row r="392" spans="1:23" x14ac:dyDescent="0.2">
      <c r="A392" s="501">
        <f t="shared" si="44"/>
        <v>2083</v>
      </c>
      <c r="B392" s="520">
        <f t="shared" si="45"/>
        <v>1.0209999999999999</v>
      </c>
      <c r="C392" s="503"/>
      <c r="D392" s="503"/>
      <c r="E392" s="503"/>
      <c r="F392" s="503"/>
      <c r="G392" s="504"/>
      <c r="H392" s="171">
        <f t="shared" si="46"/>
        <v>2083</v>
      </c>
      <c r="I392" s="523">
        <f t="shared" si="43"/>
        <v>3.4114886980426991</v>
      </c>
      <c r="J392" s="523" t="s">
        <v>415</v>
      </c>
      <c r="K392" s="171"/>
      <c r="L392" s="171"/>
      <c r="M392" s="171"/>
    </row>
    <row r="393" spans="1:23" x14ac:dyDescent="0.2">
      <c r="A393" s="501">
        <f t="shared" si="44"/>
        <v>2084</v>
      </c>
      <c r="B393" s="520">
        <f t="shared" si="45"/>
        <v>1.0209999999999999</v>
      </c>
      <c r="C393" s="503"/>
      <c r="D393" s="503"/>
      <c r="E393" s="503"/>
      <c r="F393" s="503"/>
      <c r="G393" s="504"/>
      <c r="H393" s="171">
        <f t="shared" si="46"/>
        <v>2084</v>
      </c>
      <c r="I393" s="523">
        <f t="shared" si="43"/>
        <v>3.4831299607015955</v>
      </c>
      <c r="J393" s="523" t="s">
        <v>415</v>
      </c>
      <c r="K393" s="171"/>
      <c r="L393" s="171"/>
      <c r="M393" s="171"/>
    </row>
    <row r="394" spans="1:23" x14ac:dyDescent="0.2">
      <c r="A394" s="501">
        <f t="shared" si="44"/>
        <v>2085</v>
      </c>
      <c r="B394" s="520">
        <f t="shared" si="45"/>
        <v>1.0209999999999999</v>
      </c>
      <c r="C394" s="503"/>
      <c r="D394" s="503"/>
      <c r="E394" s="503"/>
      <c r="F394" s="503"/>
      <c r="G394" s="504"/>
      <c r="H394" s="171">
        <f t="shared" si="46"/>
        <v>2085</v>
      </c>
      <c r="I394" s="523">
        <f t="shared" si="43"/>
        <v>3.5562756898763288</v>
      </c>
      <c r="J394" s="523" t="s">
        <v>415</v>
      </c>
      <c r="K394" s="171"/>
      <c r="L394" s="171"/>
      <c r="M394" s="171"/>
    </row>
    <row r="395" spans="1:23" x14ac:dyDescent="0.2">
      <c r="A395" s="501">
        <f t="shared" si="44"/>
        <v>2086</v>
      </c>
      <c r="B395" s="520">
        <f t="shared" si="45"/>
        <v>1.0209999999999999</v>
      </c>
      <c r="C395" s="503"/>
      <c r="D395" s="503"/>
      <c r="E395" s="503"/>
      <c r="F395" s="503"/>
      <c r="G395" s="504"/>
      <c r="H395" s="171">
        <f t="shared" si="46"/>
        <v>2086</v>
      </c>
      <c r="I395" s="523">
        <f t="shared" si="43"/>
        <v>3.6309574793637314</v>
      </c>
      <c r="J395" s="523" t="s">
        <v>415</v>
      </c>
      <c r="K395" s="171"/>
      <c r="L395" s="171"/>
      <c r="M395" s="171"/>
    </row>
    <row r="396" spans="1:23" x14ac:dyDescent="0.2">
      <c r="A396" s="501">
        <f t="shared" si="44"/>
        <v>2087</v>
      </c>
      <c r="B396" s="520">
        <f t="shared" si="45"/>
        <v>1.0209999999999999</v>
      </c>
      <c r="C396" s="503"/>
      <c r="D396" s="503"/>
      <c r="E396" s="503"/>
      <c r="F396" s="503"/>
      <c r="G396" s="504"/>
      <c r="H396" s="171">
        <f t="shared" si="46"/>
        <v>2087</v>
      </c>
      <c r="I396" s="523">
        <f t="shared" si="43"/>
        <v>3.7072075864303695</v>
      </c>
      <c r="J396" s="523" t="s">
        <v>415</v>
      </c>
      <c r="K396" s="171"/>
      <c r="L396" s="171"/>
      <c r="M396" s="171"/>
    </row>
    <row r="397" spans="1:23" x14ac:dyDescent="0.2">
      <c r="A397" s="501">
        <f t="shared" si="44"/>
        <v>2088</v>
      </c>
      <c r="B397" s="520">
        <f t="shared" si="45"/>
        <v>1.0209999999999999</v>
      </c>
      <c r="C397" s="503"/>
      <c r="D397" s="503"/>
      <c r="E397" s="503"/>
      <c r="F397" s="503"/>
      <c r="G397" s="504"/>
      <c r="H397" s="171">
        <f t="shared" si="46"/>
        <v>2088</v>
      </c>
      <c r="I397" s="523">
        <f t="shared" si="43"/>
        <v>3.7850589457454071</v>
      </c>
      <c r="J397" s="523" t="s">
        <v>415</v>
      </c>
      <c r="K397" s="171"/>
      <c r="L397" s="171"/>
      <c r="M397" s="171"/>
    </row>
    <row r="398" spans="1:23" x14ac:dyDescent="0.2">
      <c r="A398" s="501">
        <f t="shared" si="44"/>
        <v>2089</v>
      </c>
      <c r="B398" s="520">
        <f t="shared" si="45"/>
        <v>1.0209999999999999</v>
      </c>
      <c r="C398" s="503"/>
      <c r="D398" s="503"/>
      <c r="E398" s="503"/>
      <c r="F398" s="503"/>
      <c r="G398" s="504"/>
      <c r="H398" s="171">
        <f t="shared" si="46"/>
        <v>2089</v>
      </c>
      <c r="I398" s="523">
        <f t="shared" si="43"/>
        <v>3.8645451836060603</v>
      </c>
      <c r="J398" s="523" t="s">
        <v>415</v>
      </c>
      <c r="K398" s="171"/>
      <c r="L398" s="171"/>
      <c r="M398" s="171"/>
    </row>
    <row r="399" spans="1:23" ht="12" x14ac:dyDescent="0.25">
      <c r="A399" s="536"/>
      <c r="B399" s="531"/>
      <c r="C399" s="531"/>
      <c r="D399" s="531"/>
      <c r="E399" s="531"/>
      <c r="F399" s="531"/>
      <c r="G399" s="496" t="s">
        <v>96</v>
      </c>
      <c r="H399" s="504"/>
      <c r="I399" s="504"/>
      <c r="J399" s="532"/>
      <c r="K399" s="504"/>
      <c r="L399" s="532"/>
      <c r="M399" s="532"/>
    </row>
    <row r="400" spans="1:23" x14ac:dyDescent="0.2">
      <c r="A400" s="501" t="s">
        <v>377</v>
      </c>
      <c r="B400" s="502">
        <f>B5</f>
        <v>45348</v>
      </c>
      <c r="C400" s="503"/>
      <c r="D400" s="503"/>
      <c r="E400" s="503"/>
      <c r="F400" s="503"/>
      <c r="G400" s="504"/>
      <c r="H400" s="505"/>
      <c r="I400" s="505"/>
      <c r="J400" s="505"/>
      <c r="K400" s="505"/>
      <c r="L400" s="505"/>
      <c r="M400" s="505"/>
      <c r="N400" s="533"/>
      <c r="O400" s="533"/>
      <c r="P400" s="533"/>
      <c r="Q400" s="533"/>
      <c r="R400" s="534"/>
      <c r="S400" s="533"/>
      <c r="T400" s="533"/>
      <c r="U400" s="533"/>
      <c r="V400" s="533"/>
      <c r="W400" s="535"/>
    </row>
    <row r="401" spans="1:13" ht="12" thickBot="1" x14ac:dyDescent="0.25">
      <c r="A401" s="503"/>
      <c r="B401" s="503"/>
      <c r="C401" s="503"/>
      <c r="D401" s="503"/>
      <c r="E401" s="503"/>
      <c r="F401" s="503"/>
      <c r="G401" s="504"/>
      <c r="H401" s="505" t="s">
        <v>378</v>
      </c>
      <c r="I401" s="505"/>
      <c r="J401" s="505"/>
      <c r="K401" s="505"/>
      <c r="L401" s="505"/>
      <c r="M401" s="505"/>
    </row>
    <row r="402" spans="1:13" ht="13.2" thickBot="1" x14ac:dyDescent="0.3">
      <c r="A402" s="508"/>
      <c r="B402" s="508" t="s">
        <v>380</v>
      </c>
      <c r="C402" s="508" t="s">
        <v>296</v>
      </c>
      <c r="D402" s="508" t="s">
        <v>296</v>
      </c>
      <c r="E402" s="508" t="s">
        <v>296</v>
      </c>
      <c r="F402" s="508" t="s">
        <v>296</v>
      </c>
      <c r="G402" s="504"/>
      <c r="H402" s="509">
        <f>IF(K410="&lt;Base Year",H410,IF(K411="&lt;Base Year",H411,IF(K412="&lt;Base Year",H412,IF(K413="&lt;Base Year",H413,"None"))))</f>
        <v>2024</v>
      </c>
      <c r="I402" s="510" t="s">
        <v>381</v>
      </c>
      <c r="J402" s="511"/>
      <c r="K402" s="171"/>
      <c r="L402" s="171"/>
      <c r="M402" s="171"/>
    </row>
    <row r="403" spans="1:13" x14ac:dyDescent="0.2">
      <c r="A403" s="515" t="s">
        <v>383</v>
      </c>
      <c r="B403" s="515" t="s">
        <v>384</v>
      </c>
      <c r="C403" s="515">
        <f>+C8</f>
        <v>2022</v>
      </c>
      <c r="D403" s="515">
        <f t="shared" ref="D403:F403" si="47">+D8</f>
        <v>2023</v>
      </c>
      <c r="E403" s="515">
        <f t="shared" si="47"/>
        <v>2024</v>
      </c>
      <c r="F403" s="515">
        <f t="shared" si="47"/>
        <v>2025</v>
      </c>
      <c r="G403" s="504"/>
      <c r="H403" s="509">
        <f>IF(K410="&lt;Base Year",1,IF(K411="&lt;Base Year",2,IF(K412="&lt;Base Year",3,IF(K413="&lt;Base Year",4,5))))</f>
        <v>3</v>
      </c>
      <c r="I403" s="516" t="s">
        <v>1072</v>
      </c>
      <c r="J403" s="516" t="s">
        <v>1071</v>
      </c>
      <c r="K403" s="171"/>
      <c r="L403" s="171"/>
      <c r="M403" s="171"/>
    </row>
    <row r="404" spans="1:13" ht="12" thickBot="1" x14ac:dyDescent="0.25">
      <c r="A404" s="518" t="s">
        <v>386</v>
      </c>
      <c r="B404" s="518" t="s">
        <v>387</v>
      </c>
      <c r="C404" s="518"/>
      <c r="D404" s="518"/>
      <c r="E404" s="518"/>
      <c r="F404" s="518"/>
      <c r="G404" s="504"/>
      <c r="H404" s="171">
        <v>0</v>
      </c>
      <c r="I404" s="519" t="s">
        <v>123</v>
      </c>
      <c r="J404" s="519" t="s">
        <v>123</v>
      </c>
      <c r="K404" s="171"/>
      <c r="L404" s="171"/>
      <c r="M404" s="171"/>
    </row>
    <row r="405" spans="1:13" x14ac:dyDescent="0.2">
      <c r="A405" s="501">
        <f>+A10</f>
        <v>2017</v>
      </c>
      <c r="B405" s="520">
        <f>B10</f>
        <v>1.0169999999999999</v>
      </c>
      <c r="C405" s="521">
        <v>0.89181678428261768</v>
      </c>
      <c r="D405" s="521">
        <v>0.85259730810957712</v>
      </c>
      <c r="E405" s="521">
        <v>0.83018238374837128</v>
      </c>
      <c r="F405" s="521">
        <v>0.81231153008646884</v>
      </c>
      <c r="G405" s="522" t="s">
        <v>389</v>
      </c>
      <c r="H405" s="171">
        <f>+A405</f>
        <v>2017</v>
      </c>
      <c r="I405" s="523">
        <f>+I406/B406</f>
        <v>0.80062099798634889</v>
      </c>
      <c r="J405" s="524">
        <f>CHOOSE(H$403,C405,D405,E405,F405)</f>
        <v>0.83018238374837128</v>
      </c>
      <c r="K405" s="171"/>
      <c r="L405" s="171"/>
      <c r="M405" s="171"/>
    </row>
    <row r="406" spans="1:13" x14ac:dyDescent="0.2">
      <c r="A406" s="501">
        <f t="shared" ref="A406:A469" si="48">+A11</f>
        <v>2018</v>
      </c>
      <c r="B406" s="520">
        <f t="shared" ref="B406:B469" si="49">B11</f>
        <v>1.022</v>
      </c>
      <c r="C406" s="521">
        <v>0.91025830418676734</v>
      </c>
      <c r="D406" s="521">
        <v>0.87022782427033207</v>
      </c>
      <c r="E406" s="521">
        <v>0.84734939072086879</v>
      </c>
      <c r="F406" s="521">
        <v>0.82910899287756223</v>
      </c>
      <c r="G406" s="525" t="s">
        <v>391</v>
      </c>
      <c r="H406" s="171">
        <f t="shared" ref="H406:H469" si="50">+A406</f>
        <v>2018</v>
      </c>
      <c r="I406" s="523">
        <f>+I407/B407</f>
        <v>0.81823465994204858</v>
      </c>
      <c r="J406" s="524">
        <f>CHOOSE(H$403,C406,D406,E406,F406)</f>
        <v>0.84734939072086879</v>
      </c>
      <c r="K406" s="171"/>
      <c r="L406" s="171"/>
      <c r="M406" s="171"/>
    </row>
    <row r="407" spans="1:13" x14ac:dyDescent="0.2">
      <c r="A407" s="501">
        <f t="shared" si="48"/>
        <v>2019</v>
      </c>
      <c r="B407" s="520">
        <f t="shared" si="49"/>
        <v>1.0189999999999999</v>
      </c>
      <c r="C407" s="521">
        <v>0.93246811488759107</v>
      </c>
      <c r="D407" s="521">
        <v>0.89146091289444629</v>
      </c>
      <c r="E407" s="521">
        <v>0.86802425793032767</v>
      </c>
      <c r="F407" s="521">
        <v>0.84933880423711117</v>
      </c>
      <c r="G407" s="525" t="s">
        <v>393</v>
      </c>
      <c r="H407" s="171">
        <f t="shared" si="50"/>
        <v>2019</v>
      </c>
      <c r="I407" s="523">
        <f>+I408/B408</f>
        <v>0.83378111848094738</v>
      </c>
      <c r="J407" s="524">
        <f>CHOOSE(H$403,C407,D407,E407,F407)</f>
        <v>0.86802425793032767</v>
      </c>
      <c r="K407" s="171"/>
      <c r="L407" s="171"/>
      <c r="M407" s="171"/>
    </row>
    <row r="408" spans="1:13" x14ac:dyDescent="0.2">
      <c r="A408" s="501">
        <f t="shared" si="48"/>
        <v>2020</v>
      </c>
      <c r="B408" s="520">
        <f t="shared" si="49"/>
        <v>1.0129999999999999</v>
      </c>
      <c r="C408" s="521">
        <v>0.96918011490448241</v>
      </c>
      <c r="D408" s="521">
        <v>0.92655842725093918</v>
      </c>
      <c r="E408" s="521">
        <v>0.90219905282467316</v>
      </c>
      <c r="F408" s="521">
        <v>0.88277793818461159</v>
      </c>
      <c r="G408" s="522" t="s">
        <v>395</v>
      </c>
      <c r="H408" s="171">
        <f t="shared" si="50"/>
        <v>2020</v>
      </c>
      <c r="I408" s="523">
        <f>+I409/B409</f>
        <v>0.84462027302119957</v>
      </c>
      <c r="J408" s="524">
        <f>CHOOSE(H$403,C408,D408,E408,F408)</f>
        <v>0.90219905282467316</v>
      </c>
      <c r="K408" s="171"/>
      <c r="L408" s="171"/>
      <c r="M408" s="171"/>
    </row>
    <row r="409" spans="1:13" x14ac:dyDescent="0.2">
      <c r="A409" s="501">
        <f t="shared" si="48"/>
        <v>2021</v>
      </c>
      <c r="B409" s="520">
        <f t="shared" si="49"/>
        <v>1.0309999999999999</v>
      </c>
      <c r="C409" s="521">
        <v>1.0169889558375067</v>
      </c>
      <c r="D409" s="521">
        <v>0.97226477613528339</v>
      </c>
      <c r="E409" s="521">
        <v>0.94670377423104546</v>
      </c>
      <c r="F409" s="521">
        <v>0.92632463232000517</v>
      </c>
      <c r="G409" s="525" t="s">
        <v>397</v>
      </c>
      <c r="H409" s="171">
        <f t="shared" si="50"/>
        <v>2021</v>
      </c>
      <c r="I409" s="523">
        <f>+I410/B410</f>
        <v>0.87080350148485675</v>
      </c>
      <c r="J409" s="524">
        <f>CHOOSE(H$403,C409,D409,E409,F409)</f>
        <v>0.94670377423104546</v>
      </c>
      <c r="K409" s="171"/>
      <c r="L409" s="171"/>
      <c r="M409" s="171"/>
    </row>
    <row r="410" spans="1:13" x14ac:dyDescent="0.2">
      <c r="A410" s="501">
        <f t="shared" si="48"/>
        <v>2022</v>
      </c>
      <c r="B410" s="520">
        <f t="shared" si="49"/>
        <v>1.069</v>
      </c>
      <c r="C410" s="521">
        <v>1.0582266140687306</v>
      </c>
      <c r="D410" s="521">
        <v>1.0116889235838724</v>
      </c>
      <c r="E410" s="521">
        <v>0.98509145431730538</v>
      </c>
      <c r="F410" s="521">
        <v>0.96388596312847863</v>
      </c>
      <c r="G410" s="526" t="s">
        <v>399</v>
      </c>
      <c r="H410" s="171">
        <f t="shared" si="50"/>
        <v>2022</v>
      </c>
      <c r="I410" s="527">
        <f>IF(Sheet1!$E$82&lt;=A410,1,I411/B411)</f>
        <v>0.93088894308731185</v>
      </c>
      <c r="J410" s="528">
        <f>IF(I410&gt;=1,1/((C$685/I410)+(D$685/I411)+(E$685/I412)+(F$685/I413)+(G$685/I414)+(H$685/I415)+(I$685/I416)+(J$685/I417)+(K$685/I418)+(L$685/I419)),CHOOSE(H$403,C410,D410,E410,F410))</f>
        <v>0.98509145431730538</v>
      </c>
      <c r="K410" s="171" t="str">
        <f>IF(I410=1,"&lt;Base Year","")</f>
        <v/>
      </c>
      <c r="L410" s="171"/>
      <c r="M410" s="171"/>
    </row>
    <row r="411" spans="1:13" x14ac:dyDescent="0.2">
      <c r="A411" s="501">
        <f t="shared" si="48"/>
        <v>2023</v>
      </c>
      <c r="B411" s="520">
        <f t="shared" si="49"/>
        <v>1.046</v>
      </c>
      <c r="C411" s="521">
        <v>1.0876027951824798</v>
      </c>
      <c r="D411" s="521">
        <v>1.0397732267518927</v>
      </c>
      <c r="E411" s="521">
        <v>1.0124374165062249</v>
      </c>
      <c r="F411" s="521">
        <v>0.99064326468319441</v>
      </c>
      <c r="G411" s="526" t="s">
        <v>401</v>
      </c>
      <c r="H411" s="171">
        <f t="shared" si="50"/>
        <v>2023</v>
      </c>
      <c r="I411" s="527">
        <f>IF(Sheet1!$E$82&lt;A411,I410*B411,IF(Sheet1!$E$82=A411,1,I412/B412))</f>
        <v>0.97370983446932824</v>
      </c>
      <c r="J411" s="528">
        <f t="shared" ref="J411:J468" si="51">IF(I411&gt;=1,1/((C$685/I411)+(D$685/I412)+(E$685/I413)+(F$685/I414)+(G$685/I415)+(H$685/I416)+(I$685/I417)+(J$685/I418)+(K$685/I419)+(L$685/I420)),CHOOSE(H$403,C411,D411,E411,F411))</f>
        <v>1.0124374165062249</v>
      </c>
      <c r="K411" s="171" t="str">
        <f>IF(I411=1,"&lt;Base Year","")</f>
        <v/>
      </c>
      <c r="L411" s="171"/>
      <c r="M411" s="171"/>
    </row>
    <row r="412" spans="1:13" x14ac:dyDescent="0.2">
      <c r="A412" s="501">
        <f t="shared" si="48"/>
        <v>2024</v>
      </c>
      <c r="B412" s="520">
        <f t="shared" si="49"/>
        <v>1.0269999999999999</v>
      </c>
      <c r="C412" s="521">
        <v>1.1119428818115598</v>
      </c>
      <c r="D412" s="521">
        <v>1.0630429080416441</v>
      </c>
      <c r="E412" s="521">
        <v>1.0350953340230227</v>
      </c>
      <c r="F412" s="521">
        <v>1.0128134383786913</v>
      </c>
      <c r="G412" s="526" t="s">
        <v>403</v>
      </c>
      <c r="H412" s="171">
        <f t="shared" si="50"/>
        <v>2024</v>
      </c>
      <c r="I412" s="527">
        <f>IF(Sheet1!$E$82&lt;A412,I411*B412,IF(Sheet1!$E$82=A412,1,I413/B413))</f>
        <v>1</v>
      </c>
      <c r="J412" s="528">
        <f t="shared" si="51"/>
        <v>1.0350953340230229</v>
      </c>
      <c r="K412" s="171" t="str">
        <f>IF(I412=1,"&lt;Base Year","")</f>
        <v>&lt;Base Year</v>
      </c>
      <c r="L412" s="171"/>
      <c r="M412" s="171"/>
    </row>
    <row r="413" spans="1:13" x14ac:dyDescent="0.2">
      <c r="A413" s="501">
        <f t="shared" si="48"/>
        <v>2025</v>
      </c>
      <c r="B413" s="520">
        <f t="shared" si="49"/>
        <v>1.022</v>
      </c>
      <c r="C413" s="521">
        <v>1.1354776866592069</v>
      </c>
      <c r="D413" s="521">
        <v>1.0855427214715168</v>
      </c>
      <c r="E413" s="521">
        <v>1.0570036236334148</v>
      </c>
      <c r="F413" s="521">
        <v>1.0342501209720301</v>
      </c>
      <c r="G413" s="526" t="s">
        <v>405</v>
      </c>
      <c r="H413" s="171">
        <f t="shared" si="50"/>
        <v>2025</v>
      </c>
      <c r="I413" s="527">
        <f>IF(Sheet1!$E$82&lt;A413,I412*B413,IF(Sheet1!$E$82=A413,1,1))</f>
        <v>1.022</v>
      </c>
      <c r="J413" s="528">
        <f t="shared" si="51"/>
        <v>1.057003623633415</v>
      </c>
      <c r="K413" s="171" t="str">
        <f>IF(I413=1,"&lt;Base Year","")</f>
        <v/>
      </c>
      <c r="L413" s="171"/>
      <c r="M413" s="171"/>
    </row>
    <row r="414" spans="1:13" x14ac:dyDescent="0.2">
      <c r="A414" s="501">
        <f t="shared" si="48"/>
        <v>2026</v>
      </c>
      <c r="B414" s="520">
        <f t="shared" si="49"/>
        <v>1.0209999999999999</v>
      </c>
      <c r="C414" s="503"/>
      <c r="D414" s="503"/>
      <c r="E414" s="503"/>
      <c r="F414" s="503"/>
      <c r="G414" s="504"/>
      <c r="H414" s="171">
        <f t="shared" si="50"/>
        <v>2026</v>
      </c>
      <c r="I414" s="523">
        <f t="shared" ref="I414:I477" si="52">+I413*B414</f>
        <v>1.0434619999999999</v>
      </c>
      <c r="J414" s="523">
        <f t="shared" si="51"/>
        <v>1.0792006997297166</v>
      </c>
      <c r="K414" s="171"/>
      <c r="L414" s="171"/>
      <c r="M414" s="171"/>
    </row>
    <row r="415" spans="1:13" x14ac:dyDescent="0.2">
      <c r="A415" s="501">
        <f t="shared" si="48"/>
        <v>2027</v>
      </c>
      <c r="B415" s="520">
        <f t="shared" si="49"/>
        <v>1.0209999999999999</v>
      </c>
      <c r="C415" s="503"/>
      <c r="D415" s="503"/>
      <c r="E415" s="503"/>
      <c r="F415" s="503"/>
      <c r="G415" s="504"/>
      <c r="H415" s="171">
        <f t="shared" si="50"/>
        <v>2027</v>
      </c>
      <c r="I415" s="523">
        <f t="shared" si="52"/>
        <v>1.0653747019999997</v>
      </c>
      <c r="J415" s="523">
        <f t="shared" si="51"/>
        <v>1.1018639144240407</v>
      </c>
      <c r="K415" s="171"/>
      <c r="L415" s="171"/>
      <c r="M415" s="171"/>
    </row>
    <row r="416" spans="1:13" x14ac:dyDescent="0.2">
      <c r="A416" s="501">
        <f t="shared" si="48"/>
        <v>2028</v>
      </c>
      <c r="B416" s="520">
        <f t="shared" si="49"/>
        <v>1.0209999999999999</v>
      </c>
      <c r="C416" s="503"/>
      <c r="D416" s="503"/>
      <c r="E416" s="503"/>
      <c r="F416" s="503"/>
      <c r="G416" s="504"/>
      <c r="H416" s="171">
        <f t="shared" si="50"/>
        <v>2028</v>
      </c>
      <c r="I416" s="523">
        <f t="shared" si="52"/>
        <v>1.0877475707419997</v>
      </c>
      <c r="J416" s="523">
        <f t="shared" si="51"/>
        <v>1.1250030566269453</v>
      </c>
      <c r="K416" s="171"/>
      <c r="L416" s="171"/>
      <c r="M416" s="171"/>
    </row>
    <row r="417" spans="1:13" x14ac:dyDescent="0.2">
      <c r="A417" s="501">
        <f t="shared" si="48"/>
        <v>2029</v>
      </c>
      <c r="B417" s="520">
        <f t="shared" si="49"/>
        <v>1.0209999999999999</v>
      </c>
      <c r="C417" s="503"/>
      <c r="D417" s="503"/>
      <c r="E417" s="503"/>
      <c r="F417" s="503"/>
      <c r="G417" s="504"/>
      <c r="H417" s="171">
        <f t="shared" si="50"/>
        <v>2029</v>
      </c>
      <c r="I417" s="523">
        <f t="shared" si="52"/>
        <v>1.1105902697275816</v>
      </c>
      <c r="J417" s="523">
        <f t="shared" si="51"/>
        <v>1.1486281208161111</v>
      </c>
      <c r="K417" s="171"/>
      <c r="L417" s="171"/>
      <c r="M417" s="171"/>
    </row>
    <row r="418" spans="1:13" x14ac:dyDescent="0.2">
      <c r="A418" s="501">
        <f t="shared" si="48"/>
        <v>2030</v>
      </c>
      <c r="B418" s="520">
        <f t="shared" si="49"/>
        <v>1.0209999999999999</v>
      </c>
      <c r="C418" s="503"/>
      <c r="D418" s="503"/>
      <c r="E418" s="503"/>
      <c r="F418" s="503"/>
      <c r="G418" s="504"/>
      <c r="H418" s="171">
        <f t="shared" si="50"/>
        <v>2030</v>
      </c>
      <c r="I418" s="523">
        <f t="shared" si="52"/>
        <v>1.1339126653918608</v>
      </c>
      <c r="J418" s="523">
        <f t="shared" si="51"/>
        <v>1.1727493113532494</v>
      </c>
      <c r="K418" s="171"/>
      <c r="L418" s="171"/>
      <c r="M418" s="171"/>
    </row>
    <row r="419" spans="1:13" x14ac:dyDescent="0.2">
      <c r="A419" s="501">
        <f t="shared" si="48"/>
        <v>2031</v>
      </c>
      <c r="B419" s="520">
        <f t="shared" si="49"/>
        <v>1.0209999999999999</v>
      </c>
      <c r="C419" s="503"/>
      <c r="D419" s="503"/>
      <c r="E419" s="503"/>
      <c r="F419" s="503"/>
      <c r="G419" s="504"/>
      <c r="H419" s="171">
        <f t="shared" si="50"/>
        <v>2031</v>
      </c>
      <c r="I419" s="523">
        <f t="shared" si="52"/>
        <v>1.1577248313650896</v>
      </c>
      <c r="J419" s="523">
        <f t="shared" si="51"/>
        <v>1.1973770468916676</v>
      </c>
      <c r="K419" s="171"/>
      <c r="L419" s="171"/>
      <c r="M419" s="171"/>
    </row>
    <row r="420" spans="1:13" x14ac:dyDescent="0.2">
      <c r="A420" s="501">
        <f t="shared" si="48"/>
        <v>2032</v>
      </c>
      <c r="B420" s="520">
        <f t="shared" si="49"/>
        <v>1.0209999999999999</v>
      </c>
      <c r="C420" s="503"/>
      <c r="D420" s="503"/>
      <c r="E420" s="503"/>
      <c r="F420" s="503"/>
      <c r="G420" s="504"/>
      <c r="H420" s="171">
        <f t="shared" si="50"/>
        <v>2032</v>
      </c>
      <c r="I420" s="523">
        <f t="shared" si="52"/>
        <v>1.1820370528237565</v>
      </c>
      <c r="J420" s="523">
        <f t="shared" si="51"/>
        <v>1.2225219648763923</v>
      </c>
      <c r="K420" s="171"/>
      <c r="L420" s="171"/>
      <c r="M420" s="171"/>
    </row>
    <row r="421" spans="1:13" x14ac:dyDescent="0.2">
      <c r="A421" s="501">
        <f t="shared" si="48"/>
        <v>2033</v>
      </c>
      <c r="B421" s="520">
        <f t="shared" si="49"/>
        <v>1.0209999999999999</v>
      </c>
      <c r="C421" s="503"/>
      <c r="D421" s="503"/>
      <c r="E421" s="503"/>
      <c r="F421" s="503"/>
      <c r="G421" s="504"/>
      <c r="H421" s="171">
        <f t="shared" si="50"/>
        <v>2033</v>
      </c>
      <c r="I421" s="523">
        <f t="shared" si="52"/>
        <v>1.2068598309330552</v>
      </c>
      <c r="J421" s="523">
        <f t="shared" si="51"/>
        <v>1.2481949261387966</v>
      </c>
      <c r="K421" s="171"/>
      <c r="L421" s="171"/>
      <c r="M421" s="171"/>
    </row>
    <row r="422" spans="1:13" x14ac:dyDescent="0.2">
      <c r="A422" s="501">
        <f t="shared" si="48"/>
        <v>2034</v>
      </c>
      <c r="B422" s="520">
        <f t="shared" si="49"/>
        <v>1.0209999999999999</v>
      </c>
      <c r="C422" s="503"/>
      <c r="D422" s="503"/>
      <c r="E422" s="503"/>
      <c r="F422" s="503"/>
      <c r="G422" s="504"/>
      <c r="H422" s="171">
        <f t="shared" si="50"/>
        <v>2034</v>
      </c>
      <c r="I422" s="523">
        <f t="shared" si="52"/>
        <v>1.2322038873826493</v>
      </c>
      <c r="J422" s="523">
        <f t="shared" si="51"/>
        <v>1.2744070195877113</v>
      </c>
      <c r="K422" s="171"/>
      <c r="L422" s="171"/>
      <c r="M422" s="171"/>
    </row>
    <row r="423" spans="1:13" x14ac:dyDescent="0.2">
      <c r="A423" s="501">
        <f t="shared" si="48"/>
        <v>2035</v>
      </c>
      <c r="B423" s="520">
        <f t="shared" si="49"/>
        <v>1.0209999999999999</v>
      </c>
      <c r="C423" s="503"/>
      <c r="D423" s="503"/>
      <c r="E423" s="503"/>
      <c r="F423" s="503"/>
      <c r="G423" s="504"/>
      <c r="H423" s="171">
        <f t="shared" si="50"/>
        <v>2035</v>
      </c>
      <c r="I423" s="523">
        <f t="shared" si="52"/>
        <v>1.2580801690176848</v>
      </c>
      <c r="J423" s="523">
        <f t="shared" si="51"/>
        <v>1.3011695669990533</v>
      </c>
      <c r="K423" s="171"/>
      <c r="L423" s="171"/>
      <c r="M423" s="171"/>
    </row>
    <row r="424" spans="1:13" x14ac:dyDescent="0.2">
      <c r="A424" s="501">
        <f t="shared" si="48"/>
        <v>2036</v>
      </c>
      <c r="B424" s="520">
        <f t="shared" si="49"/>
        <v>1.0209999999999999</v>
      </c>
      <c r="C424" s="503"/>
      <c r="D424" s="503"/>
      <c r="E424" s="503"/>
      <c r="F424" s="503"/>
      <c r="G424" s="504"/>
      <c r="H424" s="171">
        <f t="shared" si="50"/>
        <v>2036</v>
      </c>
      <c r="I424" s="523">
        <f t="shared" si="52"/>
        <v>1.2844998525670561</v>
      </c>
      <c r="J424" s="523">
        <f t="shared" si="51"/>
        <v>1.3284941279060332</v>
      </c>
      <c r="K424" s="171"/>
      <c r="L424" s="171"/>
      <c r="M424" s="171"/>
    </row>
    <row r="425" spans="1:13" x14ac:dyDescent="0.2">
      <c r="A425" s="501">
        <f t="shared" si="48"/>
        <v>2037</v>
      </c>
      <c r="B425" s="520">
        <f t="shared" si="49"/>
        <v>1.0209999999999999</v>
      </c>
      <c r="C425" s="503"/>
      <c r="D425" s="503"/>
      <c r="E425" s="503"/>
      <c r="F425" s="503"/>
      <c r="G425" s="504"/>
      <c r="H425" s="171">
        <f t="shared" si="50"/>
        <v>2037</v>
      </c>
      <c r="I425" s="523">
        <f t="shared" si="52"/>
        <v>1.3114743494709642</v>
      </c>
      <c r="J425" s="523">
        <f t="shared" si="51"/>
        <v>1.35639250459206</v>
      </c>
      <c r="K425" s="171"/>
      <c r="L425" s="171"/>
      <c r="M425" s="171"/>
    </row>
    <row r="426" spans="1:13" x14ac:dyDescent="0.2">
      <c r="A426" s="501">
        <f t="shared" si="48"/>
        <v>2038</v>
      </c>
      <c r="B426" s="520">
        <f t="shared" si="49"/>
        <v>1.0209999999999999</v>
      </c>
      <c r="C426" s="503"/>
      <c r="D426" s="503"/>
      <c r="E426" s="503"/>
      <c r="F426" s="503"/>
      <c r="G426" s="504"/>
      <c r="H426" s="171">
        <f t="shared" si="50"/>
        <v>2038</v>
      </c>
      <c r="I426" s="523">
        <f t="shared" si="52"/>
        <v>1.3390153108098544</v>
      </c>
      <c r="J426" s="523">
        <f t="shared" si="51"/>
        <v>1.3848767471884926</v>
      </c>
      <c r="K426" s="171"/>
      <c r="L426" s="171"/>
      <c r="M426" s="171"/>
    </row>
    <row r="427" spans="1:13" x14ac:dyDescent="0.2">
      <c r="A427" s="501">
        <f t="shared" si="48"/>
        <v>2039</v>
      </c>
      <c r="B427" s="520">
        <f t="shared" si="49"/>
        <v>1.0209999999999999</v>
      </c>
      <c r="C427" s="503"/>
      <c r="D427" s="503"/>
      <c r="E427" s="503"/>
      <c r="F427" s="503"/>
      <c r="G427" s="504"/>
      <c r="H427" s="171">
        <f t="shared" si="50"/>
        <v>2039</v>
      </c>
      <c r="I427" s="523">
        <f t="shared" si="52"/>
        <v>1.3671346323368612</v>
      </c>
      <c r="J427" s="523">
        <f t="shared" si="51"/>
        <v>1.4139591588794511</v>
      </c>
      <c r="K427" s="171"/>
      <c r="L427" s="171"/>
      <c r="M427" s="171"/>
    </row>
    <row r="428" spans="1:13" x14ac:dyDescent="0.2">
      <c r="A428" s="501">
        <f t="shared" si="48"/>
        <v>2040</v>
      </c>
      <c r="B428" s="520">
        <f t="shared" si="49"/>
        <v>1.0209999999999999</v>
      </c>
      <c r="C428" s="503"/>
      <c r="D428" s="503"/>
      <c r="E428" s="503"/>
      <c r="F428" s="503"/>
      <c r="G428" s="504"/>
      <c r="H428" s="171">
        <f t="shared" si="50"/>
        <v>2040</v>
      </c>
      <c r="I428" s="523">
        <f t="shared" si="52"/>
        <v>1.3958444596159352</v>
      </c>
      <c r="J428" s="523">
        <f t="shared" si="51"/>
        <v>1.4436523012159197</v>
      </c>
      <c r="K428" s="171"/>
      <c r="L428" s="171"/>
      <c r="M428" s="171"/>
    </row>
    <row r="429" spans="1:13" x14ac:dyDescent="0.2">
      <c r="A429" s="501">
        <f t="shared" si="48"/>
        <v>2041</v>
      </c>
      <c r="B429" s="520">
        <f t="shared" si="49"/>
        <v>1.0209999999999999</v>
      </c>
      <c r="C429" s="503"/>
      <c r="D429" s="503"/>
      <c r="E429" s="503"/>
      <c r="F429" s="503"/>
      <c r="G429" s="504"/>
      <c r="H429" s="171">
        <f t="shared" si="50"/>
        <v>2041</v>
      </c>
      <c r="I429" s="523">
        <f t="shared" si="52"/>
        <v>1.4251571932678697</v>
      </c>
      <c r="J429" s="523">
        <f t="shared" si="51"/>
        <v>1.4739689995414533</v>
      </c>
      <c r="K429" s="171"/>
      <c r="L429" s="171"/>
      <c r="M429" s="171"/>
    </row>
    <row r="430" spans="1:13" x14ac:dyDescent="0.2">
      <c r="A430" s="501">
        <f t="shared" si="48"/>
        <v>2042</v>
      </c>
      <c r="B430" s="520">
        <f t="shared" si="49"/>
        <v>1.0209999999999999</v>
      </c>
      <c r="C430" s="503"/>
      <c r="D430" s="503"/>
      <c r="E430" s="503"/>
      <c r="F430" s="503"/>
      <c r="G430" s="504"/>
      <c r="H430" s="171">
        <f t="shared" si="50"/>
        <v>2042</v>
      </c>
      <c r="I430" s="523">
        <f t="shared" si="52"/>
        <v>1.4550854943264948</v>
      </c>
      <c r="J430" s="523">
        <f t="shared" si="51"/>
        <v>1.5049223485318237</v>
      </c>
      <c r="K430" s="171"/>
      <c r="L430" s="171"/>
      <c r="M430" s="171"/>
    </row>
    <row r="431" spans="1:13" x14ac:dyDescent="0.2">
      <c r="A431" s="501">
        <f t="shared" si="48"/>
        <v>2043</v>
      </c>
      <c r="B431" s="520">
        <f t="shared" si="49"/>
        <v>1.0209999999999999</v>
      </c>
      <c r="C431" s="503"/>
      <c r="D431" s="503"/>
      <c r="E431" s="503"/>
      <c r="F431" s="503"/>
      <c r="G431" s="504"/>
      <c r="H431" s="171">
        <f t="shared" si="50"/>
        <v>2043</v>
      </c>
      <c r="I431" s="523">
        <f t="shared" si="52"/>
        <v>1.4856422897073511</v>
      </c>
      <c r="J431" s="523">
        <f t="shared" si="51"/>
        <v>1.5365257178509921</v>
      </c>
      <c r="K431" s="171"/>
      <c r="L431" s="171"/>
      <c r="M431" s="171"/>
    </row>
    <row r="432" spans="1:13" x14ac:dyDescent="0.2">
      <c r="A432" s="501">
        <f t="shared" si="48"/>
        <v>2044</v>
      </c>
      <c r="B432" s="520">
        <f t="shared" si="49"/>
        <v>1.0209999999999999</v>
      </c>
      <c r="C432" s="503"/>
      <c r="D432" s="503"/>
      <c r="E432" s="503"/>
      <c r="F432" s="503"/>
      <c r="G432" s="504"/>
      <c r="H432" s="171">
        <f t="shared" si="50"/>
        <v>2044</v>
      </c>
      <c r="I432" s="523">
        <f t="shared" si="52"/>
        <v>1.5168407777912054</v>
      </c>
      <c r="J432" s="523">
        <f t="shared" si="51"/>
        <v>1.5687927579258634</v>
      </c>
      <c r="K432" s="171"/>
      <c r="L432" s="171"/>
      <c r="M432" s="171"/>
    </row>
    <row r="433" spans="1:16" x14ac:dyDescent="0.2">
      <c r="A433" s="501">
        <f t="shared" si="48"/>
        <v>2045</v>
      </c>
      <c r="B433" s="520">
        <f t="shared" si="49"/>
        <v>1.0209999999999999</v>
      </c>
      <c r="C433" s="503"/>
      <c r="D433" s="503"/>
      <c r="E433" s="503"/>
      <c r="F433" s="503"/>
      <c r="G433" s="504"/>
      <c r="H433" s="171">
        <f t="shared" si="50"/>
        <v>2045</v>
      </c>
      <c r="I433" s="523">
        <f t="shared" si="52"/>
        <v>1.5486944341248206</v>
      </c>
      <c r="J433" s="523">
        <f t="shared" si="51"/>
        <v>1.6017374058423066</v>
      </c>
      <c r="K433" s="171"/>
      <c r="L433" s="171"/>
      <c r="M433" s="171"/>
    </row>
    <row r="434" spans="1:16" x14ac:dyDescent="0.2">
      <c r="A434" s="501">
        <f t="shared" si="48"/>
        <v>2046</v>
      </c>
      <c r="B434" s="520">
        <f t="shared" si="49"/>
        <v>1.0209999999999999</v>
      </c>
      <c r="C434" s="503"/>
      <c r="D434" s="503"/>
      <c r="E434" s="503"/>
      <c r="F434" s="503"/>
      <c r="G434" s="504"/>
      <c r="H434" s="171">
        <f t="shared" si="50"/>
        <v>2046</v>
      </c>
      <c r="I434" s="523">
        <f t="shared" si="52"/>
        <v>1.5812170172414417</v>
      </c>
      <c r="J434" s="523">
        <f t="shared" si="51"/>
        <v>1.6353738913649944</v>
      </c>
      <c r="K434" s="171"/>
      <c r="L434" s="171"/>
      <c r="M434" s="171"/>
    </row>
    <row r="435" spans="1:16" x14ac:dyDescent="0.2">
      <c r="A435" s="501">
        <f t="shared" si="48"/>
        <v>2047</v>
      </c>
      <c r="B435" s="520">
        <f t="shared" si="49"/>
        <v>1.0209999999999999</v>
      </c>
      <c r="C435" s="503"/>
      <c r="D435" s="503"/>
      <c r="E435" s="503"/>
      <c r="F435" s="503"/>
      <c r="G435" s="504"/>
      <c r="H435" s="171">
        <f t="shared" si="50"/>
        <v>2047</v>
      </c>
      <c r="I435" s="523">
        <f t="shared" si="52"/>
        <v>1.6144225746035119</v>
      </c>
      <c r="J435" s="523">
        <f t="shared" si="51"/>
        <v>1.669716743083659</v>
      </c>
      <c r="K435" s="171"/>
      <c r="L435" s="171"/>
      <c r="M435" s="171"/>
    </row>
    <row r="436" spans="1:16" x14ac:dyDescent="0.2">
      <c r="A436" s="501">
        <f t="shared" si="48"/>
        <v>2048</v>
      </c>
      <c r="B436" s="520">
        <f t="shared" si="49"/>
        <v>1.0209999999999999</v>
      </c>
      <c r="C436" s="503"/>
      <c r="D436" s="503"/>
      <c r="E436" s="503"/>
      <c r="F436" s="503"/>
      <c r="G436" s="504"/>
      <c r="H436" s="171">
        <f t="shared" si="50"/>
        <v>2048</v>
      </c>
      <c r="I436" s="523">
        <f t="shared" si="52"/>
        <v>1.6483254486701855</v>
      </c>
      <c r="J436" s="523">
        <f t="shared" si="51"/>
        <v>1.7047807946884155</v>
      </c>
      <c r="K436" s="171"/>
      <c r="L436" s="171"/>
      <c r="M436" s="171"/>
    </row>
    <row r="437" spans="1:16" x14ac:dyDescent="0.2">
      <c r="A437" s="501">
        <f t="shared" si="48"/>
        <v>2049</v>
      </c>
      <c r="B437" s="520">
        <f t="shared" si="49"/>
        <v>1.0209999999999999</v>
      </c>
      <c r="C437" s="503"/>
      <c r="D437" s="503"/>
      <c r="E437" s="503"/>
      <c r="F437" s="503"/>
      <c r="G437" s="504"/>
      <c r="H437" s="171">
        <f t="shared" si="50"/>
        <v>2049</v>
      </c>
      <c r="I437" s="523">
        <f t="shared" si="52"/>
        <v>1.6829402830922593</v>
      </c>
      <c r="J437" s="523">
        <f t="shared" si="51"/>
        <v>1.7405811913768727</v>
      </c>
      <c r="K437" s="171"/>
      <c r="L437" s="171"/>
      <c r="M437" s="171"/>
    </row>
    <row r="438" spans="1:16" x14ac:dyDescent="0.2">
      <c r="A438" s="501">
        <f t="shared" si="48"/>
        <v>2050</v>
      </c>
      <c r="B438" s="520">
        <f t="shared" si="49"/>
        <v>1.0209999999999999</v>
      </c>
      <c r="C438" s="503"/>
      <c r="D438" s="503"/>
      <c r="E438" s="503"/>
      <c r="F438" s="503"/>
      <c r="G438" s="504"/>
      <c r="H438" s="171">
        <f t="shared" si="50"/>
        <v>2050</v>
      </c>
      <c r="I438" s="523">
        <f t="shared" si="52"/>
        <v>1.7182820290371965</v>
      </c>
      <c r="J438" s="523">
        <f t="shared" si="51"/>
        <v>1.7771333963957867</v>
      </c>
      <c r="K438" s="171"/>
      <c r="L438" s="171"/>
      <c r="M438" s="171"/>
    </row>
    <row r="439" spans="1:16" x14ac:dyDescent="0.2">
      <c r="A439" s="501">
        <f t="shared" si="48"/>
        <v>2051</v>
      </c>
      <c r="B439" s="520">
        <f t="shared" si="49"/>
        <v>1.0209999999999999</v>
      </c>
      <c r="C439" s="503"/>
      <c r="D439" s="503"/>
      <c r="E439" s="503"/>
      <c r="F439" s="503"/>
      <c r="G439" s="504"/>
      <c r="H439" s="171">
        <f t="shared" si="50"/>
        <v>2051</v>
      </c>
      <c r="I439" s="523">
        <f t="shared" si="52"/>
        <v>1.7543659516469774</v>
      </c>
      <c r="J439" s="523">
        <f t="shared" si="51"/>
        <v>1.8144531977200977</v>
      </c>
      <c r="K439" s="171"/>
      <c r="L439" s="171"/>
      <c r="M439" s="171"/>
    </row>
    <row r="440" spans="1:16" x14ac:dyDescent="0.2">
      <c r="A440" s="501">
        <f t="shared" si="48"/>
        <v>2052</v>
      </c>
      <c r="B440" s="520">
        <f t="shared" si="49"/>
        <v>1.0209999999999999</v>
      </c>
      <c r="C440" s="503"/>
      <c r="D440" s="503"/>
      <c r="E440" s="503"/>
      <c r="F440" s="503"/>
      <c r="G440" s="504"/>
      <c r="H440" s="171">
        <f t="shared" si="50"/>
        <v>2052</v>
      </c>
      <c r="I440" s="523">
        <f t="shared" si="52"/>
        <v>1.7912076366315637</v>
      </c>
      <c r="J440" s="523">
        <f t="shared" si="51"/>
        <v>1.8525567148722195</v>
      </c>
      <c r="K440" s="171"/>
      <c r="L440" s="171"/>
      <c r="M440" s="171"/>
    </row>
    <row r="441" spans="1:16" x14ac:dyDescent="0.2">
      <c r="A441" s="501">
        <f t="shared" si="48"/>
        <v>2053</v>
      </c>
      <c r="B441" s="520">
        <f t="shared" si="49"/>
        <v>1.0209999999999999</v>
      </c>
      <c r="C441" s="503"/>
      <c r="D441" s="503"/>
      <c r="E441" s="503"/>
      <c r="F441" s="503"/>
      <c r="G441" s="504"/>
      <c r="H441" s="171">
        <f t="shared" si="50"/>
        <v>2053</v>
      </c>
      <c r="I441" s="523">
        <f t="shared" si="52"/>
        <v>1.8288229970008263</v>
      </c>
      <c r="J441" s="523">
        <f t="shared" si="51"/>
        <v>1.8914604058845359</v>
      </c>
      <c r="K441" s="171"/>
      <c r="L441" s="171"/>
      <c r="M441" s="171"/>
    </row>
    <row r="442" spans="1:16" x14ac:dyDescent="0.2">
      <c r="A442" s="501">
        <f t="shared" si="48"/>
        <v>2054</v>
      </c>
      <c r="B442" s="520">
        <f t="shared" si="49"/>
        <v>1.0209999999999999</v>
      </c>
      <c r="C442" s="503"/>
      <c r="D442" s="503"/>
      <c r="E442" s="503"/>
      <c r="F442" s="503"/>
      <c r="G442" s="504"/>
      <c r="H442" s="171">
        <f t="shared" si="50"/>
        <v>2054</v>
      </c>
      <c r="I442" s="523">
        <f t="shared" si="52"/>
        <v>1.8672282799378435</v>
      </c>
      <c r="J442" s="523">
        <f t="shared" si="51"/>
        <v>1.931181074408111</v>
      </c>
      <c r="K442" s="171"/>
      <c r="L442" s="171"/>
      <c r="M442" s="171"/>
    </row>
    <row r="443" spans="1:16" x14ac:dyDescent="0.2">
      <c r="A443" s="501">
        <f t="shared" si="48"/>
        <v>2055</v>
      </c>
      <c r="B443" s="520">
        <f t="shared" si="49"/>
        <v>1.0209999999999999</v>
      </c>
      <c r="C443" s="503"/>
      <c r="D443" s="503"/>
      <c r="E443" s="503"/>
      <c r="F443" s="503"/>
      <c r="G443" s="504"/>
      <c r="H443" s="171">
        <f t="shared" si="50"/>
        <v>2055</v>
      </c>
      <c r="I443" s="523">
        <f t="shared" si="52"/>
        <v>1.9064400738165379</v>
      </c>
      <c r="J443" s="523">
        <f t="shared" si="51"/>
        <v>1.9717358769706808</v>
      </c>
      <c r="K443" s="171"/>
      <c r="L443" s="171"/>
      <c r="M443" s="171"/>
    </row>
    <row r="444" spans="1:16" x14ac:dyDescent="0.2">
      <c r="A444" s="501">
        <f t="shared" si="48"/>
        <v>2056</v>
      </c>
      <c r="B444" s="520">
        <f t="shared" si="49"/>
        <v>1.0209999999999999</v>
      </c>
      <c r="C444" s="503"/>
      <c r="D444" s="503"/>
      <c r="E444" s="503"/>
      <c r="F444" s="503"/>
      <c r="G444" s="504"/>
      <c r="H444" s="171">
        <f t="shared" si="50"/>
        <v>2056</v>
      </c>
      <c r="I444" s="523">
        <f t="shared" si="52"/>
        <v>1.9464753153666849</v>
      </c>
      <c r="J444" s="523">
        <f t="shared" si="51"/>
        <v>2.013142330387065</v>
      </c>
      <c r="K444" s="171"/>
      <c r="L444" s="171"/>
      <c r="M444" s="171"/>
    </row>
    <row r="445" spans="1:16" x14ac:dyDescent="0.2">
      <c r="A445" s="501">
        <f t="shared" si="48"/>
        <v>2057</v>
      </c>
      <c r="B445" s="520">
        <f t="shared" si="49"/>
        <v>1.0209999999999999</v>
      </c>
      <c r="C445" s="503"/>
      <c r="D445" s="503"/>
      <c r="E445" s="503"/>
      <c r="F445" s="503"/>
      <c r="G445" s="504"/>
      <c r="H445" s="171">
        <f t="shared" si="50"/>
        <v>2057</v>
      </c>
      <c r="I445" s="523">
        <f t="shared" si="52"/>
        <v>1.9873512969893852</v>
      </c>
      <c r="J445" s="523">
        <f t="shared" si="51"/>
        <v>2.0554183193251934</v>
      </c>
      <c r="K445" s="171"/>
      <c r="L445" s="171"/>
      <c r="M445" s="171"/>
    </row>
    <row r="446" spans="1:16" x14ac:dyDescent="0.2">
      <c r="A446" s="501">
        <f t="shared" si="48"/>
        <v>2058</v>
      </c>
      <c r="B446" s="520">
        <f t="shared" si="49"/>
        <v>1.0209999999999999</v>
      </c>
      <c r="C446" s="503"/>
      <c r="D446" s="503"/>
      <c r="E446" s="503"/>
      <c r="F446" s="503"/>
      <c r="G446" s="504"/>
      <c r="H446" s="171">
        <f t="shared" si="50"/>
        <v>2058</v>
      </c>
      <c r="I446" s="523">
        <f t="shared" si="52"/>
        <v>2.0290856742261623</v>
      </c>
      <c r="J446" s="523">
        <f t="shared" si="51"/>
        <v>2.0985821040310224</v>
      </c>
      <c r="K446" s="171"/>
      <c r="L446" s="171"/>
      <c r="M446" s="171"/>
      <c r="P446" s="529"/>
    </row>
    <row r="447" spans="1:16" x14ac:dyDescent="0.2">
      <c r="A447" s="501">
        <f t="shared" si="48"/>
        <v>2059</v>
      </c>
      <c r="B447" s="520">
        <f t="shared" si="49"/>
        <v>1.0209999999999999</v>
      </c>
      <c r="C447" s="503"/>
      <c r="D447" s="503"/>
      <c r="E447" s="503"/>
      <c r="F447" s="503"/>
      <c r="G447" s="504"/>
      <c r="H447" s="171">
        <f t="shared" si="50"/>
        <v>2059</v>
      </c>
      <c r="I447" s="523">
        <f t="shared" si="52"/>
        <v>2.0716964733849115</v>
      </c>
      <c r="J447" s="523">
        <f t="shared" si="51"/>
        <v>2.1426523282156742</v>
      </c>
      <c r="K447" s="171"/>
      <c r="L447" s="171"/>
      <c r="M447" s="171"/>
      <c r="P447" s="529"/>
    </row>
    <row r="448" spans="1:16" x14ac:dyDescent="0.2">
      <c r="A448" s="501">
        <f t="shared" si="48"/>
        <v>2060</v>
      </c>
      <c r="B448" s="520">
        <f t="shared" si="49"/>
        <v>1.0209999999999999</v>
      </c>
      <c r="C448" s="503"/>
      <c r="D448" s="503"/>
      <c r="E448" s="503"/>
      <c r="F448" s="503"/>
      <c r="G448" s="504"/>
      <c r="H448" s="171">
        <f t="shared" si="50"/>
        <v>2060</v>
      </c>
      <c r="I448" s="523">
        <f t="shared" si="52"/>
        <v>2.1152020993259946</v>
      </c>
      <c r="J448" s="523">
        <f t="shared" si="51"/>
        <v>2.1876480271082026</v>
      </c>
      <c r="K448" s="171"/>
      <c r="L448" s="171"/>
      <c r="M448" s="171"/>
      <c r="P448" s="529"/>
    </row>
    <row r="449" spans="1:16" x14ac:dyDescent="0.2">
      <c r="A449" s="501">
        <f t="shared" si="48"/>
        <v>2061</v>
      </c>
      <c r="B449" s="520">
        <f t="shared" si="49"/>
        <v>1.0209999999999999</v>
      </c>
      <c r="C449" s="503"/>
      <c r="D449" s="503"/>
      <c r="E449" s="503"/>
      <c r="F449" s="503"/>
      <c r="G449" s="504"/>
      <c r="H449" s="171">
        <f t="shared" si="50"/>
        <v>2061</v>
      </c>
      <c r="I449" s="523">
        <f t="shared" si="52"/>
        <v>2.1596213434118403</v>
      </c>
      <c r="J449" s="523">
        <f t="shared" si="51"/>
        <v>2.2335886356774748</v>
      </c>
      <c r="K449" s="171"/>
      <c r="L449" s="171"/>
      <c r="M449" s="171"/>
      <c r="P449" s="529"/>
    </row>
    <row r="450" spans="1:16" x14ac:dyDescent="0.2">
      <c r="A450" s="501">
        <f t="shared" si="48"/>
        <v>2062</v>
      </c>
      <c r="B450" s="520">
        <f t="shared" si="49"/>
        <v>1.0209999999999999</v>
      </c>
      <c r="C450" s="503"/>
      <c r="D450" s="503"/>
      <c r="E450" s="503"/>
      <c r="F450" s="503"/>
      <c r="G450" s="504"/>
      <c r="H450" s="171">
        <f t="shared" si="50"/>
        <v>2062</v>
      </c>
      <c r="I450" s="523">
        <f t="shared" si="52"/>
        <v>2.2049733916234886</v>
      </c>
      <c r="J450" s="523">
        <f t="shared" si="51"/>
        <v>2.2804939970267011</v>
      </c>
      <c r="K450" s="171"/>
      <c r="L450" s="171"/>
      <c r="M450" s="171"/>
      <c r="P450" s="529"/>
    </row>
    <row r="451" spans="1:16" x14ac:dyDescent="0.2">
      <c r="A451" s="501">
        <f t="shared" si="48"/>
        <v>2063</v>
      </c>
      <c r="B451" s="520">
        <f t="shared" si="49"/>
        <v>1.0209999999999999</v>
      </c>
      <c r="C451" s="503"/>
      <c r="D451" s="503"/>
      <c r="E451" s="503"/>
      <c r="F451" s="503"/>
      <c r="G451" s="504"/>
      <c r="H451" s="171">
        <f t="shared" si="50"/>
        <v>2063</v>
      </c>
      <c r="I451" s="523">
        <f t="shared" si="52"/>
        <v>2.2512778328475815</v>
      </c>
      <c r="J451" s="523">
        <f t="shared" si="51"/>
        <v>2.3283843709642622</v>
      </c>
      <c r="K451" s="171"/>
      <c r="L451" s="171"/>
      <c r="M451" s="171"/>
      <c r="P451" s="529"/>
    </row>
    <row r="452" spans="1:16" x14ac:dyDescent="0.2">
      <c r="A452" s="501">
        <f t="shared" si="48"/>
        <v>2064</v>
      </c>
      <c r="B452" s="520">
        <f t="shared" si="49"/>
        <v>1.0209999999999999</v>
      </c>
      <c r="C452" s="503"/>
      <c r="D452" s="503"/>
      <c r="E452" s="503"/>
      <c r="F452" s="503"/>
      <c r="G452" s="504"/>
      <c r="H452" s="171">
        <f t="shared" si="50"/>
        <v>2064</v>
      </c>
      <c r="I452" s="523">
        <f t="shared" si="52"/>
        <v>2.2985546673373807</v>
      </c>
      <c r="J452" s="523">
        <f t="shared" si="51"/>
        <v>2.3772804427545111</v>
      </c>
      <c r="K452" s="171"/>
      <c r="L452" s="171"/>
      <c r="M452" s="171"/>
      <c r="P452" s="529"/>
    </row>
    <row r="453" spans="1:16" x14ac:dyDescent="0.2">
      <c r="A453" s="501">
        <f t="shared" si="48"/>
        <v>2065</v>
      </c>
      <c r="B453" s="520">
        <f t="shared" si="49"/>
        <v>1.0209999999999999</v>
      </c>
      <c r="C453" s="503"/>
      <c r="D453" s="503"/>
      <c r="E453" s="503"/>
      <c r="F453" s="503"/>
      <c r="G453" s="504"/>
      <c r="H453" s="171">
        <f t="shared" si="50"/>
        <v>2065</v>
      </c>
      <c r="I453" s="523">
        <f t="shared" si="52"/>
        <v>2.3468243153514656</v>
      </c>
      <c r="J453" s="523">
        <f t="shared" si="51"/>
        <v>2.4272033320523558</v>
      </c>
      <c r="K453" s="171"/>
      <c r="L453" s="171"/>
      <c r="M453" s="171"/>
    </row>
    <row r="454" spans="1:16" x14ac:dyDescent="0.2">
      <c r="A454" s="501">
        <f t="shared" si="48"/>
        <v>2066</v>
      </c>
      <c r="B454" s="520">
        <f t="shared" si="49"/>
        <v>1.0209999999999999</v>
      </c>
      <c r="C454" s="503"/>
      <c r="D454" s="503"/>
      <c r="E454" s="503"/>
      <c r="F454" s="503"/>
      <c r="G454" s="504"/>
      <c r="H454" s="171">
        <f t="shared" si="50"/>
        <v>2066</v>
      </c>
      <c r="I454" s="523">
        <f t="shared" si="52"/>
        <v>2.3961076259738463</v>
      </c>
      <c r="J454" s="523">
        <f t="shared" si="51"/>
        <v>2.4781746020254549</v>
      </c>
      <c r="K454" s="171"/>
      <c r="L454" s="171"/>
      <c r="M454" s="171"/>
    </row>
    <row r="455" spans="1:16" x14ac:dyDescent="0.2">
      <c r="A455" s="501">
        <f t="shared" si="48"/>
        <v>2067</v>
      </c>
      <c r="B455" s="520">
        <f t="shared" si="49"/>
        <v>1.0209999999999999</v>
      </c>
      <c r="C455" s="503"/>
      <c r="D455" s="503"/>
      <c r="E455" s="503"/>
      <c r="F455" s="503"/>
      <c r="G455" s="504"/>
      <c r="H455" s="171">
        <f t="shared" si="50"/>
        <v>2067</v>
      </c>
      <c r="I455" s="523">
        <f t="shared" si="52"/>
        <v>2.4464258861192967</v>
      </c>
      <c r="J455" s="523">
        <f t="shared" si="51"/>
        <v>2.5302162686679894</v>
      </c>
      <c r="K455" s="171"/>
      <c r="L455" s="171"/>
      <c r="M455" s="171"/>
    </row>
    <row r="456" spans="1:16" x14ac:dyDescent="0.2">
      <c r="A456" s="501">
        <f t="shared" si="48"/>
        <v>2068</v>
      </c>
      <c r="B456" s="520">
        <f t="shared" si="49"/>
        <v>1.0209999999999999</v>
      </c>
      <c r="C456" s="503"/>
      <c r="D456" s="503"/>
      <c r="E456" s="503"/>
      <c r="F456" s="503"/>
      <c r="G456" s="504"/>
      <c r="H456" s="171">
        <f t="shared" si="50"/>
        <v>2068</v>
      </c>
      <c r="I456" s="523">
        <f t="shared" si="52"/>
        <v>2.4978008297278018</v>
      </c>
      <c r="J456" s="523">
        <f t="shared" si="51"/>
        <v>2.5833508103100171</v>
      </c>
      <c r="K456" s="171"/>
      <c r="L456" s="171"/>
      <c r="M456" s="171"/>
    </row>
    <row r="457" spans="1:16" x14ac:dyDescent="0.2">
      <c r="A457" s="501">
        <f t="shared" si="48"/>
        <v>2069</v>
      </c>
      <c r="B457" s="520">
        <f t="shared" si="49"/>
        <v>1.0209999999999999</v>
      </c>
      <c r="C457" s="503"/>
      <c r="D457" s="503"/>
      <c r="E457" s="503"/>
      <c r="F457" s="503"/>
      <c r="G457" s="504"/>
      <c r="H457" s="171">
        <f t="shared" si="50"/>
        <v>2069</v>
      </c>
      <c r="I457" s="523">
        <f t="shared" si="52"/>
        <v>2.5502546471520855</v>
      </c>
      <c r="J457" s="523">
        <f t="shared" si="51"/>
        <v>2.6376011773265269</v>
      </c>
      <c r="K457" s="171"/>
      <c r="L457" s="171"/>
      <c r="M457" s="171"/>
    </row>
    <row r="458" spans="1:16" x14ac:dyDescent="0.2">
      <c r="A458" s="501">
        <f t="shared" si="48"/>
        <v>2070</v>
      </c>
      <c r="B458" s="520">
        <f t="shared" si="49"/>
        <v>1.0209999999999999</v>
      </c>
      <c r="C458" s="503"/>
      <c r="D458" s="503"/>
      <c r="E458" s="503"/>
      <c r="F458" s="503"/>
      <c r="G458" s="504"/>
      <c r="H458" s="171">
        <f t="shared" si="50"/>
        <v>2070</v>
      </c>
      <c r="I458" s="523">
        <f t="shared" si="52"/>
        <v>2.6038099947422793</v>
      </c>
      <c r="J458" s="523">
        <f t="shared" si="51"/>
        <v>2.6929908020503843</v>
      </c>
      <c r="K458" s="171"/>
      <c r="L458" s="171"/>
      <c r="M458" s="171"/>
    </row>
    <row r="459" spans="1:16" x14ac:dyDescent="0.2">
      <c r="A459" s="501">
        <f t="shared" si="48"/>
        <v>2071</v>
      </c>
      <c r="B459" s="520">
        <f t="shared" si="49"/>
        <v>1.0209999999999999</v>
      </c>
      <c r="C459" s="503"/>
      <c r="D459" s="503"/>
      <c r="E459" s="503"/>
      <c r="F459" s="503"/>
      <c r="G459" s="504"/>
      <c r="H459" s="171">
        <f t="shared" si="50"/>
        <v>2071</v>
      </c>
      <c r="I459" s="523">
        <f t="shared" si="52"/>
        <v>2.6584900046318669</v>
      </c>
      <c r="J459" s="523">
        <f t="shared" si="51"/>
        <v>2.7495436088934424</v>
      </c>
      <c r="K459" s="171"/>
      <c r="L459" s="171"/>
      <c r="M459" s="171"/>
    </row>
    <row r="460" spans="1:16" x14ac:dyDescent="0.2">
      <c r="A460" s="501">
        <f t="shared" si="48"/>
        <v>2072</v>
      </c>
      <c r="B460" s="520">
        <f t="shared" si="49"/>
        <v>1.0209999999999999</v>
      </c>
      <c r="C460" s="503"/>
      <c r="D460" s="503"/>
      <c r="E460" s="503"/>
      <c r="F460" s="503"/>
      <c r="G460" s="504"/>
      <c r="H460" s="171">
        <f t="shared" si="50"/>
        <v>2072</v>
      </c>
      <c r="I460" s="523">
        <f t="shared" si="52"/>
        <v>2.7143182947291358</v>
      </c>
      <c r="J460" s="523">
        <f t="shared" si="51"/>
        <v>2.8072840246802042</v>
      </c>
      <c r="K460" s="171"/>
      <c r="L460" s="171"/>
      <c r="M460" s="171"/>
    </row>
    <row r="461" spans="1:16" x14ac:dyDescent="0.2">
      <c r="A461" s="501">
        <f t="shared" si="48"/>
        <v>2073</v>
      </c>
      <c r="B461" s="520">
        <f t="shared" si="49"/>
        <v>1.0209999999999999</v>
      </c>
      <c r="C461" s="503"/>
      <c r="D461" s="503"/>
      <c r="E461" s="503"/>
      <c r="F461" s="503"/>
      <c r="G461" s="504"/>
      <c r="H461" s="171">
        <f t="shared" si="50"/>
        <v>2073</v>
      </c>
      <c r="I461" s="523">
        <f t="shared" si="52"/>
        <v>2.7713189789184476</v>
      </c>
      <c r="J461" s="523">
        <f t="shared" si="51"/>
        <v>2.8662369891984878</v>
      </c>
      <c r="K461" s="171"/>
      <c r="L461" s="171"/>
      <c r="M461" s="171"/>
    </row>
    <row r="462" spans="1:16" x14ac:dyDescent="0.2">
      <c r="A462" s="501">
        <f t="shared" si="48"/>
        <v>2074</v>
      </c>
      <c r="B462" s="520">
        <f t="shared" si="49"/>
        <v>1.0209999999999999</v>
      </c>
      <c r="C462" s="503"/>
      <c r="D462" s="503"/>
      <c r="E462" s="503"/>
      <c r="F462" s="503"/>
      <c r="G462" s="504"/>
      <c r="H462" s="171">
        <f t="shared" si="50"/>
        <v>2074</v>
      </c>
      <c r="I462" s="523">
        <f t="shared" si="52"/>
        <v>2.8295166774757345</v>
      </c>
      <c r="J462" s="523">
        <f t="shared" si="51"/>
        <v>2.9264279659716563</v>
      </c>
      <c r="K462" s="171"/>
      <c r="L462" s="171"/>
      <c r="M462" s="171"/>
    </row>
    <row r="463" spans="1:16" x14ac:dyDescent="0.2">
      <c r="A463" s="501">
        <f t="shared" si="48"/>
        <v>2075</v>
      </c>
      <c r="B463" s="520">
        <f t="shared" si="49"/>
        <v>1.0209999999999999</v>
      </c>
      <c r="C463" s="503"/>
      <c r="D463" s="503"/>
      <c r="E463" s="503"/>
      <c r="F463" s="503"/>
      <c r="G463" s="504"/>
      <c r="H463" s="171">
        <f t="shared" si="50"/>
        <v>2075</v>
      </c>
      <c r="I463" s="523">
        <f t="shared" si="52"/>
        <v>2.8889365277027248</v>
      </c>
      <c r="J463" s="523">
        <f t="shared" si="51"/>
        <v>2.9878829532570608</v>
      </c>
      <c r="K463" s="171"/>
      <c r="L463" s="171"/>
      <c r="M463" s="171"/>
    </row>
    <row r="464" spans="1:16" x14ac:dyDescent="0.2">
      <c r="A464" s="501">
        <f t="shared" si="48"/>
        <v>2076</v>
      </c>
      <c r="B464" s="520">
        <f t="shared" si="49"/>
        <v>1.0209999999999999</v>
      </c>
      <c r="C464" s="503"/>
      <c r="D464" s="503"/>
      <c r="E464" s="503"/>
      <c r="F464" s="503"/>
      <c r="G464" s="504"/>
      <c r="H464" s="171">
        <f t="shared" si="50"/>
        <v>2076</v>
      </c>
      <c r="I464" s="523">
        <f t="shared" si="52"/>
        <v>2.9496041947844818</v>
      </c>
      <c r="J464" s="523">
        <f t="shared" si="51"/>
        <v>3.0506284952754594</v>
      </c>
      <c r="K464" s="171"/>
      <c r="L464" s="171"/>
      <c r="M464" s="171"/>
    </row>
    <row r="465" spans="1:23" x14ac:dyDescent="0.2">
      <c r="A465" s="501">
        <f t="shared" si="48"/>
        <v>2077</v>
      </c>
      <c r="B465" s="520">
        <f t="shared" si="49"/>
        <v>1.0209999999999999</v>
      </c>
      <c r="C465" s="503"/>
      <c r="D465" s="503"/>
      <c r="E465" s="503"/>
      <c r="F465" s="503"/>
      <c r="G465" s="504"/>
      <c r="H465" s="171">
        <f t="shared" si="50"/>
        <v>2077</v>
      </c>
      <c r="I465" s="523">
        <f t="shared" si="52"/>
        <v>3.0115458828749557</v>
      </c>
      <c r="J465" s="523">
        <f t="shared" si="51"/>
        <v>3.1146916936762441</v>
      </c>
      <c r="K465" s="171"/>
      <c r="L465" s="171"/>
      <c r="M465" s="171"/>
    </row>
    <row r="466" spans="1:23" x14ac:dyDescent="0.2">
      <c r="A466" s="501">
        <f t="shared" si="48"/>
        <v>2078</v>
      </c>
      <c r="B466" s="520">
        <f t="shared" si="49"/>
        <v>1.0209999999999999</v>
      </c>
      <c r="C466" s="503"/>
      <c r="D466" s="503"/>
      <c r="E466" s="503"/>
      <c r="F466" s="503"/>
      <c r="G466" s="504"/>
      <c r="H466" s="171">
        <f t="shared" si="50"/>
        <v>2078</v>
      </c>
      <c r="I466" s="523">
        <f t="shared" si="52"/>
        <v>3.0747883464153296</v>
      </c>
      <c r="J466" s="523">
        <f t="shared" si="51"/>
        <v>3.1801002192434447</v>
      </c>
      <c r="K466" s="171"/>
      <c r="L466" s="171"/>
      <c r="M466" s="171"/>
    </row>
    <row r="467" spans="1:23" x14ac:dyDescent="0.2">
      <c r="A467" s="501">
        <f t="shared" si="48"/>
        <v>2079</v>
      </c>
      <c r="B467" s="520">
        <f t="shared" si="49"/>
        <v>1.0209999999999999</v>
      </c>
      <c r="C467" s="503"/>
      <c r="D467" s="503"/>
      <c r="E467" s="503"/>
      <c r="F467" s="503"/>
      <c r="G467" s="504"/>
      <c r="H467" s="171">
        <f t="shared" si="50"/>
        <v>2079</v>
      </c>
      <c r="I467" s="523">
        <f t="shared" si="52"/>
        <v>3.1393589016900512</v>
      </c>
      <c r="J467" s="523">
        <f t="shared" si="51"/>
        <v>3.2468823238475566</v>
      </c>
      <c r="K467" s="171"/>
      <c r="L467" s="171"/>
      <c r="M467" s="171"/>
    </row>
    <row r="468" spans="1:23" x14ac:dyDescent="0.2">
      <c r="A468" s="501">
        <f t="shared" si="48"/>
        <v>2080</v>
      </c>
      <c r="B468" s="520">
        <f t="shared" si="49"/>
        <v>1.0209999999999999</v>
      </c>
      <c r="C468" s="503"/>
      <c r="D468" s="503"/>
      <c r="E468" s="503"/>
      <c r="F468" s="503"/>
      <c r="G468" s="504"/>
      <c r="H468" s="171">
        <f t="shared" si="50"/>
        <v>2080</v>
      </c>
      <c r="I468" s="523">
        <f t="shared" si="52"/>
        <v>3.205285438625542</v>
      </c>
      <c r="J468" s="523">
        <f t="shared" si="51"/>
        <v>3.315066852648354</v>
      </c>
      <c r="K468" s="171"/>
      <c r="L468" s="171"/>
      <c r="M468" s="171"/>
    </row>
    <row r="469" spans="1:23" x14ac:dyDescent="0.2">
      <c r="A469" s="501">
        <f t="shared" si="48"/>
        <v>2081</v>
      </c>
      <c r="B469" s="520">
        <f t="shared" si="49"/>
        <v>1.0209999999999999</v>
      </c>
      <c r="C469" s="503"/>
      <c r="D469" s="503"/>
      <c r="E469" s="503"/>
      <c r="F469" s="503"/>
      <c r="G469" s="504"/>
      <c r="H469" s="171">
        <f t="shared" si="50"/>
        <v>2081</v>
      </c>
      <c r="I469" s="523">
        <f t="shared" si="52"/>
        <v>3.2725964328366781</v>
      </c>
      <c r="J469" s="523" t="s">
        <v>415</v>
      </c>
      <c r="K469" s="171"/>
      <c r="L469" s="171"/>
      <c r="M469" s="171"/>
    </row>
    <row r="470" spans="1:23" x14ac:dyDescent="0.2">
      <c r="A470" s="501">
        <f t="shared" ref="A470:A477" si="53">+A75</f>
        <v>2082</v>
      </c>
      <c r="B470" s="520">
        <f t="shared" ref="B470:B477" si="54">B75</f>
        <v>1.0209999999999999</v>
      </c>
      <c r="C470" s="503"/>
      <c r="D470" s="503"/>
      <c r="E470" s="503"/>
      <c r="F470" s="503"/>
      <c r="G470" s="504"/>
      <c r="H470" s="171">
        <f t="shared" ref="H470:H477" si="55">+A470</f>
        <v>2082</v>
      </c>
      <c r="I470" s="523">
        <f t="shared" si="52"/>
        <v>3.3413209579262482</v>
      </c>
      <c r="J470" s="523" t="s">
        <v>415</v>
      </c>
      <c r="K470" s="171"/>
      <c r="L470" s="171"/>
      <c r="M470" s="171"/>
    </row>
    <row r="471" spans="1:23" x14ac:dyDescent="0.2">
      <c r="A471" s="501">
        <f t="shared" si="53"/>
        <v>2083</v>
      </c>
      <c r="B471" s="520">
        <f t="shared" si="54"/>
        <v>1.0209999999999999</v>
      </c>
      <c r="C471" s="503"/>
      <c r="D471" s="503"/>
      <c r="E471" s="503"/>
      <c r="F471" s="503"/>
      <c r="G471" s="504"/>
      <c r="H471" s="171">
        <f t="shared" si="55"/>
        <v>2083</v>
      </c>
      <c r="I471" s="523">
        <f t="shared" si="52"/>
        <v>3.4114886980426991</v>
      </c>
      <c r="J471" s="523" t="s">
        <v>415</v>
      </c>
      <c r="K471" s="171"/>
      <c r="L471" s="171"/>
      <c r="M471" s="171"/>
    </row>
    <row r="472" spans="1:23" x14ac:dyDescent="0.2">
      <c r="A472" s="501">
        <f t="shared" si="53"/>
        <v>2084</v>
      </c>
      <c r="B472" s="520">
        <f t="shared" si="54"/>
        <v>1.0209999999999999</v>
      </c>
      <c r="C472" s="503"/>
      <c r="D472" s="503"/>
      <c r="E472" s="503"/>
      <c r="F472" s="503"/>
      <c r="G472" s="504"/>
      <c r="H472" s="171">
        <f t="shared" si="55"/>
        <v>2084</v>
      </c>
      <c r="I472" s="523">
        <f t="shared" si="52"/>
        <v>3.4831299607015955</v>
      </c>
      <c r="J472" s="523" t="s">
        <v>415</v>
      </c>
      <c r="K472" s="171"/>
      <c r="L472" s="171"/>
      <c r="M472" s="171"/>
    </row>
    <row r="473" spans="1:23" x14ac:dyDescent="0.2">
      <c r="A473" s="501">
        <f t="shared" si="53"/>
        <v>2085</v>
      </c>
      <c r="B473" s="520">
        <f t="shared" si="54"/>
        <v>1.0209999999999999</v>
      </c>
      <c r="C473" s="503"/>
      <c r="D473" s="503"/>
      <c r="E473" s="503"/>
      <c r="F473" s="503"/>
      <c r="G473" s="504"/>
      <c r="H473" s="171">
        <f t="shared" si="55"/>
        <v>2085</v>
      </c>
      <c r="I473" s="523">
        <f t="shared" si="52"/>
        <v>3.5562756898763288</v>
      </c>
      <c r="J473" s="523" t="s">
        <v>415</v>
      </c>
      <c r="K473" s="171"/>
      <c r="L473" s="171"/>
      <c r="M473" s="171"/>
    </row>
    <row r="474" spans="1:23" x14ac:dyDescent="0.2">
      <c r="A474" s="501">
        <f t="shared" si="53"/>
        <v>2086</v>
      </c>
      <c r="B474" s="520">
        <f t="shared" si="54"/>
        <v>1.0209999999999999</v>
      </c>
      <c r="C474" s="503"/>
      <c r="D474" s="503"/>
      <c r="E474" s="503"/>
      <c r="F474" s="503"/>
      <c r="G474" s="504"/>
      <c r="H474" s="171">
        <f t="shared" si="55"/>
        <v>2086</v>
      </c>
      <c r="I474" s="523">
        <f t="shared" si="52"/>
        <v>3.6309574793637314</v>
      </c>
      <c r="J474" s="523" t="s">
        <v>415</v>
      </c>
      <c r="K474" s="171"/>
      <c r="L474" s="171"/>
      <c r="M474" s="171"/>
    </row>
    <row r="475" spans="1:23" x14ac:dyDescent="0.2">
      <c r="A475" s="501">
        <f t="shared" si="53"/>
        <v>2087</v>
      </c>
      <c r="B475" s="520">
        <f t="shared" si="54"/>
        <v>1.0209999999999999</v>
      </c>
      <c r="C475" s="503"/>
      <c r="D475" s="503"/>
      <c r="E475" s="503"/>
      <c r="F475" s="503"/>
      <c r="G475" s="504"/>
      <c r="H475" s="171">
        <f t="shared" si="55"/>
        <v>2087</v>
      </c>
      <c r="I475" s="523">
        <f t="shared" si="52"/>
        <v>3.7072075864303695</v>
      </c>
      <c r="J475" s="523" t="s">
        <v>415</v>
      </c>
      <c r="K475" s="171"/>
      <c r="L475" s="171"/>
      <c r="M475" s="171"/>
    </row>
    <row r="476" spans="1:23" x14ac:dyDescent="0.2">
      <c r="A476" s="501">
        <f t="shared" si="53"/>
        <v>2088</v>
      </c>
      <c r="B476" s="520">
        <f t="shared" si="54"/>
        <v>1.0209999999999999</v>
      </c>
      <c r="C476" s="503"/>
      <c r="D476" s="503"/>
      <c r="E476" s="503"/>
      <c r="F476" s="503"/>
      <c r="G476" s="504"/>
      <c r="H476" s="171">
        <f t="shared" si="55"/>
        <v>2088</v>
      </c>
      <c r="I476" s="523">
        <f t="shared" si="52"/>
        <v>3.7850589457454071</v>
      </c>
      <c r="J476" s="523" t="s">
        <v>415</v>
      </c>
      <c r="K476" s="171"/>
      <c r="L476" s="171"/>
      <c r="M476" s="171"/>
    </row>
    <row r="477" spans="1:23" x14ac:dyDescent="0.2">
      <c r="A477" s="501">
        <f t="shared" si="53"/>
        <v>2089</v>
      </c>
      <c r="B477" s="520">
        <f t="shared" si="54"/>
        <v>1.0209999999999999</v>
      </c>
      <c r="C477" s="503"/>
      <c r="D477" s="503"/>
      <c r="E477" s="503"/>
      <c r="F477" s="503"/>
      <c r="G477" s="504"/>
      <c r="H477" s="171">
        <f t="shared" si="55"/>
        <v>2089</v>
      </c>
      <c r="I477" s="523">
        <f t="shared" si="52"/>
        <v>3.8645451836060603</v>
      </c>
      <c r="J477" s="523" t="s">
        <v>415</v>
      </c>
      <c r="K477" s="171"/>
      <c r="L477" s="171"/>
      <c r="M477" s="171"/>
    </row>
    <row r="478" spans="1:23" ht="12" x14ac:dyDescent="0.25">
      <c r="A478" s="536"/>
      <c r="B478" s="531"/>
      <c r="C478" s="531"/>
      <c r="D478" s="531"/>
      <c r="E478" s="531"/>
      <c r="F478" s="531"/>
      <c r="G478" s="496" t="s">
        <v>97</v>
      </c>
      <c r="H478" s="504"/>
      <c r="I478" s="504"/>
      <c r="J478" s="532"/>
      <c r="K478" s="504"/>
      <c r="L478" s="532"/>
      <c r="M478" s="532"/>
    </row>
    <row r="479" spans="1:23" x14ac:dyDescent="0.2">
      <c r="A479" s="501" t="s">
        <v>377</v>
      </c>
      <c r="B479" s="502">
        <f>B5</f>
        <v>45348</v>
      </c>
      <c r="C479" s="503"/>
      <c r="D479" s="503"/>
      <c r="E479" s="503"/>
      <c r="F479" s="503"/>
      <c r="G479" s="504"/>
      <c r="H479" s="505"/>
      <c r="I479" s="505"/>
      <c r="J479" s="505"/>
      <c r="K479" s="505"/>
      <c r="L479" s="505"/>
      <c r="M479" s="505"/>
      <c r="N479" s="533"/>
      <c r="O479" s="533"/>
      <c r="P479" s="533"/>
      <c r="Q479" s="533"/>
      <c r="R479" s="534"/>
      <c r="S479" s="533"/>
      <c r="T479" s="533"/>
      <c r="U479" s="533"/>
      <c r="V479" s="533"/>
      <c r="W479" s="535"/>
    </row>
    <row r="480" spans="1:23" ht="12" thickBot="1" x14ac:dyDescent="0.25">
      <c r="A480" s="503"/>
      <c r="B480" s="503"/>
      <c r="C480" s="503"/>
      <c r="D480" s="503"/>
      <c r="E480" s="503"/>
      <c r="F480" s="503"/>
      <c r="G480" s="504"/>
      <c r="H480" s="505" t="s">
        <v>378</v>
      </c>
      <c r="I480" s="505"/>
      <c r="J480" s="505"/>
      <c r="K480" s="505"/>
      <c r="L480" s="505"/>
      <c r="M480" s="505"/>
    </row>
    <row r="481" spans="1:13" ht="13.2" thickBot="1" x14ac:dyDescent="0.3">
      <c r="A481" s="508"/>
      <c r="B481" s="508" t="s">
        <v>380</v>
      </c>
      <c r="C481" s="508" t="s">
        <v>296</v>
      </c>
      <c r="D481" s="508" t="s">
        <v>296</v>
      </c>
      <c r="E481" s="508" t="s">
        <v>296</v>
      </c>
      <c r="F481" s="508" t="s">
        <v>296</v>
      </c>
      <c r="G481" s="504"/>
      <c r="H481" s="509">
        <f>IF(K489="&lt;Base Year",H489,IF(K490="&lt;Base Year",H490,IF(K491="&lt;Base Year",H491,IF(K492="&lt;Base Year",H492,"None"))))</f>
        <v>2024</v>
      </c>
      <c r="I481" s="510" t="s">
        <v>381</v>
      </c>
      <c r="J481" s="511"/>
      <c r="K481" s="171"/>
      <c r="L481" s="171"/>
      <c r="M481" s="171"/>
    </row>
    <row r="482" spans="1:13" x14ac:dyDescent="0.2">
      <c r="A482" s="515" t="s">
        <v>383</v>
      </c>
      <c r="B482" s="515" t="s">
        <v>384</v>
      </c>
      <c r="C482" s="515">
        <f>+C8</f>
        <v>2022</v>
      </c>
      <c r="D482" s="515">
        <f t="shared" ref="D482:F482" si="56">+D8</f>
        <v>2023</v>
      </c>
      <c r="E482" s="515">
        <f t="shared" si="56"/>
        <v>2024</v>
      </c>
      <c r="F482" s="515">
        <f t="shared" si="56"/>
        <v>2025</v>
      </c>
      <c r="G482" s="504"/>
      <c r="H482" s="509">
        <f>IF(K489="&lt;Base Year",1,IF(K490="&lt;Base Year",2,IF(K491="&lt;Base Year",3,IF(K492="&lt;Base Year",4,5))))</f>
        <v>3</v>
      </c>
      <c r="I482" s="516" t="s">
        <v>1072</v>
      </c>
      <c r="J482" s="516" t="s">
        <v>1071</v>
      </c>
      <c r="K482" s="171"/>
      <c r="L482" s="171"/>
      <c r="M482" s="171"/>
    </row>
    <row r="483" spans="1:13" ht="12" thickBot="1" x14ac:dyDescent="0.25">
      <c r="A483" s="518" t="s">
        <v>386</v>
      </c>
      <c r="B483" s="518" t="s">
        <v>387</v>
      </c>
      <c r="C483" s="518"/>
      <c r="D483" s="518"/>
      <c r="E483" s="518"/>
      <c r="F483" s="518"/>
      <c r="G483" s="504"/>
      <c r="H483" s="171">
        <v>0</v>
      </c>
      <c r="I483" s="519" t="s">
        <v>123</v>
      </c>
      <c r="J483" s="519" t="s">
        <v>123</v>
      </c>
      <c r="K483" s="171"/>
      <c r="L483" s="171"/>
      <c r="M483" s="171"/>
    </row>
    <row r="484" spans="1:13" x14ac:dyDescent="0.2">
      <c r="A484" s="501">
        <f>+A10</f>
        <v>2017</v>
      </c>
      <c r="B484" s="520">
        <f>B10</f>
        <v>1.0169999999999999</v>
      </c>
      <c r="C484" s="521">
        <v>0.87460682296151393</v>
      </c>
      <c r="D484" s="521">
        <v>0.83614419021177233</v>
      </c>
      <c r="E484" s="521">
        <v>0.81416182104359525</v>
      </c>
      <c r="F484" s="521">
        <v>0.79663583272367455</v>
      </c>
      <c r="G484" s="522" t="s">
        <v>389</v>
      </c>
      <c r="H484" s="171">
        <f t="shared" ref="H484:H547" si="57">+A484</f>
        <v>2017</v>
      </c>
      <c r="I484" s="523">
        <f>+I485/B485</f>
        <v>0.80062099798634889</v>
      </c>
      <c r="J484" s="524">
        <f>CHOOSE(H$482,C484,D484,E484,F484)</f>
        <v>0.81416182104359525</v>
      </c>
      <c r="K484" s="171"/>
      <c r="L484" s="171"/>
      <c r="M484" s="171"/>
    </row>
    <row r="485" spans="1:13" x14ac:dyDescent="0.2">
      <c r="A485" s="501">
        <f t="shared" ref="A485:A548" si="58">+A11</f>
        <v>2018</v>
      </c>
      <c r="B485" s="520">
        <f t="shared" ref="B485:B548" si="59">B11</f>
        <v>1.022</v>
      </c>
      <c r="C485" s="521">
        <v>0.89213921870085955</v>
      </c>
      <c r="D485" s="521">
        <v>0.85290556281152929</v>
      </c>
      <c r="E485" s="521">
        <v>0.8304825343831832</v>
      </c>
      <c r="F485" s="521">
        <v>0.81260521955301701</v>
      </c>
      <c r="G485" s="525" t="s">
        <v>391</v>
      </c>
      <c r="H485" s="171">
        <f t="shared" si="57"/>
        <v>2018</v>
      </c>
      <c r="I485" s="523">
        <f>+I486/B486</f>
        <v>0.81823465994204858</v>
      </c>
      <c r="J485" s="524">
        <f>CHOOSE(H$482,C485,D485,E485,F485)</f>
        <v>0.8304825343831832</v>
      </c>
      <c r="K485" s="171"/>
      <c r="L485" s="171"/>
      <c r="M485" s="171"/>
    </row>
    <row r="486" spans="1:13" x14ac:dyDescent="0.2">
      <c r="A486" s="501">
        <f t="shared" si="58"/>
        <v>2019</v>
      </c>
      <c r="B486" s="520">
        <f t="shared" si="59"/>
        <v>1.0189999999999999</v>
      </c>
      <c r="C486" s="521">
        <v>0.91243647019185081</v>
      </c>
      <c r="D486" s="521">
        <v>0.87231020094823208</v>
      </c>
      <c r="E486" s="521">
        <v>0.84937702137120952</v>
      </c>
      <c r="F486" s="521">
        <v>0.83109297590137909</v>
      </c>
      <c r="G486" s="525" t="s">
        <v>393</v>
      </c>
      <c r="H486" s="171">
        <f t="shared" si="57"/>
        <v>2019</v>
      </c>
      <c r="I486" s="523">
        <f>+I487/B487</f>
        <v>0.83378111848094738</v>
      </c>
      <c r="J486" s="524">
        <f>CHOOSE(H$482,C486,D486,E486,F486)</f>
        <v>0.84937702137120952</v>
      </c>
      <c r="K486" s="171"/>
      <c r="L486" s="171"/>
      <c r="M486" s="171"/>
    </row>
    <row r="487" spans="1:13" x14ac:dyDescent="0.2">
      <c r="A487" s="501">
        <f t="shared" si="58"/>
        <v>2020</v>
      </c>
      <c r="B487" s="520">
        <f t="shared" si="59"/>
        <v>1.0129999999999999</v>
      </c>
      <c r="C487" s="521">
        <v>0.93742382222433085</v>
      </c>
      <c r="D487" s="521">
        <v>0.89619868281484782</v>
      </c>
      <c r="E487" s="521">
        <v>0.87263747109527545</v>
      </c>
      <c r="F487" s="521">
        <v>0.85385271144351815</v>
      </c>
      <c r="G487" s="522" t="s">
        <v>395</v>
      </c>
      <c r="H487" s="171">
        <f t="shared" si="57"/>
        <v>2020</v>
      </c>
      <c r="I487" s="523">
        <f>+I488/B488</f>
        <v>0.84462027302119957</v>
      </c>
      <c r="J487" s="524">
        <f>CHOOSE(H$482,C487,D487,E487,F487)</f>
        <v>0.87263747109527545</v>
      </c>
      <c r="K487" s="171"/>
      <c r="L487" s="171"/>
      <c r="M487" s="171"/>
    </row>
    <row r="488" spans="1:13" x14ac:dyDescent="0.2">
      <c r="A488" s="501">
        <f t="shared" si="58"/>
        <v>2021</v>
      </c>
      <c r="B488" s="520">
        <f t="shared" si="59"/>
        <v>1.0309999999999999</v>
      </c>
      <c r="C488" s="521">
        <v>0.98327921342595315</v>
      </c>
      <c r="D488" s="521">
        <v>0.94003748893494554</v>
      </c>
      <c r="E488" s="521">
        <v>0.91532374774580882</v>
      </c>
      <c r="F488" s="521">
        <v>0.89562010542642734</v>
      </c>
      <c r="G488" s="525" t="s">
        <v>397</v>
      </c>
      <c r="H488" s="171">
        <f t="shared" si="57"/>
        <v>2021</v>
      </c>
      <c r="I488" s="523">
        <f>+I489/B489</f>
        <v>0.87080350148485675</v>
      </c>
      <c r="J488" s="524">
        <f>CHOOSE(H$482,C488,D488,E488,F488)</f>
        <v>0.91532374774580882</v>
      </c>
      <c r="K488" s="171"/>
      <c r="L488" s="171"/>
      <c r="M488" s="171"/>
    </row>
    <row r="489" spans="1:13" x14ac:dyDescent="0.2">
      <c r="A489" s="501">
        <f t="shared" si="58"/>
        <v>2022</v>
      </c>
      <c r="B489" s="520">
        <f t="shared" si="59"/>
        <v>1.069</v>
      </c>
      <c r="C489" s="521">
        <v>1.0319897378253604</v>
      </c>
      <c r="D489" s="521">
        <v>0.9866058679018741</v>
      </c>
      <c r="E489" s="521">
        <v>0.96066783632120167</v>
      </c>
      <c r="F489" s="521">
        <v>0.93998809816164564</v>
      </c>
      <c r="G489" s="526" t="s">
        <v>399</v>
      </c>
      <c r="H489" s="171">
        <f t="shared" si="57"/>
        <v>2022</v>
      </c>
      <c r="I489" s="527">
        <f>IF(Sheet1!$E$82&lt;=A489,1,I490/B490)</f>
        <v>0.93088894308731185</v>
      </c>
      <c r="J489" s="528">
        <f>IF(I489&gt;=1,1/((C$693/I489)+(D$693/I490)+(E$693/I491)+(F$693/I492)+(G$693/I493)+(H$693/I494)+(I$693/I495)+(J$693/I496)+(K$693/I497)+(L$693/I498)),CHOOSE(H$482,C489,D489,E489,F489))</f>
        <v>0.96066783632120167</v>
      </c>
      <c r="K489" s="171" t="str">
        <f>IF(I489=1,"&lt;Base Year","")</f>
        <v/>
      </c>
      <c r="L489" s="171"/>
      <c r="M489" s="171"/>
    </row>
    <row r="490" spans="1:13" x14ac:dyDescent="0.2">
      <c r="A490" s="501">
        <f t="shared" si="58"/>
        <v>2023</v>
      </c>
      <c r="B490" s="520">
        <f t="shared" si="59"/>
        <v>1.046</v>
      </c>
      <c r="C490" s="521">
        <v>1.0691492808475764</v>
      </c>
      <c r="D490" s="521">
        <v>1.0221312436401304</v>
      </c>
      <c r="E490" s="521">
        <v>0.99525924405075994</v>
      </c>
      <c r="F490" s="521">
        <v>0.97383487676199609</v>
      </c>
      <c r="G490" s="526" t="s">
        <v>401</v>
      </c>
      <c r="H490" s="171">
        <f t="shared" si="57"/>
        <v>2023</v>
      </c>
      <c r="I490" s="527">
        <f>IF(Sheet1!$E$82&lt;A490,I489*B490,IF(Sheet1!$E$82=A490,1,I491/B491))</f>
        <v>0.97370983446932824</v>
      </c>
      <c r="J490" s="528">
        <f t="shared" ref="J490:J492" si="60">IF(I490&gt;=1,1/((C$693/I490)+(D$693/I491)+(E$693/I492)+(F$693/I493)+(G$693/I494)+(H$693/I495)+(I$693/I496)+(J$693/I497)+(K$693/I498)+(L$693/I499)),CHOOSE(H$482,C490,D490,E490,F490))</f>
        <v>0.99525924405075994</v>
      </c>
      <c r="K490" s="171" t="str">
        <f>IF(I490=1,"&lt;Base Year","")</f>
        <v/>
      </c>
      <c r="L490" s="171"/>
      <c r="M490" s="171"/>
    </row>
    <row r="491" spans="1:13" x14ac:dyDescent="0.2">
      <c r="A491" s="501">
        <f t="shared" si="58"/>
        <v>2024</v>
      </c>
      <c r="B491" s="520">
        <f t="shared" si="59"/>
        <v>1.0269999999999999</v>
      </c>
      <c r="C491" s="521">
        <v>1.0943807008103486</v>
      </c>
      <c r="D491" s="521">
        <v>1.0462530600481341</v>
      </c>
      <c r="E491" s="521">
        <v>1.0187468939124968</v>
      </c>
      <c r="F491" s="521">
        <v>0.99681692163649405</v>
      </c>
      <c r="G491" s="526" t="s">
        <v>403</v>
      </c>
      <c r="H491" s="171">
        <f t="shared" si="57"/>
        <v>2024</v>
      </c>
      <c r="I491" s="527">
        <f>IF(Sheet1!$E$82&lt;A491,I490*B491,IF(Sheet1!$E$82=A491,1,I492/B492))</f>
        <v>1</v>
      </c>
      <c r="J491" s="528">
        <f t="shared" si="60"/>
        <v>1.0187468939124968</v>
      </c>
      <c r="K491" s="171" t="str">
        <f>IF(I491=1,"&lt;Base Year","")</f>
        <v>&lt;Base Year</v>
      </c>
      <c r="L491" s="171"/>
      <c r="M491" s="171"/>
    </row>
    <row r="492" spans="1:13" x14ac:dyDescent="0.2">
      <c r="A492" s="501">
        <f t="shared" si="58"/>
        <v>2025</v>
      </c>
      <c r="B492" s="520">
        <f t="shared" si="59"/>
        <v>1.022</v>
      </c>
      <c r="C492" s="521">
        <v>1.1177495428711917</v>
      </c>
      <c r="D492" s="521">
        <v>1.0685942092458811</v>
      </c>
      <c r="E492" s="521">
        <v>1.0405006905996896</v>
      </c>
      <c r="F492" s="521">
        <v>1.0181024369859977</v>
      </c>
      <c r="G492" s="526" t="s">
        <v>405</v>
      </c>
      <c r="H492" s="171">
        <f t="shared" si="57"/>
        <v>2025</v>
      </c>
      <c r="I492" s="527">
        <f>IF(Sheet1!$E$82&lt;A492,I491*B492,IF(Sheet1!$E$82=A492,1,1))</f>
        <v>1.022</v>
      </c>
      <c r="J492" s="528">
        <f t="shared" si="60"/>
        <v>1.0405006905996894</v>
      </c>
      <c r="K492" s="171" t="str">
        <f>IF(I492=1,"&lt;Base Year","")</f>
        <v/>
      </c>
      <c r="L492" s="171"/>
      <c r="M492" s="171"/>
    </row>
    <row r="493" spans="1:13" x14ac:dyDescent="0.2">
      <c r="A493" s="501">
        <f t="shared" si="58"/>
        <v>2026</v>
      </c>
      <c r="B493" s="520">
        <f t="shared" si="59"/>
        <v>1.0209999999999999</v>
      </c>
      <c r="C493" s="503"/>
      <c r="D493" s="503"/>
      <c r="E493" s="503"/>
      <c r="F493" s="503"/>
      <c r="G493" s="504"/>
      <c r="H493" s="171">
        <f t="shared" si="57"/>
        <v>2026</v>
      </c>
      <c r="I493" s="523">
        <f t="shared" ref="I493:I556" si="61">+I492*B493</f>
        <v>1.0434619999999999</v>
      </c>
      <c r="J493" s="523">
        <f>IF(I493&gt;=1,1/((C$693/I493)+(D$693/I494)+(E$693/I495)+(F$693/I496)+(G$693/I497)+(H$693/I498)+(I$693/I499)+(J$693/I500)+(K$693/I501)+(L$693/I502)),CHOOSE(H$482,C493,D493,E493,F493))</f>
        <v>1.062351205102283</v>
      </c>
      <c r="K493" s="171"/>
      <c r="L493" s="171"/>
      <c r="M493" s="171"/>
    </row>
    <row r="494" spans="1:13" x14ac:dyDescent="0.2">
      <c r="A494" s="501">
        <f t="shared" si="58"/>
        <v>2027</v>
      </c>
      <c r="B494" s="520">
        <f t="shared" si="59"/>
        <v>1.0209999999999999</v>
      </c>
      <c r="C494" s="503"/>
      <c r="D494" s="503"/>
      <c r="E494" s="503"/>
      <c r="F494" s="503"/>
      <c r="G494" s="504"/>
      <c r="H494" s="171">
        <f t="shared" si="57"/>
        <v>2027</v>
      </c>
      <c r="I494" s="523">
        <f t="shared" si="61"/>
        <v>1.0653747019999997</v>
      </c>
      <c r="J494" s="523">
        <f t="shared" ref="J494:J547" si="62">IF(I494&gt;=1,1/((C$693/I494)+(D$693/I495)+(E$693/I496)+(F$693/I497)+(G$693/I498)+(H$693/I499)+(I$693/I500)+(J$693/I501)+(K$693/I502)+(L$693/I503)),CHOOSE(H$482,C494,D494,E494,F494))</f>
        <v>1.0846605804094309</v>
      </c>
      <c r="K494" s="171"/>
      <c r="L494" s="171"/>
      <c r="M494" s="171"/>
    </row>
    <row r="495" spans="1:13" x14ac:dyDescent="0.2">
      <c r="A495" s="501">
        <f t="shared" si="58"/>
        <v>2028</v>
      </c>
      <c r="B495" s="520">
        <f t="shared" si="59"/>
        <v>1.0209999999999999</v>
      </c>
      <c r="C495" s="503"/>
      <c r="D495" s="503"/>
      <c r="E495" s="503"/>
      <c r="F495" s="503"/>
      <c r="G495" s="504"/>
      <c r="H495" s="171">
        <f t="shared" si="57"/>
        <v>2028</v>
      </c>
      <c r="I495" s="523">
        <f t="shared" si="61"/>
        <v>1.0877475707419997</v>
      </c>
      <c r="J495" s="523">
        <f t="shared" si="62"/>
        <v>1.107438452598029</v>
      </c>
      <c r="K495" s="171"/>
      <c r="L495" s="171"/>
      <c r="M495" s="171"/>
    </row>
    <row r="496" spans="1:13" x14ac:dyDescent="0.2">
      <c r="A496" s="501">
        <f t="shared" si="58"/>
        <v>2029</v>
      </c>
      <c r="B496" s="520">
        <f t="shared" si="59"/>
        <v>1.0209999999999999</v>
      </c>
      <c r="C496" s="503"/>
      <c r="D496" s="503"/>
      <c r="E496" s="503"/>
      <c r="F496" s="503"/>
      <c r="G496" s="504"/>
      <c r="H496" s="171">
        <f t="shared" si="57"/>
        <v>2029</v>
      </c>
      <c r="I496" s="523">
        <f t="shared" si="61"/>
        <v>1.1105902697275816</v>
      </c>
      <c r="J496" s="523">
        <f t="shared" si="62"/>
        <v>1.1306946601025871</v>
      </c>
      <c r="K496" s="171"/>
      <c r="L496" s="171"/>
      <c r="M496" s="171"/>
    </row>
    <row r="497" spans="1:13" x14ac:dyDescent="0.2">
      <c r="A497" s="501">
        <f t="shared" si="58"/>
        <v>2030</v>
      </c>
      <c r="B497" s="520">
        <f t="shared" si="59"/>
        <v>1.0209999999999999</v>
      </c>
      <c r="C497" s="503"/>
      <c r="D497" s="503"/>
      <c r="E497" s="503"/>
      <c r="F497" s="503"/>
      <c r="G497" s="504"/>
      <c r="H497" s="171">
        <f t="shared" si="57"/>
        <v>2030</v>
      </c>
      <c r="I497" s="523">
        <f t="shared" si="61"/>
        <v>1.1339126653918608</v>
      </c>
      <c r="J497" s="523">
        <f t="shared" si="62"/>
        <v>1.1544392479647416</v>
      </c>
      <c r="K497" s="171"/>
      <c r="L497" s="171"/>
      <c r="M497" s="171"/>
    </row>
    <row r="498" spans="1:13" x14ac:dyDescent="0.2">
      <c r="A498" s="501">
        <f t="shared" si="58"/>
        <v>2031</v>
      </c>
      <c r="B498" s="520">
        <f t="shared" si="59"/>
        <v>1.0209999999999999</v>
      </c>
      <c r="C498" s="503"/>
      <c r="D498" s="503"/>
      <c r="E498" s="503"/>
      <c r="F498" s="503"/>
      <c r="G498" s="504"/>
      <c r="H498" s="171">
        <f t="shared" si="57"/>
        <v>2031</v>
      </c>
      <c r="I498" s="523">
        <f t="shared" si="61"/>
        <v>1.1577248313650896</v>
      </c>
      <c r="J498" s="523">
        <f t="shared" si="62"/>
        <v>1.1786824721720011</v>
      </c>
      <c r="K498" s="171"/>
      <c r="L498" s="171"/>
      <c r="M498" s="171"/>
    </row>
    <row r="499" spans="1:13" x14ac:dyDescent="0.2">
      <c r="A499" s="501">
        <f t="shared" si="58"/>
        <v>2032</v>
      </c>
      <c r="B499" s="520">
        <f t="shared" si="59"/>
        <v>1.0209999999999999</v>
      </c>
      <c r="C499" s="503"/>
      <c r="D499" s="503"/>
      <c r="E499" s="503"/>
      <c r="F499" s="503"/>
      <c r="G499" s="504"/>
      <c r="H499" s="171">
        <f t="shared" si="57"/>
        <v>2032</v>
      </c>
      <c r="I499" s="523">
        <f t="shared" si="61"/>
        <v>1.1820370528237565</v>
      </c>
      <c r="J499" s="523">
        <f t="shared" si="62"/>
        <v>1.2034348040876131</v>
      </c>
      <c r="K499" s="171"/>
      <c r="L499" s="171"/>
      <c r="M499" s="171"/>
    </row>
    <row r="500" spans="1:13" x14ac:dyDescent="0.2">
      <c r="A500" s="501">
        <f t="shared" si="58"/>
        <v>2033</v>
      </c>
      <c r="B500" s="520">
        <f t="shared" si="59"/>
        <v>1.0209999999999999</v>
      </c>
      <c r="C500" s="503"/>
      <c r="D500" s="503"/>
      <c r="E500" s="503"/>
      <c r="F500" s="503"/>
      <c r="G500" s="504"/>
      <c r="H500" s="171">
        <f t="shared" si="57"/>
        <v>2033</v>
      </c>
      <c r="I500" s="523">
        <f t="shared" si="61"/>
        <v>1.2068598309330552</v>
      </c>
      <c r="J500" s="523">
        <f t="shared" si="62"/>
        <v>1.2287069349734527</v>
      </c>
      <c r="K500" s="171"/>
      <c r="L500" s="171"/>
      <c r="M500" s="171"/>
    </row>
    <row r="501" spans="1:13" x14ac:dyDescent="0.2">
      <c r="A501" s="501">
        <f t="shared" si="58"/>
        <v>2034</v>
      </c>
      <c r="B501" s="520">
        <f t="shared" si="59"/>
        <v>1.0209999999999999</v>
      </c>
      <c r="C501" s="503"/>
      <c r="D501" s="503"/>
      <c r="E501" s="503"/>
      <c r="F501" s="503"/>
      <c r="G501" s="504"/>
      <c r="H501" s="171">
        <f t="shared" si="57"/>
        <v>2034</v>
      </c>
      <c r="I501" s="523">
        <f t="shared" si="61"/>
        <v>1.2322038873826493</v>
      </c>
      <c r="J501" s="523">
        <f t="shared" si="62"/>
        <v>1.2545097806078951</v>
      </c>
      <c r="K501" s="171"/>
      <c r="L501" s="171"/>
      <c r="M501" s="171"/>
    </row>
    <row r="502" spans="1:13" x14ac:dyDescent="0.2">
      <c r="A502" s="501">
        <f t="shared" si="58"/>
        <v>2035</v>
      </c>
      <c r="B502" s="520">
        <f t="shared" si="59"/>
        <v>1.0209999999999999</v>
      </c>
      <c r="C502" s="503"/>
      <c r="D502" s="503"/>
      <c r="E502" s="503"/>
      <c r="F502" s="503"/>
      <c r="G502" s="504"/>
      <c r="H502" s="171">
        <f t="shared" si="57"/>
        <v>2035</v>
      </c>
      <c r="I502" s="523">
        <f t="shared" si="61"/>
        <v>1.2580801690176848</v>
      </c>
      <c r="J502" s="523">
        <f t="shared" si="62"/>
        <v>1.2808544860006608</v>
      </c>
      <c r="K502" s="171"/>
      <c r="L502" s="171"/>
      <c r="M502" s="171"/>
    </row>
    <row r="503" spans="1:13" x14ac:dyDescent="0.2">
      <c r="A503" s="501">
        <f t="shared" si="58"/>
        <v>2036</v>
      </c>
      <c r="B503" s="520">
        <f t="shared" si="59"/>
        <v>1.0209999999999999</v>
      </c>
      <c r="C503" s="503"/>
      <c r="D503" s="503"/>
      <c r="E503" s="503"/>
      <c r="F503" s="503"/>
      <c r="G503" s="504"/>
      <c r="H503" s="171">
        <f t="shared" si="57"/>
        <v>2036</v>
      </c>
      <c r="I503" s="523">
        <f t="shared" si="61"/>
        <v>1.2844998525670561</v>
      </c>
      <c r="J503" s="523">
        <f t="shared" si="62"/>
        <v>1.3077524302066748</v>
      </c>
      <c r="K503" s="171"/>
      <c r="L503" s="171"/>
      <c r="M503" s="171"/>
    </row>
    <row r="504" spans="1:13" x14ac:dyDescent="0.2">
      <c r="A504" s="501">
        <f t="shared" si="58"/>
        <v>2037</v>
      </c>
      <c r="B504" s="520">
        <f t="shared" si="59"/>
        <v>1.0209999999999999</v>
      </c>
      <c r="C504" s="503"/>
      <c r="D504" s="503"/>
      <c r="E504" s="503"/>
      <c r="F504" s="503"/>
      <c r="G504" s="504"/>
      <c r="H504" s="171">
        <f t="shared" si="57"/>
        <v>2037</v>
      </c>
      <c r="I504" s="523">
        <f t="shared" si="61"/>
        <v>1.3114743494709642</v>
      </c>
      <c r="J504" s="523">
        <f t="shared" si="62"/>
        <v>1.3352152312410146</v>
      </c>
      <c r="K504" s="171"/>
      <c r="L504" s="171"/>
      <c r="M504" s="171"/>
    </row>
    <row r="505" spans="1:13" x14ac:dyDescent="0.2">
      <c r="A505" s="501">
        <f t="shared" si="58"/>
        <v>2038</v>
      </c>
      <c r="B505" s="520">
        <f t="shared" si="59"/>
        <v>1.0209999999999999</v>
      </c>
      <c r="C505" s="503"/>
      <c r="D505" s="503"/>
      <c r="E505" s="503"/>
      <c r="F505" s="503"/>
      <c r="G505" s="504"/>
      <c r="H505" s="171">
        <f t="shared" si="57"/>
        <v>2038</v>
      </c>
      <c r="I505" s="523">
        <f t="shared" si="61"/>
        <v>1.3390153108098544</v>
      </c>
      <c r="J505" s="523">
        <f t="shared" si="62"/>
        <v>1.3632547510970761</v>
      </c>
      <c r="K505" s="171"/>
      <c r="L505" s="171"/>
      <c r="M505" s="171"/>
    </row>
    <row r="506" spans="1:13" x14ac:dyDescent="0.2">
      <c r="A506" s="501">
        <f t="shared" si="58"/>
        <v>2039</v>
      </c>
      <c r="B506" s="520">
        <f t="shared" si="59"/>
        <v>1.0209999999999999</v>
      </c>
      <c r="C506" s="503"/>
      <c r="D506" s="503"/>
      <c r="E506" s="503"/>
      <c r="F506" s="503"/>
      <c r="G506" s="504"/>
      <c r="H506" s="171">
        <f t="shared" si="57"/>
        <v>2039</v>
      </c>
      <c r="I506" s="523">
        <f t="shared" si="61"/>
        <v>1.3671346323368612</v>
      </c>
      <c r="J506" s="523">
        <f t="shared" si="62"/>
        <v>1.3918831008701145</v>
      </c>
      <c r="K506" s="171"/>
      <c r="L506" s="171"/>
      <c r="M506" s="171"/>
    </row>
    <row r="507" spans="1:13" x14ac:dyDescent="0.2">
      <c r="A507" s="501">
        <f t="shared" si="58"/>
        <v>2040</v>
      </c>
      <c r="B507" s="520">
        <f t="shared" si="59"/>
        <v>1.0209999999999999</v>
      </c>
      <c r="C507" s="503"/>
      <c r="D507" s="503"/>
      <c r="E507" s="503"/>
      <c r="F507" s="503"/>
      <c r="G507" s="504"/>
      <c r="H507" s="171">
        <f t="shared" si="57"/>
        <v>2040</v>
      </c>
      <c r="I507" s="523">
        <f t="shared" si="61"/>
        <v>1.3958444596159352</v>
      </c>
      <c r="J507" s="523">
        <f t="shared" si="62"/>
        <v>1.4211126459883867</v>
      </c>
      <c r="K507" s="171"/>
      <c r="L507" s="171"/>
      <c r="M507" s="171"/>
    </row>
    <row r="508" spans="1:13" x14ac:dyDescent="0.2">
      <c r="A508" s="501">
        <f t="shared" si="58"/>
        <v>2041</v>
      </c>
      <c r="B508" s="520">
        <f t="shared" si="59"/>
        <v>1.0209999999999999</v>
      </c>
      <c r="C508" s="503"/>
      <c r="D508" s="503"/>
      <c r="E508" s="503"/>
      <c r="F508" s="503"/>
      <c r="G508" s="504"/>
      <c r="H508" s="171">
        <f t="shared" si="57"/>
        <v>2041</v>
      </c>
      <c r="I508" s="523">
        <f t="shared" si="61"/>
        <v>1.4251571932678697</v>
      </c>
      <c r="J508" s="523">
        <f t="shared" si="62"/>
        <v>1.4509560115541424</v>
      </c>
      <c r="K508" s="171"/>
      <c r="L508" s="171"/>
      <c r="M508" s="171"/>
    </row>
    <row r="509" spans="1:13" x14ac:dyDescent="0.2">
      <c r="A509" s="501">
        <f t="shared" si="58"/>
        <v>2042</v>
      </c>
      <c r="B509" s="520">
        <f t="shared" si="59"/>
        <v>1.0209999999999999</v>
      </c>
      <c r="C509" s="503"/>
      <c r="D509" s="503"/>
      <c r="E509" s="503"/>
      <c r="F509" s="503"/>
      <c r="G509" s="504"/>
      <c r="H509" s="171">
        <f t="shared" si="57"/>
        <v>2042</v>
      </c>
      <c r="I509" s="523">
        <f t="shared" si="61"/>
        <v>1.4550854943264948</v>
      </c>
      <c r="J509" s="523">
        <f t="shared" si="62"/>
        <v>1.4814260877967793</v>
      </c>
      <c r="K509" s="171"/>
      <c r="L509" s="171"/>
      <c r="M509" s="171"/>
    </row>
    <row r="510" spans="1:13" x14ac:dyDescent="0.2">
      <c r="A510" s="501">
        <f t="shared" si="58"/>
        <v>2043</v>
      </c>
      <c r="B510" s="520">
        <f t="shared" si="59"/>
        <v>1.0209999999999999</v>
      </c>
      <c r="C510" s="503"/>
      <c r="D510" s="503"/>
      <c r="E510" s="503"/>
      <c r="F510" s="503"/>
      <c r="G510" s="504"/>
      <c r="H510" s="171">
        <f t="shared" si="57"/>
        <v>2043</v>
      </c>
      <c r="I510" s="523">
        <f t="shared" si="61"/>
        <v>1.4856422897073511</v>
      </c>
      <c r="J510" s="523">
        <f t="shared" si="62"/>
        <v>1.512536035640512</v>
      </c>
      <c r="K510" s="171"/>
      <c r="L510" s="171"/>
      <c r="M510" s="171"/>
    </row>
    <row r="511" spans="1:13" x14ac:dyDescent="0.2">
      <c r="A511" s="501">
        <f t="shared" si="58"/>
        <v>2044</v>
      </c>
      <c r="B511" s="520">
        <f t="shared" si="59"/>
        <v>1.0209999999999999</v>
      </c>
      <c r="C511" s="503"/>
      <c r="D511" s="503"/>
      <c r="E511" s="503"/>
      <c r="F511" s="503"/>
      <c r="G511" s="504"/>
      <c r="H511" s="171">
        <f t="shared" si="57"/>
        <v>2044</v>
      </c>
      <c r="I511" s="523">
        <f t="shared" si="61"/>
        <v>1.5168407777912054</v>
      </c>
      <c r="J511" s="523">
        <f t="shared" si="62"/>
        <v>1.5442992923889625</v>
      </c>
      <c r="K511" s="171"/>
      <c r="L511" s="171"/>
      <c r="M511" s="171"/>
    </row>
    <row r="512" spans="1:13" x14ac:dyDescent="0.2">
      <c r="A512" s="501">
        <f t="shared" si="58"/>
        <v>2045</v>
      </c>
      <c r="B512" s="520">
        <f t="shared" si="59"/>
        <v>1.0209999999999999</v>
      </c>
      <c r="C512" s="503"/>
      <c r="D512" s="503"/>
      <c r="E512" s="503"/>
      <c r="F512" s="503"/>
      <c r="G512" s="504"/>
      <c r="H512" s="171">
        <f t="shared" si="57"/>
        <v>2045</v>
      </c>
      <c r="I512" s="523">
        <f t="shared" si="61"/>
        <v>1.5486944341248206</v>
      </c>
      <c r="J512" s="523">
        <f t="shared" si="62"/>
        <v>1.5767295775291308</v>
      </c>
      <c r="K512" s="171"/>
      <c r="L512" s="171"/>
      <c r="M512" s="171"/>
    </row>
    <row r="513" spans="1:16" x14ac:dyDescent="0.2">
      <c r="A513" s="501">
        <f t="shared" si="58"/>
        <v>2046</v>
      </c>
      <c r="B513" s="520">
        <f t="shared" si="59"/>
        <v>1.0209999999999999</v>
      </c>
      <c r="C513" s="503"/>
      <c r="D513" s="503"/>
      <c r="E513" s="503"/>
      <c r="F513" s="503"/>
      <c r="G513" s="504"/>
      <c r="H513" s="171">
        <f t="shared" si="57"/>
        <v>2046</v>
      </c>
      <c r="I513" s="523">
        <f t="shared" si="61"/>
        <v>1.5812170172414417</v>
      </c>
      <c r="J513" s="523">
        <f t="shared" si="62"/>
        <v>1.6098408986572421</v>
      </c>
      <c r="K513" s="171"/>
      <c r="L513" s="171"/>
      <c r="M513" s="171"/>
    </row>
    <row r="514" spans="1:16" x14ac:dyDescent="0.2">
      <c r="A514" s="501">
        <f t="shared" si="58"/>
        <v>2047</v>
      </c>
      <c r="B514" s="520">
        <f t="shared" si="59"/>
        <v>1.0209999999999999</v>
      </c>
      <c r="C514" s="503"/>
      <c r="D514" s="503"/>
      <c r="E514" s="503"/>
      <c r="F514" s="503"/>
      <c r="G514" s="504"/>
      <c r="H514" s="171">
        <f t="shared" si="57"/>
        <v>2047</v>
      </c>
      <c r="I514" s="523">
        <f t="shared" si="61"/>
        <v>1.6144225746035119</v>
      </c>
      <c r="J514" s="523">
        <f t="shared" si="62"/>
        <v>1.6436475575290441</v>
      </c>
      <c r="K514" s="171"/>
      <c r="L514" s="171"/>
      <c r="M514" s="171"/>
    </row>
    <row r="515" spans="1:16" x14ac:dyDescent="0.2">
      <c r="A515" s="501">
        <f t="shared" si="58"/>
        <v>2048</v>
      </c>
      <c r="B515" s="520">
        <f t="shared" si="59"/>
        <v>1.0209999999999999</v>
      </c>
      <c r="C515" s="503"/>
      <c r="D515" s="503"/>
      <c r="E515" s="503"/>
      <c r="F515" s="503"/>
      <c r="G515" s="504"/>
      <c r="H515" s="171">
        <f t="shared" si="57"/>
        <v>2048</v>
      </c>
      <c r="I515" s="523">
        <f t="shared" si="61"/>
        <v>1.6483254486701855</v>
      </c>
      <c r="J515" s="523">
        <f t="shared" si="62"/>
        <v>1.6781641562371539</v>
      </c>
      <c r="K515" s="171"/>
      <c r="L515" s="171"/>
      <c r="M515" s="171"/>
    </row>
    <row r="516" spans="1:16" x14ac:dyDescent="0.2">
      <c r="A516" s="501">
        <f t="shared" si="58"/>
        <v>2049</v>
      </c>
      <c r="B516" s="520">
        <f t="shared" si="59"/>
        <v>1.0209999999999999</v>
      </c>
      <c r="C516" s="503"/>
      <c r="D516" s="503"/>
      <c r="E516" s="503"/>
      <c r="F516" s="503"/>
      <c r="G516" s="504"/>
      <c r="H516" s="171">
        <f t="shared" si="57"/>
        <v>2049</v>
      </c>
      <c r="I516" s="523">
        <f t="shared" si="61"/>
        <v>1.6829402830922593</v>
      </c>
      <c r="J516" s="523">
        <f t="shared" si="62"/>
        <v>1.713405603518134</v>
      </c>
      <c r="K516" s="171"/>
      <c r="L516" s="171"/>
      <c r="M516" s="171"/>
    </row>
    <row r="517" spans="1:16" x14ac:dyDescent="0.2">
      <c r="A517" s="501">
        <f t="shared" si="58"/>
        <v>2050</v>
      </c>
      <c r="B517" s="520">
        <f t="shared" si="59"/>
        <v>1.0209999999999999</v>
      </c>
      <c r="C517" s="503"/>
      <c r="D517" s="503"/>
      <c r="E517" s="503"/>
      <c r="F517" s="503"/>
      <c r="G517" s="504"/>
      <c r="H517" s="171">
        <f t="shared" si="57"/>
        <v>2050</v>
      </c>
      <c r="I517" s="523">
        <f t="shared" si="61"/>
        <v>1.7182820290371965</v>
      </c>
      <c r="J517" s="523">
        <f t="shared" si="62"/>
        <v>1.7493871211920147</v>
      </c>
      <c r="K517" s="171"/>
      <c r="L517" s="171"/>
      <c r="M517" s="171"/>
    </row>
    <row r="518" spans="1:16" x14ac:dyDescent="0.2">
      <c r="A518" s="501">
        <f t="shared" si="58"/>
        <v>2051</v>
      </c>
      <c r="B518" s="520">
        <f t="shared" si="59"/>
        <v>1.0209999999999999</v>
      </c>
      <c r="C518" s="503"/>
      <c r="D518" s="503"/>
      <c r="E518" s="503"/>
      <c r="F518" s="503"/>
      <c r="G518" s="504"/>
      <c r="H518" s="171">
        <f t="shared" si="57"/>
        <v>2051</v>
      </c>
      <c r="I518" s="523">
        <f t="shared" si="61"/>
        <v>1.7543659516469774</v>
      </c>
      <c r="J518" s="523">
        <f t="shared" si="62"/>
        <v>1.7861242507370463</v>
      </c>
      <c r="K518" s="171"/>
      <c r="L518" s="171"/>
      <c r="M518" s="171"/>
    </row>
    <row r="519" spans="1:16" x14ac:dyDescent="0.2">
      <c r="A519" s="501">
        <f t="shared" si="58"/>
        <v>2052</v>
      </c>
      <c r="B519" s="520">
        <f t="shared" si="59"/>
        <v>1.0209999999999999</v>
      </c>
      <c r="C519" s="503"/>
      <c r="D519" s="503"/>
      <c r="E519" s="503"/>
      <c r="F519" s="503"/>
      <c r="G519" s="504"/>
      <c r="H519" s="171">
        <f t="shared" si="57"/>
        <v>2052</v>
      </c>
      <c r="I519" s="523">
        <f t="shared" si="61"/>
        <v>1.7912076366315637</v>
      </c>
      <c r="J519" s="523">
        <f t="shared" si="62"/>
        <v>1.8236328600025244</v>
      </c>
      <c r="K519" s="171"/>
      <c r="L519" s="171"/>
      <c r="M519" s="171"/>
    </row>
    <row r="520" spans="1:16" x14ac:dyDescent="0.2">
      <c r="A520" s="501">
        <f t="shared" si="58"/>
        <v>2053</v>
      </c>
      <c r="B520" s="520">
        <f t="shared" si="59"/>
        <v>1.0209999999999999</v>
      </c>
      <c r="C520" s="503"/>
      <c r="D520" s="503"/>
      <c r="E520" s="503"/>
      <c r="F520" s="503"/>
      <c r="G520" s="504"/>
      <c r="H520" s="171">
        <f t="shared" si="57"/>
        <v>2053</v>
      </c>
      <c r="I520" s="523">
        <f t="shared" si="61"/>
        <v>1.8288229970008263</v>
      </c>
      <c r="J520" s="523">
        <f t="shared" si="62"/>
        <v>1.861929150062577</v>
      </c>
      <c r="K520" s="171"/>
      <c r="L520" s="171"/>
      <c r="M520" s="171"/>
    </row>
    <row r="521" spans="1:16" x14ac:dyDescent="0.2">
      <c r="A521" s="501">
        <f t="shared" si="58"/>
        <v>2054</v>
      </c>
      <c r="B521" s="520">
        <f t="shared" si="59"/>
        <v>1.0209999999999999</v>
      </c>
      <c r="C521" s="503"/>
      <c r="D521" s="503"/>
      <c r="E521" s="503"/>
      <c r="F521" s="503"/>
      <c r="G521" s="504"/>
      <c r="H521" s="171">
        <f t="shared" si="57"/>
        <v>2054</v>
      </c>
      <c r="I521" s="523">
        <f t="shared" si="61"/>
        <v>1.8672282799378435</v>
      </c>
      <c r="J521" s="523">
        <f t="shared" si="62"/>
        <v>1.9010296622138911</v>
      </c>
      <c r="K521" s="171"/>
      <c r="L521" s="171"/>
      <c r="M521" s="171"/>
    </row>
    <row r="522" spans="1:16" x14ac:dyDescent="0.2">
      <c r="A522" s="501">
        <f t="shared" si="58"/>
        <v>2055</v>
      </c>
      <c r="B522" s="520">
        <f t="shared" si="59"/>
        <v>1.0209999999999999</v>
      </c>
      <c r="C522" s="503"/>
      <c r="D522" s="503"/>
      <c r="E522" s="503"/>
      <c r="F522" s="503"/>
      <c r="G522" s="504"/>
      <c r="H522" s="171">
        <f t="shared" si="57"/>
        <v>2055</v>
      </c>
      <c r="I522" s="523">
        <f t="shared" si="61"/>
        <v>1.9064400738165379</v>
      </c>
      <c r="J522" s="523">
        <f t="shared" si="62"/>
        <v>1.9409512851203823</v>
      </c>
      <c r="K522" s="171"/>
      <c r="L522" s="171"/>
      <c r="M522" s="171"/>
    </row>
    <row r="523" spans="1:16" x14ac:dyDescent="0.2">
      <c r="A523" s="501">
        <f t="shared" si="58"/>
        <v>2056</v>
      </c>
      <c r="B523" s="520">
        <f t="shared" si="59"/>
        <v>1.0209999999999999</v>
      </c>
      <c r="C523" s="503"/>
      <c r="D523" s="503"/>
      <c r="E523" s="503"/>
      <c r="F523" s="503"/>
      <c r="G523" s="504"/>
      <c r="H523" s="171">
        <f t="shared" si="57"/>
        <v>2056</v>
      </c>
      <c r="I523" s="523">
        <f t="shared" si="61"/>
        <v>1.9464753153666849</v>
      </c>
      <c r="J523" s="523">
        <f t="shared" si="62"/>
        <v>1.9817112621079105</v>
      </c>
      <c r="K523" s="171"/>
      <c r="L523" s="171"/>
      <c r="M523" s="171"/>
    </row>
    <row r="524" spans="1:16" x14ac:dyDescent="0.2">
      <c r="A524" s="501">
        <f t="shared" si="58"/>
        <v>2057</v>
      </c>
      <c r="B524" s="520">
        <f t="shared" si="59"/>
        <v>1.0209999999999999</v>
      </c>
      <c r="C524" s="503"/>
      <c r="D524" s="503"/>
      <c r="E524" s="503"/>
      <c r="F524" s="503"/>
      <c r="G524" s="504"/>
      <c r="H524" s="171">
        <f t="shared" si="57"/>
        <v>2057</v>
      </c>
      <c r="I524" s="523">
        <f t="shared" si="61"/>
        <v>1.9873512969893852</v>
      </c>
      <c r="J524" s="523">
        <f t="shared" si="62"/>
        <v>2.0233271986121766</v>
      </c>
      <c r="K524" s="171"/>
      <c r="L524" s="171"/>
      <c r="M524" s="171"/>
    </row>
    <row r="525" spans="1:16" x14ac:dyDescent="0.2">
      <c r="A525" s="501">
        <f t="shared" si="58"/>
        <v>2058</v>
      </c>
      <c r="B525" s="520">
        <f t="shared" si="59"/>
        <v>1.0209999999999999</v>
      </c>
      <c r="C525" s="503"/>
      <c r="D525" s="503"/>
      <c r="E525" s="503"/>
      <c r="F525" s="503"/>
      <c r="G525" s="504"/>
      <c r="H525" s="171">
        <f t="shared" si="57"/>
        <v>2058</v>
      </c>
      <c r="I525" s="523">
        <f t="shared" si="61"/>
        <v>2.0290856742261623</v>
      </c>
      <c r="J525" s="523">
        <f t="shared" si="62"/>
        <v>2.0658170697830318</v>
      </c>
      <c r="K525" s="171"/>
      <c r="L525" s="171"/>
      <c r="M525" s="171"/>
      <c r="P525" s="529"/>
    </row>
    <row r="526" spans="1:16" x14ac:dyDescent="0.2">
      <c r="A526" s="501">
        <f t="shared" si="58"/>
        <v>2059</v>
      </c>
      <c r="B526" s="520">
        <f t="shared" si="59"/>
        <v>1.0209999999999999</v>
      </c>
      <c r="C526" s="503"/>
      <c r="D526" s="503"/>
      <c r="E526" s="503"/>
      <c r="F526" s="503"/>
      <c r="G526" s="504"/>
      <c r="H526" s="171">
        <f t="shared" si="57"/>
        <v>2059</v>
      </c>
      <c r="I526" s="523">
        <f t="shared" si="61"/>
        <v>2.0716964733849115</v>
      </c>
      <c r="J526" s="523">
        <f t="shared" si="62"/>
        <v>2.1091992282484755</v>
      </c>
      <c r="K526" s="171"/>
      <c r="L526" s="171"/>
      <c r="M526" s="171"/>
      <c r="P526" s="529"/>
    </row>
    <row r="527" spans="1:16" x14ac:dyDescent="0.2">
      <c r="A527" s="501">
        <f t="shared" si="58"/>
        <v>2060</v>
      </c>
      <c r="B527" s="520">
        <f t="shared" si="59"/>
        <v>1.0209999999999999</v>
      </c>
      <c r="C527" s="503"/>
      <c r="D527" s="503"/>
      <c r="E527" s="503"/>
      <c r="F527" s="503"/>
      <c r="G527" s="504"/>
      <c r="H527" s="171">
        <f t="shared" si="57"/>
        <v>2060</v>
      </c>
      <c r="I527" s="523">
        <f t="shared" si="61"/>
        <v>2.1152020993259946</v>
      </c>
      <c r="J527" s="523">
        <f t="shared" si="62"/>
        <v>2.1534924120416932</v>
      </c>
      <c r="K527" s="171"/>
      <c r="L527" s="171"/>
      <c r="M527" s="171"/>
      <c r="P527" s="529"/>
    </row>
    <row r="528" spans="1:16" x14ac:dyDescent="0.2">
      <c r="A528" s="501">
        <f t="shared" si="58"/>
        <v>2061</v>
      </c>
      <c r="B528" s="520">
        <f t="shared" si="59"/>
        <v>1.0209999999999999</v>
      </c>
      <c r="C528" s="503"/>
      <c r="D528" s="503"/>
      <c r="E528" s="503"/>
      <c r="F528" s="503"/>
      <c r="G528" s="504"/>
      <c r="H528" s="171">
        <f t="shared" si="57"/>
        <v>2061</v>
      </c>
      <c r="I528" s="523">
        <f t="shared" si="61"/>
        <v>2.1596213434118403</v>
      </c>
      <c r="J528" s="523">
        <f t="shared" si="62"/>
        <v>2.1987157526945684</v>
      </c>
      <c r="K528" s="171"/>
      <c r="L528" s="171"/>
      <c r="M528" s="171"/>
      <c r="P528" s="529"/>
    </row>
    <row r="529" spans="1:16" x14ac:dyDescent="0.2">
      <c r="A529" s="501">
        <f t="shared" si="58"/>
        <v>2062</v>
      </c>
      <c r="B529" s="520">
        <f t="shared" si="59"/>
        <v>1.0209999999999999</v>
      </c>
      <c r="C529" s="503"/>
      <c r="D529" s="503"/>
      <c r="E529" s="503"/>
      <c r="F529" s="503"/>
      <c r="G529" s="504"/>
      <c r="H529" s="171">
        <f t="shared" si="57"/>
        <v>2062</v>
      </c>
      <c r="I529" s="523">
        <f t="shared" si="61"/>
        <v>2.2049733916234886</v>
      </c>
      <c r="J529" s="523">
        <f t="shared" si="62"/>
        <v>2.2448887835011542</v>
      </c>
      <c r="K529" s="171"/>
      <c r="L529" s="171"/>
      <c r="M529" s="171"/>
      <c r="P529" s="529"/>
    </row>
    <row r="530" spans="1:16" x14ac:dyDescent="0.2">
      <c r="A530" s="501">
        <f t="shared" si="58"/>
        <v>2063</v>
      </c>
      <c r="B530" s="520">
        <f t="shared" si="59"/>
        <v>1.0209999999999999</v>
      </c>
      <c r="C530" s="503"/>
      <c r="D530" s="503"/>
      <c r="E530" s="503"/>
      <c r="F530" s="503"/>
      <c r="G530" s="504"/>
      <c r="H530" s="171">
        <f t="shared" si="57"/>
        <v>2063</v>
      </c>
      <c r="I530" s="523">
        <f t="shared" si="61"/>
        <v>2.2512778328475815</v>
      </c>
      <c r="J530" s="523">
        <f t="shared" si="62"/>
        <v>2.2920314479546788</v>
      </c>
      <c r="K530" s="171"/>
      <c r="L530" s="171"/>
      <c r="M530" s="171"/>
      <c r="P530" s="529"/>
    </row>
    <row r="531" spans="1:16" x14ac:dyDescent="0.2">
      <c r="A531" s="501">
        <f t="shared" si="58"/>
        <v>2064</v>
      </c>
      <c r="B531" s="520">
        <f t="shared" si="59"/>
        <v>1.0209999999999999</v>
      </c>
      <c r="C531" s="503"/>
      <c r="D531" s="503"/>
      <c r="E531" s="503"/>
      <c r="F531" s="503"/>
      <c r="G531" s="504"/>
      <c r="H531" s="171">
        <f t="shared" si="57"/>
        <v>2064</v>
      </c>
      <c r="I531" s="523">
        <f t="shared" si="61"/>
        <v>2.2985546673373807</v>
      </c>
      <c r="J531" s="523">
        <f t="shared" si="62"/>
        <v>2.3401641083617259</v>
      </c>
      <c r="K531" s="171"/>
      <c r="L531" s="171"/>
      <c r="M531" s="171"/>
      <c r="P531" s="529"/>
    </row>
    <row r="532" spans="1:16" x14ac:dyDescent="0.2">
      <c r="A532" s="501">
        <f t="shared" si="58"/>
        <v>2065</v>
      </c>
      <c r="B532" s="520">
        <f t="shared" si="59"/>
        <v>1.0209999999999999</v>
      </c>
      <c r="C532" s="503"/>
      <c r="D532" s="503"/>
      <c r="E532" s="503"/>
      <c r="F532" s="503"/>
      <c r="G532" s="504"/>
      <c r="H532" s="171">
        <f t="shared" si="57"/>
        <v>2065</v>
      </c>
      <c r="I532" s="523">
        <f t="shared" si="61"/>
        <v>2.3468243153514656</v>
      </c>
      <c r="J532" s="523">
        <f t="shared" si="62"/>
        <v>2.3893075546373228</v>
      </c>
      <c r="K532" s="171"/>
      <c r="L532" s="171"/>
      <c r="M532" s="171"/>
    </row>
    <row r="533" spans="1:16" x14ac:dyDescent="0.2">
      <c r="A533" s="501">
        <f t="shared" si="58"/>
        <v>2066</v>
      </c>
      <c r="B533" s="520">
        <f t="shared" si="59"/>
        <v>1.0209999999999999</v>
      </c>
      <c r="C533" s="503"/>
      <c r="D533" s="503"/>
      <c r="E533" s="503"/>
      <c r="F533" s="503"/>
      <c r="G533" s="504"/>
      <c r="H533" s="171">
        <f t="shared" si="57"/>
        <v>2066</v>
      </c>
      <c r="I533" s="523">
        <f t="shared" si="61"/>
        <v>2.3961076259738463</v>
      </c>
      <c r="J533" s="523">
        <f t="shared" si="62"/>
        <v>2.4394830132847067</v>
      </c>
      <c r="K533" s="171"/>
      <c r="L533" s="171"/>
      <c r="M533" s="171"/>
    </row>
    <row r="534" spans="1:16" x14ac:dyDescent="0.2">
      <c r="A534" s="501">
        <f t="shared" si="58"/>
        <v>2067</v>
      </c>
      <c r="B534" s="520">
        <f t="shared" si="59"/>
        <v>1.0209999999999999</v>
      </c>
      <c r="C534" s="503"/>
      <c r="D534" s="503"/>
      <c r="E534" s="503"/>
      <c r="F534" s="503"/>
      <c r="G534" s="504"/>
      <c r="H534" s="171">
        <f t="shared" si="57"/>
        <v>2067</v>
      </c>
      <c r="I534" s="523">
        <f t="shared" si="61"/>
        <v>2.4464258861192967</v>
      </c>
      <c r="J534" s="523">
        <f t="shared" si="62"/>
        <v>2.4907121565636849</v>
      </c>
      <c r="K534" s="171"/>
      <c r="L534" s="171"/>
      <c r="M534" s="171"/>
    </row>
    <row r="535" spans="1:16" x14ac:dyDescent="0.2">
      <c r="A535" s="501">
        <f t="shared" si="58"/>
        <v>2068</v>
      </c>
      <c r="B535" s="520">
        <f t="shared" si="59"/>
        <v>1.0209999999999999</v>
      </c>
      <c r="C535" s="503"/>
      <c r="D535" s="503"/>
      <c r="E535" s="503"/>
      <c r="F535" s="503"/>
      <c r="G535" s="504"/>
      <c r="H535" s="171">
        <f t="shared" si="57"/>
        <v>2068</v>
      </c>
      <c r="I535" s="523">
        <f t="shared" si="61"/>
        <v>2.4978008297278018</v>
      </c>
      <c r="J535" s="523">
        <f t="shared" si="62"/>
        <v>2.5430171118515221</v>
      </c>
      <c r="K535" s="171"/>
      <c r="L535" s="171"/>
      <c r="M535" s="171"/>
    </row>
    <row r="536" spans="1:16" x14ac:dyDescent="0.2">
      <c r="A536" s="501">
        <f t="shared" si="58"/>
        <v>2069</v>
      </c>
      <c r="B536" s="520">
        <f t="shared" si="59"/>
        <v>1.0209999999999999</v>
      </c>
      <c r="C536" s="503"/>
      <c r="D536" s="503"/>
      <c r="E536" s="503"/>
      <c r="F536" s="503"/>
      <c r="G536" s="504"/>
      <c r="H536" s="171">
        <f t="shared" si="57"/>
        <v>2069</v>
      </c>
      <c r="I536" s="523">
        <f t="shared" si="61"/>
        <v>2.5502546471520855</v>
      </c>
      <c r="J536" s="523">
        <f t="shared" si="62"/>
        <v>2.5964204712004042</v>
      </c>
      <c r="K536" s="171"/>
      <c r="L536" s="171"/>
      <c r="M536" s="171"/>
    </row>
    <row r="537" spans="1:16" x14ac:dyDescent="0.2">
      <c r="A537" s="501">
        <f t="shared" si="58"/>
        <v>2070</v>
      </c>
      <c r="B537" s="520">
        <f t="shared" si="59"/>
        <v>1.0209999999999999</v>
      </c>
      <c r="C537" s="503"/>
      <c r="D537" s="503"/>
      <c r="E537" s="503"/>
      <c r="F537" s="503"/>
      <c r="G537" s="504"/>
      <c r="H537" s="171">
        <f t="shared" si="57"/>
        <v>2070</v>
      </c>
      <c r="I537" s="523">
        <f t="shared" si="61"/>
        <v>2.6038099947422793</v>
      </c>
      <c r="J537" s="523">
        <f t="shared" si="62"/>
        <v>2.6509453010956125</v>
      </c>
      <c r="K537" s="171"/>
      <c r="L537" s="171"/>
      <c r="M537" s="171"/>
    </row>
    <row r="538" spans="1:16" x14ac:dyDescent="0.2">
      <c r="A538" s="501">
        <f t="shared" si="58"/>
        <v>2071</v>
      </c>
      <c r="B538" s="520">
        <f t="shared" si="59"/>
        <v>1.0209999999999999</v>
      </c>
      <c r="C538" s="503"/>
      <c r="D538" s="503"/>
      <c r="E538" s="503"/>
      <c r="F538" s="503"/>
      <c r="G538" s="504"/>
      <c r="H538" s="171">
        <f t="shared" si="57"/>
        <v>2071</v>
      </c>
      <c r="I538" s="523">
        <f t="shared" si="61"/>
        <v>2.6584900046318669</v>
      </c>
      <c r="J538" s="523">
        <f t="shared" si="62"/>
        <v>2.7066151524186202</v>
      </c>
      <c r="K538" s="171"/>
      <c r="L538" s="171"/>
      <c r="M538" s="171"/>
    </row>
    <row r="539" spans="1:16" x14ac:dyDescent="0.2">
      <c r="A539" s="501">
        <f t="shared" si="58"/>
        <v>2072</v>
      </c>
      <c r="B539" s="520">
        <f t="shared" si="59"/>
        <v>1.0209999999999999</v>
      </c>
      <c r="C539" s="503"/>
      <c r="D539" s="503"/>
      <c r="E539" s="503"/>
      <c r="F539" s="503"/>
      <c r="G539" s="504"/>
      <c r="H539" s="171">
        <f t="shared" si="57"/>
        <v>2072</v>
      </c>
      <c r="I539" s="523">
        <f t="shared" si="61"/>
        <v>2.7143182947291358</v>
      </c>
      <c r="J539" s="523">
        <f t="shared" si="62"/>
        <v>2.7634540706194111</v>
      </c>
      <c r="K539" s="171"/>
      <c r="L539" s="171"/>
      <c r="M539" s="171"/>
    </row>
    <row r="540" spans="1:16" x14ac:dyDescent="0.2">
      <c r="A540" s="501">
        <f t="shared" si="58"/>
        <v>2073</v>
      </c>
      <c r="B540" s="520">
        <f t="shared" si="59"/>
        <v>1.0209999999999999</v>
      </c>
      <c r="C540" s="503"/>
      <c r="D540" s="503"/>
      <c r="E540" s="503"/>
      <c r="F540" s="503"/>
      <c r="G540" s="504"/>
      <c r="H540" s="171">
        <f t="shared" si="57"/>
        <v>2073</v>
      </c>
      <c r="I540" s="523">
        <f t="shared" si="61"/>
        <v>2.7713189789184476</v>
      </c>
      <c r="J540" s="523">
        <f t="shared" si="62"/>
        <v>2.8214866061024182</v>
      </c>
      <c r="K540" s="171"/>
      <c r="L540" s="171"/>
      <c r="M540" s="171"/>
    </row>
    <row r="541" spans="1:16" x14ac:dyDescent="0.2">
      <c r="A541" s="501">
        <f t="shared" si="58"/>
        <v>2074</v>
      </c>
      <c r="B541" s="520">
        <f t="shared" si="59"/>
        <v>1.0209999999999999</v>
      </c>
      <c r="C541" s="503"/>
      <c r="D541" s="503"/>
      <c r="E541" s="503"/>
      <c r="F541" s="503"/>
      <c r="G541" s="504"/>
      <c r="H541" s="171">
        <f t="shared" si="57"/>
        <v>2074</v>
      </c>
      <c r="I541" s="523">
        <f t="shared" si="61"/>
        <v>2.8295166774757345</v>
      </c>
      <c r="J541" s="523">
        <f t="shared" si="62"/>
        <v>2.8807378248305691</v>
      </c>
      <c r="K541" s="171"/>
      <c r="L541" s="171"/>
      <c r="M541" s="171"/>
    </row>
    <row r="542" spans="1:16" x14ac:dyDescent="0.2">
      <c r="A542" s="501">
        <f t="shared" si="58"/>
        <v>2075</v>
      </c>
      <c r="B542" s="520">
        <f t="shared" si="59"/>
        <v>1.0209999999999999</v>
      </c>
      <c r="C542" s="503"/>
      <c r="D542" s="503"/>
      <c r="E542" s="503"/>
      <c r="F542" s="503"/>
      <c r="G542" s="504"/>
      <c r="H542" s="171">
        <f t="shared" si="57"/>
        <v>2075</v>
      </c>
      <c r="I542" s="523">
        <f t="shared" si="61"/>
        <v>2.8889365277027248</v>
      </c>
      <c r="J542" s="523">
        <f t="shared" si="62"/>
        <v>2.9412333191520106</v>
      </c>
      <c r="K542" s="171"/>
      <c r="L542" s="171"/>
      <c r="M542" s="171"/>
    </row>
    <row r="543" spans="1:16" x14ac:dyDescent="0.2">
      <c r="A543" s="501">
        <f t="shared" si="58"/>
        <v>2076</v>
      </c>
      <c r="B543" s="520">
        <f t="shared" si="59"/>
        <v>1.0209999999999999</v>
      </c>
      <c r="C543" s="503"/>
      <c r="D543" s="503"/>
      <c r="E543" s="503"/>
      <c r="F543" s="503"/>
      <c r="G543" s="504"/>
      <c r="H543" s="171">
        <f t="shared" si="57"/>
        <v>2076</v>
      </c>
      <c r="I543" s="523">
        <f t="shared" si="61"/>
        <v>2.9496041947844818</v>
      </c>
      <c r="J543" s="523">
        <f t="shared" si="62"/>
        <v>3.0029992188542023</v>
      </c>
      <c r="K543" s="171"/>
      <c r="L543" s="171"/>
      <c r="M543" s="171"/>
    </row>
    <row r="544" spans="1:16" x14ac:dyDescent="0.2">
      <c r="A544" s="501">
        <f t="shared" si="58"/>
        <v>2077</v>
      </c>
      <c r="B544" s="520">
        <f t="shared" si="59"/>
        <v>1.0209999999999999</v>
      </c>
      <c r="C544" s="503"/>
      <c r="D544" s="503"/>
      <c r="E544" s="503"/>
      <c r="F544" s="503"/>
      <c r="G544" s="504"/>
      <c r="H544" s="171">
        <f t="shared" si="57"/>
        <v>2077</v>
      </c>
      <c r="I544" s="523">
        <f t="shared" si="61"/>
        <v>3.0115458828749557</v>
      </c>
      <c r="J544" s="523">
        <f t="shared" si="62"/>
        <v>3.0660622024501403</v>
      </c>
      <c r="K544" s="171"/>
      <c r="L544" s="171"/>
      <c r="M544" s="171"/>
    </row>
    <row r="545" spans="1:23" x14ac:dyDescent="0.2">
      <c r="A545" s="501">
        <f t="shared" si="58"/>
        <v>2078</v>
      </c>
      <c r="B545" s="520">
        <f t="shared" si="59"/>
        <v>1.0209999999999999</v>
      </c>
      <c r="C545" s="503"/>
      <c r="D545" s="503"/>
      <c r="E545" s="503"/>
      <c r="F545" s="503"/>
      <c r="G545" s="504"/>
      <c r="H545" s="171">
        <f t="shared" si="57"/>
        <v>2078</v>
      </c>
      <c r="I545" s="523">
        <f t="shared" si="61"/>
        <v>3.0747883464153296</v>
      </c>
      <c r="J545" s="523">
        <f t="shared" si="62"/>
        <v>3.1304495087015933</v>
      </c>
      <c r="K545" s="171"/>
      <c r="L545" s="171"/>
      <c r="M545" s="171"/>
    </row>
    <row r="546" spans="1:23" x14ac:dyDescent="0.2">
      <c r="A546" s="501">
        <f t="shared" si="58"/>
        <v>2079</v>
      </c>
      <c r="B546" s="520">
        <f t="shared" si="59"/>
        <v>1.0209999999999999</v>
      </c>
      <c r="C546" s="503"/>
      <c r="D546" s="503"/>
      <c r="E546" s="503"/>
      <c r="F546" s="503"/>
      <c r="G546" s="504"/>
      <c r="H546" s="171">
        <f t="shared" si="57"/>
        <v>2079</v>
      </c>
      <c r="I546" s="523">
        <f t="shared" si="61"/>
        <v>3.1393589016900512</v>
      </c>
      <c r="J546" s="523">
        <f t="shared" si="62"/>
        <v>3.1961889483843264</v>
      </c>
      <c r="K546" s="171"/>
      <c r="L546" s="171"/>
      <c r="M546" s="171"/>
    </row>
    <row r="547" spans="1:23" x14ac:dyDescent="0.2">
      <c r="A547" s="501">
        <f t="shared" si="58"/>
        <v>2080</v>
      </c>
      <c r="B547" s="520">
        <f t="shared" si="59"/>
        <v>1.0209999999999999</v>
      </c>
      <c r="C547" s="503"/>
      <c r="D547" s="503"/>
      <c r="E547" s="503"/>
      <c r="F547" s="503"/>
      <c r="G547" s="504"/>
      <c r="H547" s="171">
        <f t="shared" si="57"/>
        <v>2080</v>
      </c>
      <c r="I547" s="523">
        <f t="shared" si="61"/>
        <v>3.205285438625542</v>
      </c>
      <c r="J547" s="523">
        <f t="shared" si="62"/>
        <v>3.2633089163003972</v>
      </c>
      <c r="K547" s="171"/>
      <c r="L547" s="171"/>
      <c r="M547" s="171"/>
    </row>
    <row r="548" spans="1:23" x14ac:dyDescent="0.2">
      <c r="A548" s="501">
        <f t="shared" si="58"/>
        <v>2081</v>
      </c>
      <c r="B548" s="520">
        <f t="shared" si="59"/>
        <v>1.0209999999999999</v>
      </c>
      <c r="C548" s="503"/>
      <c r="D548" s="503"/>
      <c r="E548" s="503"/>
      <c r="F548" s="503"/>
      <c r="G548" s="504"/>
      <c r="H548" s="171">
        <f t="shared" ref="H548:H556" si="63">+A548</f>
        <v>2081</v>
      </c>
      <c r="I548" s="523">
        <f t="shared" si="61"/>
        <v>3.2725964328366781</v>
      </c>
      <c r="J548" s="523" t="s">
        <v>415</v>
      </c>
      <c r="K548" s="171"/>
      <c r="L548" s="171"/>
      <c r="M548" s="171"/>
    </row>
    <row r="549" spans="1:23" x14ac:dyDescent="0.2">
      <c r="A549" s="501">
        <f t="shared" ref="A549:A556" si="64">+A75</f>
        <v>2082</v>
      </c>
      <c r="B549" s="520">
        <f t="shared" ref="B549:B556" si="65">B75</f>
        <v>1.0209999999999999</v>
      </c>
      <c r="C549" s="503"/>
      <c r="D549" s="503"/>
      <c r="E549" s="503"/>
      <c r="F549" s="503"/>
      <c r="G549" s="504"/>
      <c r="H549" s="171">
        <f t="shared" si="63"/>
        <v>2082</v>
      </c>
      <c r="I549" s="523">
        <f t="shared" si="61"/>
        <v>3.3413209579262482</v>
      </c>
      <c r="J549" s="523" t="s">
        <v>415</v>
      </c>
      <c r="K549" s="171"/>
      <c r="L549" s="171"/>
      <c r="M549" s="171"/>
    </row>
    <row r="550" spans="1:23" x14ac:dyDescent="0.2">
      <c r="A550" s="501">
        <f t="shared" si="64"/>
        <v>2083</v>
      </c>
      <c r="B550" s="520">
        <f t="shared" si="65"/>
        <v>1.0209999999999999</v>
      </c>
      <c r="C550" s="503"/>
      <c r="D550" s="503"/>
      <c r="E550" s="503"/>
      <c r="F550" s="503"/>
      <c r="G550" s="504"/>
      <c r="H550" s="171">
        <f t="shared" si="63"/>
        <v>2083</v>
      </c>
      <c r="I550" s="523">
        <f t="shared" si="61"/>
        <v>3.4114886980426991</v>
      </c>
      <c r="J550" s="523" t="s">
        <v>415</v>
      </c>
      <c r="K550" s="171"/>
      <c r="L550" s="171"/>
      <c r="M550" s="171"/>
    </row>
    <row r="551" spans="1:23" x14ac:dyDescent="0.2">
      <c r="A551" s="501">
        <f t="shared" si="64"/>
        <v>2084</v>
      </c>
      <c r="B551" s="520">
        <f t="shared" si="65"/>
        <v>1.0209999999999999</v>
      </c>
      <c r="C551" s="503"/>
      <c r="D551" s="503"/>
      <c r="E551" s="503"/>
      <c r="F551" s="503"/>
      <c r="G551" s="504"/>
      <c r="H551" s="171">
        <f t="shared" si="63"/>
        <v>2084</v>
      </c>
      <c r="I551" s="523">
        <f t="shared" si="61"/>
        <v>3.4831299607015955</v>
      </c>
      <c r="J551" s="523" t="s">
        <v>415</v>
      </c>
      <c r="K551" s="171"/>
      <c r="L551" s="171"/>
      <c r="M551" s="171"/>
    </row>
    <row r="552" spans="1:23" x14ac:dyDescent="0.2">
      <c r="A552" s="501">
        <f t="shared" si="64"/>
        <v>2085</v>
      </c>
      <c r="B552" s="520">
        <f t="shared" si="65"/>
        <v>1.0209999999999999</v>
      </c>
      <c r="C552" s="503"/>
      <c r="D552" s="503"/>
      <c r="E552" s="503"/>
      <c r="F552" s="503"/>
      <c r="G552" s="504"/>
      <c r="H552" s="171">
        <f t="shared" si="63"/>
        <v>2085</v>
      </c>
      <c r="I552" s="523">
        <f t="shared" si="61"/>
        <v>3.5562756898763288</v>
      </c>
      <c r="J552" s="523" t="s">
        <v>415</v>
      </c>
      <c r="K552" s="171"/>
      <c r="L552" s="171"/>
      <c r="M552" s="171"/>
    </row>
    <row r="553" spans="1:23" x14ac:dyDescent="0.2">
      <c r="A553" s="501">
        <f t="shared" si="64"/>
        <v>2086</v>
      </c>
      <c r="B553" s="520">
        <f t="shared" si="65"/>
        <v>1.0209999999999999</v>
      </c>
      <c r="C553" s="503"/>
      <c r="D553" s="503"/>
      <c r="E553" s="503"/>
      <c r="F553" s="503"/>
      <c r="G553" s="504"/>
      <c r="H553" s="171">
        <f t="shared" si="63"/>
        <v>2086</v>
      </c>
      <c r="I553" s="523">
        <f t="shared" si="61"/>
        <v>3.6309574793637314</v>
      </c>
      <c r="J553" s="523" t="s">
        <v>415</v>
      </c>
      <c r="K553" s="171"/>
      <c r="L553" s="171"/>
      <c r="M553" s="171"/>
    </row>
    <row r="554" spans="1:23" x14ac:dyDescent="0.2">
      <c r="A554" s="501">
        <f t="shared" si="64"/>
        <v>2087</v>
      </c>
      <c r="B554" s="520">
        <f t="shared" si="65"/>
        <v>1.0209999999999999</v>
      </c>
      <c r="C554" s="503"/>
      <c r="D554" s="503"/>
      <c r="E554" s="503"/>
      <c r="F554" s="503"/>
      <c r="G554" s="504"/>
      <c r="H554" s="171">
        <f t="shared" si="63"/>
        <v>2087</v>
      </c>
      <c r="I554" s="523">
        <f t="shared" si="61"/>
        <v>3.7072075864303695</v>
      </c>
      <c r="J554" s="523" t="s">
        <v>415</v>
      </c>
      <c r="K554" s="171"/>
      <c r="L554" s="171"/>
      <c r="M554" s="171"/>
    </row>
    <row r="555" spans="1:23" x14ac:dyDescent="0.2">
      <c r="A555" s="501">
        <f t="shared" si="64"/>
        <v>2088</v>
      </c>
      <c r="B555" s="520">
        <f t="shared" si="65"/>
        <v>1.0209999999999999</v>
      </c>
      <c r="C555" s="503"/>
      <c r="D555" s="503"/>
      <c r="E555" s="503"/>
      <c r="F555" s="503"/>
      <c r="G555" s="504"/>
      <c r="H555" s="171">
        <f t="shared" si="63"/>
        <v>2088</v>
      </c>
      <c r="I555" s="523">
        <f t="shared" si="61"/>
        <v>3.7850589457454071</v>
      </c>
      <c r="J555" s="523" t="s">
        <v>415</v>
      </c>
      <c r="K555" s="171"/>
      <c r="L555" s="171"/>
      <c r="M555" s="171"/>
    </row>
    <row r="556" spans="1:23" x14ac:dyDescent="0.2">
      <c r="A556" s="501">
        <f t="shared" si="64"/>
        <v>2089</v>
      </c>
      <c r="B556" s="520">
        <f t="shared" si="65"/>
        <v>1.0209999999999999</v>
      </c>
      <c r="C556" s="503"/>
      <c r="D556" s="503"/>
      <c r="E556" s="503"/>
      <c r="F556" s="503"/>
      <c r="G556" s="504"/>
      <c r="H556" s="171">
        <f t="shared" si="63"/>
        <v>2089</v>
      </c>
      <c r="I556" s="523">
        <f t="shared" si="61"/>
        <v>3.8645451836060603</v>
      </c>
      <c r="J556" s="523" t="s">
        <v>415</v>
      </c>
      <c r="K556" s="171"/>
      <c r="L556" s="171"/>
      <c r="M556" s="171"/>
    </row>
    <row r="557" spans="1:23" ht="12" x14ac:dyDescent="0.25">
      <c r="A557" s="536"/>
      <c r="B557" s="531"/>
      <c r="C557" s="531"/>
      <c r="D557" s="531"/>
      <c r="E557" s="531"/>
      <c r="F557" s="531"/>
      <c r="G557" s="537" t="s">
        <v>417</v>
      </c>
      <c r="H557" s="504"/>
      <c r="I557" s="504"/>
      <c r="J557" s="532"/>
      <c r="K557" s="504"/>
      <c r="L557" s="532"/>
      <c r="M557" s="532"/>
    </row>
    <row r="558" spans="1:23" x14ac:dyDescent="0.2">
      <c r="A558" s="501" t="s">
        <v>377</v>
      </c>
      <c r="B558" s="502">
        <f>B5</f>
        <v>45348</v>
      </c>
      <c r="C558" s="503"/>
      <c r="D558" s="503"/>
      <c r="E558" s="503"/>
      <c r="F558" s="503"/>
      <c r="G558" s="504"/>
      <c r="H558" s="505"/>
      <c r="I558" s="505"/>
      <c r="J558" s="505"/>
      <c r="K558" s="505"/>
      <c r="L558" s="505"/>
      <c r="M558" s="505"/>
      <c r="N558" s="533"/>
      <c r="O558" s="533"/>
      <c r="P558" s="533"/>
      <c r="Q558" s="533"/>
      <c r="R558" s="534"/>
      <c r="S558" s="533"/>
      <c r="T558" s="533"/>
      <c r="U558" s="533"/>
      <c r="V558" s="533"/>
      <c r="W558" s="535"/>
    </row>
    <row r="559" spans="1:23" ht="12" thickBot="1" x14ac:dyDescent="0.25">
      <c r="A559" s="503"/>
      <c r="B559" s="503"/>
      <c r="C559" s="503"/>
      <c r="D559" s="503"/>
      <c r="E559" s="503"/>
      <c r="F559" s="503"/>
      <c r="G559" s="504"/>
      <c r="H559" s="505" t="s">
        <v>378</v>
      </c>
      <c r="I559" s="505"/>
      <c r="J559" s="505"/>
      <c r="K559" s="505"/>
      <c r="L559" s="505"/>
      <c r="M559" s="505"/>
    </row>
    <row r="560" spans="1:23" ht="13.2" thickBot="1" x14ac:dyDescent="0.3">
      <c r="A560" s="508"/>
      <c r="B560" s="508" t="s">
        <v>380</v>
      </c>
      <c r="C560" s="508" t="s">
        <v>296</v>
      </c>
      <c r="D560" s="508" t="s">
        <v>296</v>
      </c>
      <c r="E560" s="508" t="s">
        <v>296</v>
      </c>
      <c r="F560" s="508" t="s">
        <v>296</v>
      </c>
      <c r="G560" s="504"/>
      <c r="H560" s="509">
        <f>IF(K568="&lt;Base Year",H568,IF(K569="&lt;Base Year",H569,IF(K570="&lt;Base Year",H570,IF(K571="&lt;Base Year",H571,"None"))))</f>
        <v>2024</v>
      </c>
      <c r="I560" s="510" t="s">
        <v>381</v>
      </c>
      <c r="J560" s="511"/>
      <c r="K560" s="171"/>
      <c r="L560" s="171"/>
      <c r="M560" s="171"/>
    </row>
    <row r="561" spans="1:13" x14ac:dyDescent="0.2">
      <c r="A561" s="515" t="s">
        <v>383</v>
      </c>
      <c r="B561" s="515" t="s">
        <v>384</v>
      </c>
      <c r="C561" s="515">
        <f>+C8</f>
        <v>2022</v>
      </c>
      <c r="D561" s="515">
        <f t="shared" ref="D561:F561" si="66">+D8</f>
        <v>2023</v>
      </c>
      <c r="E561" s="515">
        <f t="shared" si="66"/>
        <v>2024</v>
      </c>
      <c r="F561" s="515">
        <f t="shared" si="66"/>
        <v>2025</v>
      </c>
      <c r="G561" s="504"/>
      <c r="H561" s="509">
        <f>IF(K568="&lt;Base Year",1,IF(K569="&lt;Base Year",2,IF(K570="&lt;Base Year",3,IF(K571="&lt;Base Year",4,5))))</f>
        <v>3</v>
      </c>
      <c r="I561" s="516" t="s">
        <v>1072</v>
      </c>
      <c r="J561" s="516" t="s">
        <v>1071</v>
      </c>
      <c r="K561" s="171"/>
      <c r="L561" s="171"/>
      <c r="M561" s="171"/>
    </row>
    <row r="562" spans="1:13" ht="12" thickBot="1" x14ac:dyDescent="0.25">
      <c r="A562" s="518" t="s">
        <v>386</v>
      </c>
      <c r="B562" s="518" t="s">
        <v>387</v>
      </c>
      <c r="C562" s="518"/>
      <c r="D562" s="518"/>
      <c r="E562" s="518"/>
      <c r="F562" s="518"/>
      <c r="G562" s="504"/>
      <c r="H562" s="171">
        <v>0</v>
      </c>
      <c r="I562" s="519" t="s">
        <v>123</v>
      </c>
      <c r="J562" s="519" t="s">
        <v>123</v>
      </c>
      <c r="K562" s="171"/>
      <c r="L562" s="171"/>
      <c r="M562" s="171"/>
    </row>
    <row r="563" spans="1:13" x14ac:dyDescent="0.2">
      <c r="A563" s="501">
        <f>+A10</f>
        <v>2017</v>
      </c>
      <c r="B563" s="520">
        <f>B10</f>
        <v>1.0169999999999999</v>
      </c>
      <c r="C563" s="521">
        <v>0.92380566423032107</v>
      </c>
      <c r="D563" s="521">
        <v>0.88317941131005828</v>
      </c>
      <c r="E563" s="521">
        <v>0.8599604783934357</v>
      </c>
      <c r="F563" s="521">
        <v>0.84144860899553409</v>
      </c>
      <c r="G563" s="522" t="s">
        <v>389</v>
      </c>
      <c r="H563" s="171">
        <f>+A563</f>
        <v>2017</v>
      </c>
      <c r="I563" s="523">
        <f>+I564/B564</f>
        <v>0.80062099798634889</v>
      </c>
      <c r="J563" s="524">
        <f>CHOOSE(H$561,C563,D563,E563,F563)</f>
        <v>0.8599604783934357</v>
      </c>
      <c r="K563" s="171"/>
      <c r="L563" s="171"/>
      <c r="M563" s="171"/>
    </row>
    <row r="564" spans="1:13" x14ac:dyDescent="0.2">
      <c r="A564" s="501">
        <f t="shared" ref="A564:A627" si="67">+A11</f>
        <v>2018</v>
      </c>
      <c r="B564" s="520">
        <f t="shared" ref="B564:B627" si="68">B11</f>
        <v>1.022</v>
      </c>
      <c r="C564" s="521">
        <v>0.94969083336370153</v>
      </c>
      <c r="D564" s="521">
        <v>0.90792622692514491</v>
      </c>
      <c r="E564" s="521">
        <v>0.88405669612964466</v>
      </c>
      <c r="F564" s="521">
        <v>0.86502612145757796</v>
      </c>
      <c r="G564" s="525" t="s">
        <v>391</v>
      </c>
      <c r="H564" s="171">
        <f t="shared" ref="H564:H627" si="69">+A564</f>
        <v>2018</v>
      </c>
      <c r="I564" s="523">
        <f>+I565/B565</f>
        <v>0.81823465994204858</v>
      </c>
      <c r="J564" s="524">
        <f>CHOOSE(H$561,C564,D564,E564,F564)</f>
        <v>0.88405669612964466</v>
      </c>
      <c r="K564" s="171"/>
      <c r="L564" s="171"/>
      <c r="M564" s="171"/>
    </row>
    <row r="565" spans="1:13" x14ac:dyDescent="0.2">
      <c r="A565" s="501">
        <f t="shared" si="67"/>
        <v>2019</v>
      </c>
      <c r="B565" s="520">
        <f t="shared" si="68"/>
        <v>1.0189999999999999</v>
      </c>
      <c r="C565" s="521">
        <v>0.97994399686370093</v>
      </c>
      <c r="D565" s="521">
        <v>0.93684894537638708</v>
      </c>
      <c r="E565" s="521">
        <v>0.91221903152520656</v>
      </c>
      <c r="F565" s="521">
        <v>0.89258222262740383</v>
      </c>
      <c r="G565" s="525" t="s">
        <v>393</v>
      </c>
      <c r="H565" s="171">
        <f t="shared" si="69"/>
        <v>2019</v>
      </c>
      <c r="I565" s="523">
        <f>+I566/B566</f>
        <v>0.83378111848094738</v>
      </c>
      <c r="J565" s="524">
        <f>CHOOSE(H$561,C565,D565,E565,F565)</f>
        <v>0.91221903152520656</v>
      </c>
      <c r="K565" s="171"/>
      <c r="L565" s="171"/>
      <c r="M565" s="171"/>
    </row>
    <row r="566" spans="1:13" x14ac:dyDescent="0.2">
      <c r="A566" s="501">
        <f t="shared" si="67"/>
        <v>2020</v>
      </c>
      <c r="B566" s="520">
        <f t="shared" si="68"/>
        <v>1.0129999999999999</v>
      </c>
      <c r="C566" s="521">
        <v>1.027838481853808</v>
      </c>
      <c r="D566" s="521">
        <v>0.98263717194436695</v>
      </c>
      <c r="E566" s="521">
        <v>0.95680347803735843</v>
      </c>
      <c r="F566" s="521">
        <v>0.93620692567256214</v>
      </c>
      <c r="G566" s="522" t="s">
        <v>395</v>
      </c>
      <c r="H566" s="171">
        <f t="shared" si="69"/>
        <v>2020</v>
      </c>
      <c r="I566" s="523">
        <f>+I567/B567</f>
        <v>0.84462027302119957</v>
      </c>
      <c r="J566" s="524">
        <f>CHOOSE(H$561,C566,D566,E566,F566)</f>
        <v>0.95680347803735843</v>
      </c>
      <c r="K566" s="171"/>
      <c r="L566" s="171"/>
      <c r="M566" s="171"/>
    </row>
    <row r="567" spans="1:13" x14ac:dyDescent="0.2">
      <c r="A567" s="501">
        <f t="shared" si="67"/>
        <v>2021</v>
      </c>
      <c r="B567" s="520">
        <f t="shared" si="68"/>
        <v>1.0309999999999999</v>
      </c>
      <c r="C567" s="521">
        <v>1.0714815107936426</v>
      </c>
      <c r="D567" s="521">
        <v>1.0243609089805377</v>
      </c>
      <c r="E567" s="521">
        <v>0.99743029112029014</v>
      </c>
      <c r="F567" s="521">
        <v>0.97595918896310196</v>
      </c>
      <c r="G567" s="525" t="s">
        <v>397</v>
      </c>
      <c r="H567" s="171">
        <f t="shared" si="69"/>
        <v>2021</v>
      </c>
      <c r="I567" s="523">
        <f>+I568/B568</f>
        <v>0.87080350148485675</v>
      </c>
      <c r="J567" s="524">
        <f>CHOOSE(H$561,C567,D567,E567,F567)</f>
        <v>0.99743029112029014</v>
      </c>
      <c r="K567" s="171"/>
      <c r="L567" s="171"/>
      <c r="M567" s="171"/>
    </row>
    <row r="568" spans="1:13" x14ac:dyDescent="0.2">
      <c r="A568" s="501">
        <f t="shared" si="67"/>
        <v>2022</v>
      </c>
      <c r="B568" s="520">
        <f t="shared" si="68"/>
        <v>1.069</v>
      </c>
      <c r="C568" s="521">
        <v>1.1019187540141264</v>
      </c>
      <c r="D568" s="521">
        <v>1.0534596118681896</v>
      </c>
      <c r="E568" s="521">
        <v>1.0257639842922979</v>
      </c>
      <c r="F568" s="521">
        <v>1.0036829591901153</v>
      </c>
      <c r="G568" s="526" t="s">
        <v>399</v>
      </c>
      <c r="H568" s="171">
        <f t="shared" si="69"/>
        <v>2022</v>
      </c>
      <c r="I568" s="527">
        <f>IF(Sheet1!$E$82&lt;=A568,1,I569/B569)</f>
        <v>0.93088894308731185</v>
      </c>
      <c r="J568" s="528">
        <f>IF(I568&gt;=1,1/((C$701/I568)+(D$701/I569)+(E$701/I570)+(F$701/I571)+(G$701/I572)+(H$701/I573)+(I$701/I574)+(J$701/I575)+(K$701/I576)+(L$701/I577)),CHOOSE(H$561,C568,D568,E568,F568))</f>
        <v>1.0257639842922979</v>
      </c>
      <c r="K568" s="171" t="str">
        <f>IF(I568=1,"&lt;Base Year","")</f>
        <v/>
      </c>
      <c r="L568" s="171"/>
      <c r="M568" s="171"/>
    </row>
    <row r="569" spans="1:13" x14ac:dyDescent="0.2">
      <c r="A569" s="501">
        <f t="shared" si="67"/>
        <v>2023</v>
      </c>
      <c r="B569" s="520">
        <f t="shared" si="68"/>
        <v>1.046</v>
      </c>
      <c r="C569" s="521">
        <v>1.1266713085377038</v>
      </c>
      <c r="D569" s="521">
        <v>1.077123621928971</v>
      </c>
      <c r="E569" s="521">
        <v>1.0488058636114619</v>
      </c>
      <c r="F569" s="521">
        <v>1.0262288293654225</v>
      </c>
      <c r="G569" s="526" t="s">
        <v>401</v>
      </c>
      <c r="H569" s="171">
        <f t="shared" si="69"/>
        <v>2023</v>
      </c>
      <c r="I569" s="527">
        <f>IF(Sheet1!$E$82&lt;A569,I568*B569,IF(Sheet1!$E$82=A569,1,I570/B570))</f>
        <v>0.97370983446932824</v>
      </c>
      <c r="J569" s="528">
        <f t="shared" ref="J569:J626" si="70">IF(I569&gt;=1,1/((C$701/I569)+(D$701/I570)+(E$701/I571)+(F$701/I572)+(G$701/I573)+(H$701/I574)+(I$701/I575)+(J$701/I576)+(K$701/I577)+(L$701/I578)),CHOOSE(H$561,C569,D569,E569,F569))</f>
        <v>1.0488058636114619</v>
      </c>
      <c r="K569" s="171" t="str">
        <f>IF(I569=1,"&lt;Base Year","")</f>
        <v/>
      </c>
      <c r="L569" s="171"/>
      <c r="M569" s="171"/>
    </row>
    <row r="570" spans="1:13" x14ac:dyDescent="0.2">
      <c r="A570" s="501">
        <f t="shared" si="67"/>
        <v>2024</v>
      </c>
      <c r="B570" s="520">
        <f t="shared" si="68"/>
        <v>1.0269999999999999</v>
      </c>
      <c r="C570" s="521">
        <v>1.1506887845150955</v>
      </c>
      <c r="D570" s="521">
        <v>1.1000848800335519</v>
      </c>
      <c r="E570" s="521">
        <v>1.0711634664396807</v>
      </c>
      <c r="F570" s="521">
        <v>1.0481051530720946</v>
      </c>
      <c r="G570" s="526" t="s">
        <v>403</v>
      </c>
      <c r="H570" s="171">
        <f t="shared" si="69"/>
        <v>2024</v>
      </c>
      <c r="I570" s="527">
        <f>IF(Sheet1!$E$82&lt;A570,I569*B570,IF(Sheet1!$E$82=A570,1,I571/B571))</f>
        <v>1</v>
      </c>
      <c r="J570" s="528">
        <f t="shared" si="70"/>
        <v>1.0711634664396812</v>
      </c>
      <c r="K570" s="171" t="str">
        <f>IF(I570=1,"&lt;Base Year","")</f>
        <v>&lt;Base Year</v>
      </c>
      <c r="L570" s="171"/>
      <c r="M570" s="171"/>
    </row>
    <row r="571" spans="1:13" x14ac:dyDescent="0.2">
      <c r="A571" s="501">
        <f t="shared" si="67"/>
        <v>2025</v>
      </c>
      <c r="B571" s="520">
        <f t="shared" si="68"/>
        <v>1.022</v>
      </c>
      <c r="C571" s="521">
        <v>1.1748778769010528</v>
      </c>
      <c r="D571" s="521">
        <v>1.1232102073623829</v>
      </c>
      <c r="E571" s="521">
        <v>1.093680825085086</v>
      </c>
      <c r="F571" s="521">
        <v>1.0701377936253287</v>
      </c>
      <c r="G571" s="526" t="s">
        <v>405</v>
      </c>
      <c r="H571" s="171">
        <f t="shared" si="69"/>
        <v>2025</v>
      </c>
      <c r="I571" s="527">
        <f>IF(Sheet1!$E$82&lt;A571,I570*B571,IF(Sheet1!$E$82=A571,1,1))</f>
        <v>1.022</v>
      </c>
      <c r="J571" s="528">
        <f t="shared" si="70"/>
        <v>1.0936808250850862</v>
      </c>
      <c r="K571" s="171" t="str">
        <f>IF(I571=1,"&lt;Base Year","")</f>
        <v/>
      </c>
      <c r="L571" s="171"/>
      <c r="M571" s="171"/>
    </row>
    <row r="572" spans="1:13" x14ac:dyDescent="0.2">
      <c r="A572" s="501">
        <f t="shared" si="67"/>
        <v>2026</v>
      </c>
      <c r="B572" s="520">
        <f t="shared" si="68"/>
        <v>1.0209999999999999</v>
      </c>
      <c r="C572" s="503"/>
      <c r="D572" s="503"/>
      <c r="E572" s="503"/>
      <c r="F572" s="503"/>
      <c r="G572" s="504"/>
      <c r="H572" s="171">
        <f t="shared" si="69"/>
        <v>2026</v>
      </c>
      <c r="I572" s="523">
        <f t="shared" ref="I572:I616" si="71">+I571*B572</f>
        <v>1.0434619999999999</v>
      </c>
      <c r="J572" s="523">
        <f t="shared" si="70"/>
        <v>1.1166481224118727</v>
      </c>
      <c r="K572" s="171"/>
      <c r="L572" s="171"/>
      <c r="M572" s="171"/>
    </row>
    <row r="573" spans="1:13" x14ac:dyDescent="0.2">
      <c r="A573" s="501">
        <f t="shared" si="67"/>
        <v>2027</v>
      </c>
      <c r="B573" s="520">
        <f t="shared" si="68"/>
        <v>1.0209999999999999</v>
      </c>
      <c r="C573" s="503"/>
      <c r="D573" s="503"/>
      <c r="E573" s="503"/>
      <c r="F573" s="503"/>
      <c r="G573" s="504"/>
      <c r="H573" s="171">
        <f t="shared" si="69"/>
        <v>2027</v>
      </c>
      <c r="I573" s="523">
        <f t="shared" si="71"/>
        <v>1.0653747019999997</v>
      </c>
      <c r="J573" s="523">
        <f t="shared" si="70"/>
        <v>1.1400977329825219</v>
      </c>
      <c r="K573" s="171"/>
      <c r="L573" s="171"/>
      <c r="M573" s="171"/>
    </row>
    <row r="574" spans="1:13" x14ac:dyDescent="0.2">
      <c r="A574" s="501">
        <f t="shared" si="67"/>
        <v>2028</v>
      </c>
      <c r="B574" s="520">
        <f t="shared" si="68"/>
        <v>1.0209999999999999</v>
      </c>
      <c r="C574" s="503"/>
      <c r="D574" s="503"/>
      <c r="E574" s="503"/>
      <c r="F574" s="503"/>
      <c r="G574" s="504"/>
      <c r="H574" s="171">
        <f t="shared" si="69"/>
        <v>2028</v>
      </c>
      <c r="I574" s="523">
        <f t="shared" si="71"/>
        <v>1.0877475707419997</v>
      </c>
      <c r="J574" s="523">
        <f t="shared" si="70"/>
        <v>1.1640397853751547</v>
      </c>
      <c r="K574" s="171"/>
      <c r="L574" s="171"/>
      <c r="M574" s="171"/>
    </row>
    <row r="575" spans="1:13" x14ac:dyDescent="0.2">
      <c r="A575" s="501">
        <f t="shared" si="67"/>
        <v>2029</v>
      </c>
      <c r="B575" s="520">
        <f t="shared" si="68"/>
        <v>1.0209999999999999</v>
      </c>
      <c r="C575" s="503"/>
      <c r="D575" s="503"/>
      <c r="E575" s="503"/>
      <c r="F575" s="503"/>
      <c r="G575" s="504"/>
      <c r="H575" s="171">
        <f t="shared" si="69"/>
        <v>2029</v>
      </c>
      <c r="I575" s="523">
        <f t="shared" si="71"/>
        <v>1.1105902697275816</v>
      </c>
      <c r="J575" s="523">
        <f t="shared" si="70"/>
        <v>1.1884846208680326</v>
      </c>
      <c r="K575" s="171"/>
      <c r="L575" s="171"/>
      <c r="M575" s="171"/>
    </row>
    <row r="576" spans="1:13" x14ac:dyDescent="0.2">
      <c r="A576" s="501">
        <f t="shared" si="67"/>
        <v>2030</v>
      </c>
      <c r="B576" s="520">
        <f t="shared" si="68"/>
        <v>1.0209999999999999</v>
      </c>
      <c r="C576" s="503"/>
      <c r="D576" s="503"/>
      <c r="E576" s="503"/>
      <c r="F576" s="503"/>
      <c r="G576" s="504"/>
      <c r="H576" s="171">
        <f t="shared" si="69"/>
        <v>2030</v>
      </c>
      <c r="I576" s="523">
        <f t="shared" si="71"/>
        <v>1.1339126653918608</v>
      </c>
      <c r="J576" s="523">
        <f t="shared" si="70"/>
        <v>1.2134427979062614</v>
      </c>
      <c r="K576" s="171"/>
      <c r="L576" s="171"/>
      <c r="M576" s="171"/>
    </row>
    <row r="577" spans="1:13" x14ac:dyDescent="0.2">
      <c r="A577" s="501">
        <f t="shared" si="67"/>
        <v>2031</v>
      </c>
      <c r="B577" s="520">
        <f t="shared" si="68"/>
        <v>1.0209999999999999</v>
      </c>
      <c r="C577" s="503"/>
      <c r="D577" s="503"/>
      <c r="E577" s="503"/>
      <c r="F577" s="503"/>
      <c r="G577" s="504"/>
      <c r="H577" s="171">
        <f t="shared" si="69"/>
        <v>2031</v>
      </c>
      <c r="I577" s="523">
        <f t="shared" si="71"/>
        <v>1.1577248313650896</v>
      </c>
      <c r="J577" s="523">
        <f t="shared" si="70"/>
        <v>1.2389250966622931</v>
      </c>
      <c r="K577" s="171"/>
      <c r="L577" s="171"/>
      <c r="M577" s="171"/>
    </row>
    <row r="578" spans="1:13" x14ac:dyDescent="0.2">
      <c r="A578" s="501">
        <f t="shared" si="67"/>
        <v>2032</v>
      </c>
      <c r="B578" s="520">
        <f t="shared" si="68"/>
        <v>1.0209999999999999</v>
      </c>
      <c r="C578" s="503"/>
      <c r="D578" s="503"/>
      <c r="E578" s="503"/>
      <c r="F578" s="503"/>
      <c r="G578" s="504"/>
      <c r="H578" s="171">
        <f t="shared" si="69"/>
        <v>2032</v>
      </c>
      <c r="I578" s="523">
        <f t="shared" si="71"/>
        <v>1.1820370528237565</v>
      </c>
      <c r="J578" s="523">
        <f t="shared" si="70"/>
        <v>1.2649425236922007</v>
      </c>
      <c r="K578" s="171"/>
      <c r="L578" s="171"/>
      <c r="M578" s="171"/>
    </row>
    <row r="579" spans="1:13" x14ac:dyDescent="0.2">
      <c r="A579" s="501">
        <f t="shared" si="67"/>
        <v>2033</v>
      </c>
      <c r="B579" s="520">
        <f t="shared" si="68"/>
        <v>1.0209999999999999</v>
      </c>
      <c r="C579" s="503"/>
      <c r="D579" s="503"/>
      <c r="E579" s="503"/>
      <c r="F579" s="503"/>
      <c r="G579" s="504"/>
      <c r="H579" s="171">
        <f t="shared" si="69"/>
        <v>2033</v>
      </c>
      <c r="I579" s="523">
        <f t="shared" si="71"/>
        <v>1.2068598309330552</v>
      </c>
      <c r="J579" s="523">
        <f t="shared" si="70"/>
        <v>1.2915063166897371</v>
      </c>
      <c r="K579" s="171"/>
      <c r="L579" s="171"/>
      <c r="M579" s="171"/>
    </row>
    <row r="580" spans="1:13" x14ac:dyDescent="0.2">
      <c r="A580" s="501">
        <f t="shared" si="67"/>
        <v>2034</v>
      </c>
      <c r="B580" s="520">
        <f t="shared" si="68"/>
        <v>1.0209999999999999</v>
      </c>
      <c r="C580" s="503"/>
      <c r="D580" s="503"/>
      <c r="E580" s="503"/>
      <c r="F580" s="503"/>
      <c r="G580" s="504"/>
      <c r="H580" s="171">
        <f t="shared" si="69"/>
        <v>2034</v>
      </c>
      <c r="I580" s="523">
        <f t="shared" si="71"/>
        <v>1.2322038873826493</v>
      </c>
      <c r="J580" s="523">
        <f t="shared" si="70"/>
        <v>1.3186279493402218</v>
      </c>
      <c r="K580" s="171"/>
      <c r="L580" s="171"/>
      <c r="M580" s="171"/>
    </row>
    <row r="581" spans="1:13" x14ac:dyDescent="0.2">
      <c r="A581" s="501">
        <f t="shared" si="67"/>
        <v>2035</v>
      </c>
      <c r="B581" s="520">
        <f t="shared" si="68"/>
        <v>1.0209999999999999</v>
      </c>
      <c r="C581" s="503"/>
      <c r="D581" s="503"/>
      <c r="E581" s="503"/>
      <c r="F581" s="503"/>
      <c r="G581" s="504"/>
      <c r="H581" s="171">
        <f t="shared" si="69"/>
        <v>2035</v>
      </c>
      <c r="I581" s="523">
        <f t="shared" si="71"/>
        <v>1.2580801690176848</v>
      </c>
      <c r="J581" s="523">
        <f t="shared" si="70"/>
        <v>1.346319136276366</v>
      </c>
      <c r="K581" s="171"/>
      <c r="L581" s="171"/>
      <c r="M581" s="171"/>
    </row>
    <row r="582" spans="1:13" x14ac:dyDescent="0.2">
      <c r="A582" s="501">
        <f t="shared" si="67"/>
        <v>2036</v>
      </c>
      <c r="B582" s="520">
        <f t="shared" si="68"/>
        <v>1.0209999999999999</v>
      </c>
      <c r="C582" s="503"/>
      <c r="D582" s="503"/>
      <c r="E582" s="503"/>
      <c r="F582" s="503"/>
      <c r="G582" s="504"/>
      <c r="H582" s="171">
        <f t="shared" si="69"/>
        <v>2036</v>
      </c>
      <c r="I582" s="523">
        <f t="shared" si="71"/>
        <v>1.2844998525670561</v>
      </c>
      <c r="J582" s="523">
        <f t="shared" si="70"/>
        <v>1.3745918381381694</v>
      </c>
      <c r="K582" s="171"/>
      <c r="L582" s="171"/>
      <c r="M582" s="171"/>
    </row>
    <row r="583" spans="1:13" x14ac:dyDescent="0.2">
      <c r="A583" s="501">
        <f t="shared" si="67"/>
        <v>2037</v>
      </c>
      <c r="B583" s="520">
        <f t="shared" si="68"/>
        <v>1.0209999999999999</v>
      </c>
      <c r="C583" s="503"/>
      <c r="D583" s="503"/>
      <c r="E583" s="503"/>
      <c r="F583" s="503"/>
      <c r="G583" s="504"/>
      <c r="H583" s="171">
        <f t="shared" si="69"/>
        <v>2037</v>
      </c>
      <c r="I583" s="523">
        <f t="shared" si="71"/>
        <v>1.3114743494709642</v>
      </c>
      <c r="J583" s="523">
        <f t="shared" si="70"/>
        <v>1.4034582667390709</v>
      </c>
      <c r="K583" s="171"/>
      <c r="L583" s="171"/>
      <c r="M583" s="171"/>
    </row>
    <row r="584" spans="1:13" x14ac:dyDescent="0.2">
      <c r="A584" s="501">
        <f t="shared" si="67"/>
        <v>2038</v>
      </c>
      <c r="B584" s="520">
        <f t="shared" si="68"/>
        <v>1.0209999999999999</v>
      </c>
      <c r="C584" s="503"/>
      <c r="D584" s="503"/>
      <c r="E584" s="503"/>
      <c r="F584" s="503"/>
      <c r="G584" s="504"/>
      <c r="H584" s="171">
        <f t="shared" si="69"/>
        <v>2038</v>
      </c>
      <c r="I584" s="523">
        <f t="shared" si="71"/>
        <v>1.3390153108098544</v>
      </c>
      <c r="J584" s="523">
        <f t="shared" si="70"/>
        <v>1.4329308903405915</v>
      </c>
      <c r="K584" s="171"/>
      <c r="L584" s="171"/>
      <c r="M584" s="171"/>
    </row>
    <row r="585" spans="1:13" x14ac:dyDescent="0.2">
      <c r="A585" s="501">
        <f t="shared" si="67"/>
        <v>2039</v>
      </c>
      <c r="B585" s="520">
        <f t="shared" si="68"/>
        <v>1.0209999999999999</v>
      </c>
      <c r="C585" s="503"/>
      <c r="D585" s="503"/>
      <c r="E585" s="503"/>
      <c r="F585" s="503"/>
      <c r="G585" s="504"/>
      <c r="H585" s="171">
        <f t="shared" si="69"/>
        <v>2039</v>
      </c>
      <c r="I585" s="523">
        <f t="shared" si="71"/>
        <v>1.3671346323368612</v>
      </c>
      <c r="J585" s="523">
        <f t="shared" si="70"/>
        <v>1.4630224390377435</v>
      </c>
      <c r="K585" s="171"/>
      <c r="L585" s="171"/>
      <c r="M585" s="171"/>
    </row>
    <row r="586" spans="1:13" x14ac:dyDescent="0.2">
      <c r="A586" s="501">
        <f t="shared" si="67"/>
        <v>2040</v>
      </c>
      <c r="B586" s="520">
        <f t="shared" si="68"/>
        <v>1.0209999999999999</v>
      </c>
      <c r="C586" s="503"/>
      <c r="D586" s="503"/>
      <c r="E586" s="503"/>
      <c r="F586" s="503"/>
      <c r="G586" s="504"/>
      <c r="H586" s="171">
        <f t="shared" si="69"/>
        <v>2040</v>
      </c>
      <c r="I586" s="523">
        <f t="shared" si="71"/>
        <v>1.3958444596159352</v>
      </c>
      <c r="J586" s="523">
        <f t="shared" si="70"/>
        <v>1.4937459102575361</v>
      </c>
      <c r="K586" s="171"/>
      <c r="L586" s="171"/>
      <c r="M586" s="171"/>
    </row>
    <row r="587" spans="1:13" x14ac:dyDescent="0.2">
      <c r="A587" s="501">
        <f t="shared" si="67"/>
        <v>2041</v>
      </c>
      <c r="B587" s="520">
        <f t="shared" si="68"/>
        <v>1.0209999999999999</v>
      </c>
      <c r="C587" s="503"/>
      <c r="D587" s="503"/>
      <c r="E587" s="503"/>
      <c r="F587" s="503"/>
      <c r="G587" s="504"/>
      <c r="H587" s="171">
        <f t="shared" si="69"/>
        <v>2041</v>
      </c>
      <c r="I587" s="523">
        <f t="shared" si="71"/>
        <v>1.4251571932678697</v>
      </c>
      <c r="J587" s="523">
        <f t="shared" si="70"/>
        <v>1.5251145743729448</v>
      </c>
      <c r="K587" s="171"/>
      <c r="L587" s="171"/>
      <c r="M587" s="171"/>
    </row>
    <row r="588" spans="1:13" x14ac:dyDescent="0.2">
      <c r="A588" s="501">
        <f t="shared" si="67"/>
        <v>2042</v>
      </c>
      <c r="B588" s="520">
        <f t="shared" si="68"/>
        <v>1.0209999999999999</v>
      </c>
      <c r="C588" s="503"/>
      <c r="D588" s="503"/>
      <c r="E588" s="503"/>
      <c r="F588" s="503"/>
      <c r="G588" s="504"/>
      <c r="H588" s="171">
        <f t="shared" si="69"/>
        <v>2042</v>
      </c>
      <c r="I588" s="523">
        <f t="shared" si="71"/>
        <v>1.4550854943264948</v>
      </c>
      <c r="J588" s="523">
        <f t="shared" si="70"/>
        <v>1.5571419804347761</v>
      </c>
      <c r="K588" s="171"/>
      <c r="L588" s="171"/>
      <c r="M588" s="171"/>
    </row>
    <row r="589" spans="1:13" x14ac:dyDescent="0.2">
      <c r="A589" s="501">
        <f t="shared" si="67"/>
        <v>2043</v>
      </c>
      <c r="B589" s="520">
        <f t="shared" si="68"/>
        <v>1.0209999999999999</v>
      </c>
      <c r="C589" s="503"/>
      <c r="D589" s="503"/>
      <c r="E589" s="503"/>
      <c r="F589" s="503"/>
      <c r="G589" s="504"/>
      <c r="H589" s="171">
        <f t="shared" si="69"/>
        <v>2043</v>
      </c>
      <c r="I589" s="523">
        <f t="shared" si="71"/>
        <v>1.4856422897073511</v>
      </c>
      <c r="J589" s="523">
        <f t="shared" si="70"/>
        <v>1.5898419620239066</v>
      </c>
      <c r="K589" s="171"/>
      <c r="L589" s="171"/>
      <c r="M589" s="171"/>
    </row>
    <row r="590" spans="1:13" x14ac:dyDescent="0.2">
      <c r="A590" s="501">
        <f t="shared" si="67"/>
        <v>2044</v>
      </c>
      <c r="B590" s="520">
        <f t="shared" si="68"/>
        <v>1.0209999999999999</v>
      </c>
      <c r="C590" s="503"/>
      <c r="D590" s="503"/>
      <c r="E590" s="503"/>
      <c r="F590" s="503"/>
      <c r="G590" s="504"/>
      <c r="H590" s="171">
        <f t="shared" si="69"/>
        <v>2044</v>
      </c>
      <c r="I590" s="523">
        <f t="shared" si="71"/>
        <v>1.5168407777912054</v>
      </c>
      <c r="J590" s="523">
        <f t="shared" si="70"/>
        <v>1.6232286432264083</v>
      </c>
      <c r="K590" s="171"/>
      <c r="L590" s="171"/>
      <c r="M590" s="171"/>
    </row>
    <row r="591" spans="1:13" x14ac:dyDescent="0.2">
      <c r="A591" s="501">
        <f t="shared" si="67"/>
        <v>2045</v>
      </c>
      <c r="B591" s="520">
        <f t="shared" si="68"/>
        <v>1.0209999999999999</v>
      </c>
      <c r="C591" s="503"/>
      <c r="D591" s="503"/>
      <c r="E591" s="503"/>
      <c r="F591" s="503"/>
      <c r="G591" s="504"/>
      <c r="H591" s="171">
        <f t="shared" si="69"/>
        <v>2045</v>
      </c>
      <c r="I591" s="523">
        <f t="shared" si="71"/>
        <v>1.5486944341248206</v>
      </c>
      <c r="J591" s="523">
        <f t="shared" si="70"/>
        <v>1.6573164447341626</v>
      </c>
      <c r="K591" s="171"/>
      <c r="L591" s="171"/>
      <c r="M591" s="171"/>
    </row>
    <row r="592" spans="1:13" x14ac:dyDescent="0.2">
      <c r="A592" s="501">
        <f t="shared" si="67"/>
        <v>2046</v>
      </c>
      <c r="B592" s="520">
        <f t="shared" si="68"/>
        <v>1.0209999999999999</v>
      </c>
      <c r="C592" s="503"/>
      <c r="D592" s="503"/>
      <c r="E592" s="503"/>
      <c r="F592" s="503"/>
      <c r="G592" s="504"/>
      <c r="H592" s="171">
        <f t="shared" si="69"/>
        <v>2046</v>
      </c>
      <c r="I592" s="523">
        <f t="shared" si="71"/>
        <v>1.5812170172414417</v>
      </c>
      <c r="J592" s="523">
        <f t="shared" si="70"/>
        <v>1.6921200900735802</v>
      </c>
      <c r="K592" s="171"/>
      <c r="L592" s="171"/>
      <c r="M592" s="171"/>
    </row>
    <row r="593" spans="1:16" x14ac:dyDescent="0.2">
      <c r="A593" s="501">
        <f t="shared" si="67"/>
        <v>2047</v>
      </c>
      <c r="B593" s="520">
        <f t="shared" si="68"/>
        <v>1.0209999999999999</v>
      </c>
      <c r="C593" s="503"/>
      <c r="D593" s="503"/>
      <c r="E593" s="503"/>
      <c r="F593" s="503"/>
      <c r="G593" s="504"/>
      <c r="H593" s="171">
        <f t="shared" si="69"/>
        <v>2047</v>
      </c>
      <c r="I593" s="523">
        <f t="shared" si="71"/>
        <v>1.6144225746035119</v>
      </c>
      <c r="J593" s="523">
        <f t="shared" si="70"/>
        <v>1.7276546119651246</v>
      </c>
      <c r="K593" s="171"/>
      <c r="L593" s="171"/>
      <c r="M593" s="171"/>
    </row>
    <row r="594" spans="1:16" x14ac:dyDescent="0.2">
      <c r="A594" s="501">
        <f t="shared" si="67"/>
        <v>2048</v>
      </c>
      <c r="B594" s="520">
        <f t="shared" si="68"/>
        <v>1.0209999999999999</v>
      </c>
      <c r="C594" s="503"/>
      <c r="D594" s="503"/>
      <c r="E594" s="503"/>
      <c r="F594" s="503"/>
      <c r="G594" s="504"/>
      <c r="H594" s="171">
        <f t="shared" si="69"/>
        <v>2048</v>
      </c>
      <c r="I594" s="523">
        <f t="shared" si="71"/>
        <v>1.6483254486701855</v>
      </c>
      <c r="J594" s="523">
        <f t="shared" si="70"/>
        <v>1.7639353588163924</v>
      </c>
      <c r="K594" s="171"/>
      <c r="L594" s="171"/>
      <c r="M594" s="171"/>
    </row>
    <row r="595" spans="1:16" x14ac:dyDescent="0.2">
      <c r="A595" s="501">
        <f t="shared" si="67"/>
        <v>2049</v>
      </c>
      <c r="B595" s="520">
        <f t="shared" si="68"/>
        <v>1.0209999999999999</v>
      </c>
      <c r="C595" s="503"/>
      <c r="D595" s="503"/>
      <c r="E595" s="503"/>
      <c r="F595" s="503"/>
      <c r="G595" s="504"/>
      <c r="H595" s="171">
        <f t="shared" si="69"/>
        <v>2049</v>
      </c>
      <c r="I595" s="523">
        <f t="shared" si="71"/>
        <v>1.6829402830922593</v>
      </c>
      <c r="J595" s="523">
        <f t="shared" si="70"/>
        <v>1.8009780013515364</v>
      </c>
      <c r="K595" s="171"/>
      <c r="L595" s="171"/>
      <c r="M595" s="171"/>
    </row>
    <row r="596" spans="1:16" x14ac:dyDescent="0.2">
      <c r="A596" s="501">
        <f t="shared" si="67"/>
        <v>2050</v>
      </c>
      <c r="B596" s="520">
        <f t="shared" si="68"/>
        <v>1.0209999999999999</v>
      </c>
      <c r="C596" s="503"/>
      <c r="D596" s="503"/>
      <c r="E596" s="503"/>
      <c r="F596" s="503"/>
      <c r="G596" s="504"/>
      <c r="H596" s="171">
        <f t="shared" si="69"/>
        <v>2050</v>
      </c>
      <c r="I596" s="523">
        <f t="shared" si="71"/>
        <v>1.7182820290371965</v>
      </c>
      <c r="J596" s="523">
        <f t="shared" si="70"/>
        <v>1.8387985393799184</v>
      </c>
      <c r="K596" s="171"/>
      <c r="L596" s="171"/>
      <c r="M596" s="171"/>
    </row>
    <row r="597" spans="1:16" x14ac:dyDescent="0.2">
      <c r="A597" s="501">
        <f t="shared" si="67"/>
        <v>2051</v>
      </c>
      <c r="B597" s="520">
        <f t="shared" si="68"/>
        <v>1.0209999999999999</v>
      </c>
      <c r="C597" s="503"/>
      <c r="D597" s="503"/>
      <c r="E597" s="503"/>
      <c r="F597" s="503"/>
      <c r="G597" s="504"/>
      <c r="H597" s="171">
        <f t="shared" si="69"/>
        <v>2051</v>
      </c>
      <c r="I597" s="523">
        <f t="shared" si="71"/>
        <v>1.7543659516469774</v>
      </c>
      <c r="J597" s="523">
        <f t="shared" si="70"/>
        <v>1.8774133087068963</v>
      </c>
      <c r="K597" s="171"/>
      <c r="L597" s="171"/>
      <c r="M597" s="171"/>
    </row>
    <row r="598" spans="1:16" x14ac:dyDescent="0.2">
      <c r="A598" s="501">
        <f t="shared" si="67"/>
        <v>2052</v>
      </c>
      <c r="B598" s="520">
        <f t="shared" si="68"/>
        <v>1.0209999999999999</v>
      </c>
      <c r="C598" s="503"/>
      <c r="D598" s="503"/>
      <c r="E598" s="503"/>
      <c r="F598" s="503"/>
      <c r="G598" s="504"/>
      <c r="H598" s="171">
        <f t="shared" si="69"/>
        <v>2052</v>
      </c>
      <c r="I598" s="523">
        <f t="shared" si="71"/>
        <v>1.7912076366315637</v>
      </c>
      <c r="J598" s="523">
        <f t="shared" si="70"/>
        <v>1.916838988189741</v>
      </c>
      <c r="K598" s="171"/>
      <c r="L598" s="171"/>
      <c r="M598" s="171"/>
    </row>
    <row r="599" spans="1:16" x14ac:dyDescent="0.2">
      <c r="A599" s="501">
        <f t="shared" si="67"/>
        <v>2053</v>
      </c>
      <c r="B599" s="520">
        <f t="shared" si="68"/>
        <v>1.0209999999999999</v>
      </c>
      <c r="C599" s="503"/>
      <c r="D599" s="503"/>
      <c r="E599" s="503"/>
      <c r="F599" s="503"/>
      <c r="G599" s="504"/>
      <c r="H599" s="171">
        <f t="shared" si="69"/>
        <v>2053</v>
      </c>
      <c r="I599" s="523">
        <f t="shared" si="71"/>
        <v>1.8288229970008263</v>
      </c>
      <c r="J599" s="523">
        <f t="shared" si="70"/>
        <v>1.9570926069417256</v>
      </c>
      <c r="K599" s="171"/>
      <c r="L599" s="171"/>
      <c r="M599" s="171"/>
    </row>
    <row r="600" spans="1:16" x14ac:dyDescent="0.2">
      <c r="A600" s="501">
        <f t="shared" si="67"/>
        <v>2054</v>
      </c>
      <c r="B600" s="520">
        <f t="shared" si="68"/>
        <v>1.0209999999999999</v>
      </c>
      <c r="C600" s="503"/>
      <c r="D600" s="503"/>
      <c r="E600" s="503"/>
      <c r="F600" s="503"/>
      <c r="G600" s="504"/>
      <c r="H600" s="171">
        <f t="shared" si="69"/>
        <v>2054</v>
      </c>
      <c r="I600" s="523">
        <f t="shared" si="71"/>
        <v>1.8672282799378435</v>
      </c>
      <c r="J600" s="523">
        <f t="shared" si="70"/>
        <v>1.9981915516875015</v>
      </c>
      <c r="K600" s="171"/>
      <c r="L600" s="171"/>
      <c r="M600" s="171"/>
    </row>
    <row r="601" spans="1:16" x14ac:dyDescent="0.2">
      <c r="A601" s="501">
        <f t="shared" si="67"/>
        <v>2055</v>
      </c>
      <c r="B601" s="520">
        <f t="shared" si="68"/>
        <v>1.0209999999999999</v>
      </c>
      <c r="C601" s="503"/>
      <c r="D601" s="503"/>
      <c r="E601" s="503"/>
      <c r="F601" s="503"/>
      <c r="G601" s="504"/>
      <c r="H601" s="171">
        <f t="shared" si="69"/>
        <v>2055</v>
      </c>
      <c r="I601" s="523">
        <f t="shared" si="71"/>
        <v>1.9064400738165379</v>
      </c>
      <c r="J601" s="523">
        <f t="shared" si="70"/>
        <v>2.0401535742729386</v>
      </c>
      <c r="K601" s="171"/>
      <c r="L601" s="171"/>
      <c r="M601" s="171"/>
    </row>
    <row r="602" spans="1:16" x14ac:dyDescent="0.2">
      <c r="A602" s="501">
        <f t="shared" si="67"/>
        <v>2056</v>
      </c>
      <c r="B602" s="520">
        <f t="shared" si="68"/>
        <v>1.0209999999999999</v>
      </c>
      <c r="C602" s="503"/>
      <c r="D602" s="503"/>
      <c r="E602" s="503"/>
      <c r="F602" s="503"/>
      <c r="G602" s="504"/>
      <c r="H602" s="171">
        <f t="shared" si="69"/>
        <v>2056</v>
      </c>
      <c r="I602" s="523">
        <f t="shared" si="71"/>
        <v>1.9464753153666849</v>
      </c>
      <c r="J602" s="523">
        <f t="shared" si="70"/>
        <v>2.0829967993326703</v>
      </c>
      <c r="K602" s="171"/>
      <c r="L602" s="171"/>
      <c r="M602" s="171"/>
    </row>
    <row r="603" spans="1:16" x14ac:dyDescent="0.2">
      <c r="A603" s="501">
        <f t="shared" si="67"/>
        <v>2057</v>
      </c>
      <c r="B603" s="520">
        <f t="shared" si="68"/>
        <v>1.0209999999999999</v>
      </c>
      <c r="C603" s="503"/>
      <c r="D603" s="503"/>
      <c r="E603" s="503"/>
      <c r="F603" s="503"/>
      <c r="G603" s="504"/>
      <c r="H603" s="171">
        <f t="shared" si="69"/>
        <v>2057</v>
      </c>
      <c r="I603" s="523">
        <f t="shared" si="71"/>
        <v>1.9873512969893852</v>
      </c>
      <c r="J603" s="523">
        <f t="shared" si="70"/>
        <v>2.1267397321186565</v>
      </c>
      <c r="K603" s="171"/>
      <c r="L603" s="171"/>
      <c r="M603" s="171"/>
    </row>
    <row r="604" spans="1:16" x14ac:dyDescent="0.2">
      <c r="A604" s="501">
        <f t="shared" si="67"/>
        <v>2058</v>
      </c>
      <c r="B604" s="520">
        <f t="shared" si="68"/>
        <v>1.0209999999999999</v>
      </c>
      <c r="C604" s="503"/>
      <c r="D604" s="503"/>
      <c r="E604" s="503"/>
      <c r="F604" s="503"/>
      <c r="G604" s="504"/>
      <c r="H604" s="171">
        <f t="shared" si="69"/>
        <v>2058</v>
      </c>
      <c r="I604" s="523">
        <f t="shared" si="71"/>
        <v>2.0290856742261623</v>
      </c>
      <c r="J604" s="523">
        <f t="shared" si="70"/>
        <v>2.1714012664931479</v>
      </c>
      <c r="K604" s="171"/>
      <c r="L604" s="171"/>
      <c r="M604" s="171"/>
      <c r="P604" s="529"/>
    </row>
    <row r="605" spans="1:16" x14ac:dyDescent="0.2">
      <c r="A605" s="501">
        <f t="shared" si="67"/>
        <v>2059</v>
      </c>
      <c r="B605" s="520">
        <f t="shared" si="68"/>
        <v>1.0209999999999999</v>
      </c>
      <c r="C605" s="503"/>
      <c r="D605" s="503"/>
      <c r="E605" s="503"/>
      <c r="F605" s="503"/>
      <c r="G605" s="504"/>
      <c r="H605" s="171">
        <f t="shared" si="69"/>
        <v>2059</v>
      </c>
      <c r="I605" s="523">
        <f t="shared" si="71"/>
        <v>2.0716964733849115</v>
      </c>
      <c r="J605" s="523">
        <f t="shared" si="70"/>
        <v>2.2170006930895036</v>
      </c>
      <c r="K605" s="171"/>
      <c r="L605" s="171"/>
      <c r="M605" s="171"/>
      <c r="P605" s="529"/>
    </row>
    <row r="606" spans="1:16" x14ac:dyDescent="0.2">
      <c r="A606" s="501">
        <f t="shared" si="67"/>
        <v>2060</v>
      </c>
      <c r="B606" s="520">
        <f t="shared" si="68"/>
        <v>1.0209999999999999</v>
      </c>
      <c r="C606" s="503"/>
      <c r="D606" s="503"/>
      <c r="E606" s="503"/>
      <c r="F606" s="503"/>
      <c r="G606" s="504"/>
      <c r="H606" s="171">
        <f t="shared" si="69"/>
        <v>2060</v>
      </c>
      <c r="I606" s="523">
        <f t="shared" si="71"/>
        <v>2.1152020993259946</v>
      </c>
      <c r="J606" s="523">
        <f t="shared" si="70"/>
        <v>2.2635577076443836</v>
      </c>
      <c r="K606" s="171"/>
      <c r="L606" s="171"/>
      <c r="M606" s="171"/>
      <c r="P606" s="529"/>
    </row>
    <row r="607" spans="1:16" x14ac:dyDescent="0.2">
      <c r="A607" s="501">
        <f t="shared" si="67"/>
        <v>2061</v>
      </c>
      <c r="B607" s="520">
        <f t="shared" si="68"/>
        <v>1.0209999999999999</v>
      </c>
      <c r="C607" s="503"/>
      <c r="D607" s="503"/>
      <c r="E607" s="503"/>
      <c r="F607" s="503"/>
      <c r="G607" s="504"/>
      <c r="H607" s="171">
        <f t="shared" si="69"/>
        <v>2061</v>
      </c>
      <c r="I607" s="523">
        <f t="shared" si="71"/>
        <v>2.1596213434118403</v>
      </c>
      <c r="J607" s="523">
        <f t="shared" si="70"/>
        <v>2.3110924195049156</v>
      </c>
      <c r="K607" s="171"/>
      <c r="L607" s="171"/>
      <c r="M607" s="171"/>
      <c r="P607" s="529"/>
    </row>
    <row r="608" spans="1:16" x14ac:dyDescent="0.2">
      <c r="A608" s="501">
        <f t="shared" si="67"/>
        <v>2062</v>
      </c>
      <c r="B608" s="520">
        <f t="shared" si="68"/>
        <v>1.0209999999999999</v>
      </c>
      <c r="C608" s="503"/>
      <c r="D608" s="503"/>
      <c r="E608" s="503"/>
      <c r="F608" s="503"/>
      <c r="G608" s="504"/>
      <c r="H608" s="171">
        <f t="shared" si="69"/>
        <v>2062</v>
      </c>
      <c r="I608" s="523">
        <f t="shared" si="71"/>
        <v>2.2049733916234886</v>
      </c>
      <c r="J608" s="523">
        <f t="shared" si="70"/>
        <v>2.3596253603145181</v>
      </c>
      <c r="K608" s="171"/>
      <c r="L608" s="171"/>
      <c r="M608" s="171"/>
      <c r="P608" s="529"/>
    </row>
    <row r="609" spans="1:16" x14ac:dyDescent="0.2">
      <c r="A609" s="501">
        <f t="shared" si="67"/>
        <v>2063</v>
      </c>
      <c r="B609" s="520">
        <f t="shared" si="68"/>
        <v>1.0209999999999999</v>
      </c>
      <c r="C609" s="503"/>
      <c r="D609" s="503"/>
      <c r="E609" s="503"/>
      <c r="F609" s="503"/>
      <c r="G609" s="504"/>
      <c r="H609" s="171">
        <f t="shared" si="69"/>
        <v>2063</v>
      </c>
      <c r="I609" s="523">
        <f t="shared" si="71"/>
        <v>2.2512778328475815</v>
      </c>
      <c r="J609" s="523">
        <f t="shared" si="70"/>
        <v>2.4091774928811227</v>
      </c>
      <c r="K609" s="171"/>
      <c r="L609" s="171"/>
      <c r="M609" s="171"/>
      <c r="P609" s="529"/>
    </row>
    <row r="610" spans="1:16" x14ac:dyDescent="0.2">
      <c r="A610" s="501">
        <f t="shared" si="67"/>
        <v>2064</v>
      </c>
      <c r="B610" s="520">
        <f t="shared" si="68"/>
        <v>1.0209999999999999</v>
      </c>
      <c r="C610" s="503"/>
      <c r="D610" s="503"/>
      <c r="E610" s="503"/>
      <c r="F610" s="503"/>
      <c r="G610" s="504"/>
      <c r="H610" s="171">
        <f t="shared" si="69"/>
        <v>2064</v>
      </c>
      <c r="I610" s="523">
        <f t="shared" si="71"/>
        <v>2.2985546673373807</v>
      </c>
      <c r="J610" s="523">
        <f t="shared" si="70"/>
        <v>2.4597702202316265</v>
      </c>
      <c r="K610" s="171"/>
      <c r="L610" s="171"/>
      <c r="M610" s="171"/>
      <c r="P610" s="529"/>
    </row>
    <row r="611" spans="1:16" x14ac:dyDescent="0.2">
      <c r="A611" s="501">
        <f t="shared" si="67"/>
        <v>2065</v>
      </c>
      <c r="B611" s="520">
        <f t="shared" si="68"/>
        <v>1.0209999999999999</v>
      </c>
      <c r="C611" s="503"/>
      <c r="D611" s="503"/>
      <c r="E611" s="503"/>
      <c r="F611" s="503"/>
      <c r="G611" s="504"/>
      <c r="H611" s="171">
        <f t="shared" si="69"/>
        <v>2065</v>
      </c>
      <c r="I611" s="523">
        <f t="shared" si="71"/>
        <v>2.3468243153514656</v>
      </c>
      <c r="J611" s="523">
        <f t="shared" si="70"/>
        <v>2.5114253948564906</v>
      </c>
      <c r="K611" s="171"/>
      <c r="L611" s="171"/>
      <c r="M611" s="171"/>
    </row>
    <row r="612" spans="1:16" x14ac:dyDescent="0.2">
      <c r="A612" s="501">
        <f t="shared" si="67"/>
        <v>2066</v>
      </c>
      <c r="B612" s="520">
        <f t="shared" si="68"/>
        <v>1.0209999999999999</v>
      </c>
      <c r="C612" s="503"/>
      <c r="D612" s="503"/>
      <c r="E612" s="503"/>
      <c r="F612" s="503"/>
      <c r="G612" s="504"/>
      <c r="H612" s="171">
        <f t="shared" si="69"/>
        <v>2066</v>
      </c>
      <c r="I612" s="523">
        <f t="shared" si="71"/>
        <v>2.3961076259738463</v>
      </c>
      <c r="J612" s="523">
        <f t="shared" si="70"/>
        <v>2.5641653281484764</v>
      </c>
      <c r="K612" s="171"/>
      <c r="L612" s="171"/>
      <c r="M612" s="171"/>
    </row>
    <row r="613" spans="1:16" x14ac:dyDescent="0.2">
      <c r="A613" s="501">
        <f t="shared" si="67"/>
        <v>2067</v>
      </c>
      <c r="B613" s="520">
        <f t="shared" si="68"/>
        <v>1.0209999999999999</v>
      </c>
      <c r="C613" s="503"/>
      <c r="D613" s="503"/>
      <c r="E613" s="503"/>
      <c r="F613" s="503"/>
      <c r="G613" s="504"/>
      <c r="H613" s="171">
        <f t="shared" si="69"/>
        <v>2067</v>
      </c>
      <c r="I613" s="523">
        <f t="shared" si="71"/>
        <v>2.4464258861192967</v>
      </c>
      <c r="J613" s="523">
        <f t="shared" si="70"/>
        <v>2.6180128000395944</v>
      </c>
      <c r="K613" s="171"/>
      <c r="L613" s="171"/>
      <c r="M613" s="171"/>
    </row>
    <row r="614" spans="1:16" x14ac:dyDescent="0.2">
      <c r="A614" s="501">
        <f t="shared" si="67"/>
        <v>2068</v>
      </c>
      <c r="B614" s="520">
        <f t="shared" si="68"/>
        <v>1.0209999999999999</v>
      </c>
      <c r="C614" s="503"/>
      <c r="D614" s="503"/>
      <c r="E614" s="503"/>
      <c r="F614" s="503"/>
      <c r="G614" s="504"/>
      <c r="H614" s="171">
        <f t="shared" si="69"/>
        <v>2068</v>
      </c>
      <c r="I614" s="523">
        <f t="shared" si="71"/>
        <v>2.4978008297278018</v>
      </c>
      <c r="J614" s="523">
        <f t="shared" si="70"/>
        <v>2.6729910688404259</v>
      </c>
      <c r="K614" s="171"/>
      <c r="L614" s="171"/>
      <c r="M614" s="171"/>
    </row>
    <row r="615" spans="1:16" x14ac:dyDescent="0.2">
      <c r="A615" s="501">
        <f t="shared" si="67"/>
        <v>2069</v>
      </c>
      <c r="B615" s="520">
        <f t="shared" si="68"/>
        <v>1.0209999999999999</v>
      </c>
      <c r="C615" s="503"/>
      <c r="D615" s="503"/>
      <c r="E615" s="503"/>
      <c r="F615" s="503"/>
      <c r="G615" s="504"/>
      <c r="H615" s="171">
        <f t="shared" si="69"/>
        <v>2069</v>
      </c>
      <c r="I615" s="523">
        <f t="shared" si="71"/>
        <v>2.5502546471520855</v>
      </c>
      <c r="J615" s="523">
        <f t="shared" si="70"/>
        <v>2.7291238812860743</v>
      </c>
      <c r="K615" s="171"/>
      <c r="L615" s="171"/>
      <c r="M615" s="171"/>
    </row>
    <row r="616" spans="1:16" x14ac:dyDescent="0.2">
      <c r="A616" s="501">
        <f t="shared" si="67"/>
        <v>2070</v>
      </c>
      <c r="B616" s="520">
        <f t="shared" si="68"/>
        <v>1.0209999999999999</v>
      </c>
      <c r="C616" s="503"/>
      <c r="D616" s="503"/>
      <c r="E616" s="503"/>
      <c r="F616" s="503"/>
      <c r="G616" s="504"/>
      <c r="H616" s="171">
        <f t="shared" si="69"/>
        <v>2070</v>
      </c>
      <c r="I616" s="523">
        <f t="shared" si="71"/>
        <v>2.6038099947422793</v>
      </c>
      <c r="J616" s="523">
        <f t="shared" si="70"/>
        <v>2.7864354827930811</v>
      </c>
      <c r="K616" s="171"/>
      <c r="L616" s="171"/>
      <c r="M616" s="171"/>
    </row>
    <row r="617" spans="1:16" x14ac:dyDescent="0.2">
      <c r="A617" s="501">
        <f t="shared" si="67"/>
        <v>2071</v>
      </c>
      <c r="B617" s="520">
        <f t="shared" si="68"/>
        <v>1.0209999999999999</v>
      </c>
      <c r="C617" s="503"/>
      <c r="D617" s="503"/>
      <c r="E617" s="503"/>
      <c r="F617" s="503"/>
      <c r="G617" s="504"/>
      <c r="H617" s="171">
        <f t="shared" si="69"/>
        <v>2071</v>
      </c>
      <c r="I617" s="523">
        <f>+I616*B617</f>
        <v>2.6584900046318669</v>
      </c>
      <c r="J617" s="523">
        <f t="shared" si="70"/>
        <v>2.8449506279317354</v>
      </c>
      <c r="K617" s="171"/>
      <c r="L617" s="171"/>
      <c r="M617" s="171"/>
    </row>
    <row r="618" spans="1:16" x14ac:dyDescent="0.2">
      <c r="A618" s="501">
        <f t="shared" si="67"/>
        <v>2072</v>
      </c>
      <c r="B618" s="520">
        <f t="shared" si="68"/>
        <v>1.0209999999999999</v>
      </c>
      <c r="C618" s="503"/>
      <c r="D618" s="503"/>
      <c r="E618" s="503"/>
      <c r="F618" s="503"/>
      <c r="G618" s="504"/>
      <c r="H618" s="171">
        <f t="shared" si="69"/>
        <v>2072</v>
      </c>
      <c r="I618" s="523">
        <f t="shared" ref="I618:I635" si="72">+I617*B618</f>
        <v>2.7143182947291358</v>
      </c>
      <c r="J618" s="523">
        <f t="shared" si="70"/>
        <v>2.9046945911183024</v>
      </c>
      <c r="K618" s="171"/>
      <c r="L618" s="171"/>
      <c r="M618" s="171"/>
    </row>
    <row r="619" spans="1:16" x14ac:dyDescent="0.2">
      <c r="A619" s="501">
        <f t="shared" si="67"/>
        <v>2073</v>
      </c>
      <c r="B619" s="520">
        <f t="shared" si="68"/>
        <v>1.0209999999999999</v>
      </c>
      <c r="C619" s="503"/>
      <c r="D619" s="503"/>
      <c r="E619" s="503"/>
      <c r="F619" s="503"/>
      <c r="G619" s="504"/>
      <c r="H619" s="171">
        <f t="shared" si="69"/>
        <v>2073</v>
      </c>
      <c r="I619" s="523">
        <f t="shared" si="72"/>
        <v>2.7713189789184476</v>
      </c>
      <c r="J619" s="523">
        <f t="shared" si="70"/>
        <v>2.9656931775317865</v>
      </c>
      <c r="K619" s="171"/>
      <c r="L619" s="171"/>
      <c r="M619" s="171"/>
    </row>
    <row r="620" spans="1:16" x14ac:dyDescent="0.2">
      <c r="A620" s="501">
        <f t="shared" si="67"/>
        <v>2074</v>
      </c>
      <c r="B620" s="520">
        <f t="shared" si="68"/>
        <v>1.0209999999999999</v>
      </c>
      <c r="C620" s="503"/>
      <c r="D620" s="503"/>
      <c r="E620" s="503"/>
      <c r="F620" s="503"/>
      <c r="G620" s="504"/>
      <c r="H620" s="171">
        <f t="shared" si="69"/>
        <v>2074</v>
      </c>
      <c r="I620" s="523">
        <f t="shared" si="72"/>
        <v>2.8295166774757345</v>
      </c>
      <c r="J620" s="523">
        <f t="shared" si="70"/>
        <v>3.0279727342599547</v>
      </c>
      <c r="K620" s="171"/>
      <c r="L620" s="171"/>
      <c r="M620" s="171"/>
    </row>
    <row r="621" spans="1:16" x14ac:dyDescent="0.2">
      <c r="A621" s="501">
        <f t="shared" si="67"/>
        <v>2075</v>
      </c>
      <c r="B621" s="520">
        <f t="shared" si="68"/>
        <v>1.0209999999999999</v>
      </c>
      <c r="C621" s="503"/>
      <c r="D621" s="503"/>
      <c r="E621" s="503"/>
      <c r="F621" s="503"/>
      <c r="G621" s="504"/>
      <c r="H621" s="171">
        <f t="shared" si="69"/>
        <v>2075</v>
      </c>
      <c r="I621" s="523">
        <f t="shared" si="72"/>
        <v>2.8889365277027248</v>
      </c>
      <c r="J621" s="523">
        <f t="shared" si="70"/>
        <v>3.0915601616794133</v>
      </c>
      <c r="K621" s="171"/>
      <c r="L621" s="171"/>
      <c r="M621" s="171"/>
    </row>
    <row r="622" spans="1:16" x14ac:dyDescent="0.2">
      <c r="A622" s="501">
        <f t="shared" si="67"/>
        <v>2076</v>
      </c>
      <c r="B622" s="520">
        <f t="shared" si="68"/>
        <v>1.0209999999999999</v>
      </c>
      <c r="C622" s="503"/>
      <c r="D622" s="503"/>
      <c r="E622" s="503"/>
      <c r="F622" s="503"/>
      <c r="G622" s="504"/>
      <c r="H622" s="171">
        <f t="shared" si="69"/>
        <v>2076</v>
      </c>
      <c r="I622" s="523">
        <f t="shared" si="72"/>
        <v>2.9496041947844818</v>
      </c>
      <c r="J622" s="523">
        <f t="shared" si="70"/>
        <v>3.15648292507468</v>
      </c>
      <c r="K622" s="171"/>
      <c r="L622" s="171"/>
      <c r="M622" s="171"/>
    </row>
    <row r="623" spans="1:16" x14ac:dyDescent="0.2">
      <c r="A623" s="501">
        <f t="shared" si="67"/>
        <v>2077</v>
      </c>
      <c r="B623" s="520">
        <f t="shared" si="68"/>
        <v>1.0209999999999999</v>
      </c>
      <c r="C623" s="503"/>
      <c r="D623" s="503"/>
      <c r="E623" s="503"/>
      <c r="F623" s="503"/>
      <c r="G623" s="504"/>
      <c r="H623" s="171">
        <f t="shared" si="69"/>
        <v>2077</v>
      </c>
      <c r="I623" s="523">
        <f t="shared" si="72"/>
        <v>3.0115458828749557</v>
      </c>
      <c r="J623" s="523">
        <f t="shared" si="70"/>
        <v>3.2227690665012481</v>
      </c>
      <c r="K623" s="171"/>
      <c r="L623" s="171"/>
      <c r="M623" s="171"/>
    </row>
    <row r="624" spans="1:16" x14ac:dyDescent="0.2">
      <c r="A624" s="501">
        <f t="shared" si="67"/>
        <v>2078</v>
      </c>
      <c r="B624" s="520">
        <f t="shared" si="68"/>
        <v>1.0209999999999999</v>
      </c>
      <c r="C624" s="503"/>
      <c r="D624" s="503"/>
      <c r="E624" s="503"/>
      <c r="F624" s="503"/>
      <c r="G624" s="504"/>
      <c r="H624" s="171">
        <f t="shared" si="69"/>
        <v>2078</v>
      </c>
      <c r="I624" s="523">
        <f t="shared" si="72"/>
        <v>3.0747883464153296</v>
      </c>
      <c r="J624" s="523">
        <f t="shared" si="70"/>
        <v>3.2904472168977739</v>
      </c>
      <c r="K624" s="171"/>
      <c r="L624" s="171"/>
      <c r="M624" s="171"/>
    </row>
    <row r="625" spans="1:13" x14ac:dyDescent="0.2">
      <c r="A625" s="501">
        <f t="shared" si="67"/>
        <v>2079</v>
      </c>
      <c r="B625" s="520">
        <f t="shared" si="68"/>
        <v>1.0209999999999999</v>
      </c>
      <c r="C625" s="503"/>
      <c r="D625" s="503"/>
      <c r="E625" s="503"/>
      <c r="F625" s="503"/>
      <c r="G625" s="504"/>
      <c r="H625" s="171">
        <f t="shared" si="69"/>
        <v>2079</v>
      </c>
      <c r="I625" s="523">
        <f t="shared" si="72"/>
        <v>3.1393589016900512</v>
      </c>
      <c r="J625" s="523">
        <f t="shared" si="70"/>
        <v>3.3595466084526273</v>
      </c>
      <c r="K625" s="171"/>
      <c r="L625" s="171"/>
      <c r="M625" s="171"/>
    </row>
    <row r="626" spans="1:13" x14ac:dyDescent="0.2">
      <c r="A626" s="501">
        <f t="shared" si="67"/>
        <v>2080</v>
      </c>
      <c r="B626" s="520">
        <f t="shared" si="68"/>
        <v>1.0209999999999999</v>
      </c>
      <c r="C626" s="503"/>
      <c r="D626" s="503"/>
      <c r="E626" s="503"/>
      <c r="F626" s="503"/>
      <c r="G626" s="504"/>
      <c r="H626" s="171">
        <f t="shared" si="69"/>
        <v>2080</v>
      </c>
      <c r="I626" s="523">
        <f t="shared" si="72"/>
        <v>3.205285438625542</v>
      </c>
      <c r="J626" s="523">
        <f t="shared" si="70"/>
        <v>3.4300970872301315</v>
      </c>
      <c r="K626" s="171"/>
      <c r="L626" s="171"/>
      <c r="M626" s="171"/>
    </row>
    <row r="627" spans="1:13" x14ac:dyDescent="0.2">
      <c r="A627" s="501">
        <f t="shared" si="67"/>
        <v>2081</v>
      </c>
      <c r="B627" s="520">
        <f t="shared" si="68"/>
        <v>1.0209999999999999</v>
      </c>
      <c r="C627" s="503"/>
      <c r="D627" s="503"/>
      <c r="E627" s="503"/>
      <c r="F627" s="503"/>
      <c r="G627" s="504"/>
      <c r="H627" s="171">
        <f t="shared" si="69"/>
        <v>2081</v>
      </c>
      <c r="I627" s="523">
        <f t="shared" si="72"/>
        <v>3.2725964328366781</v>
      </c>
      <c r="J627" s="523" t="s">
        <v>415</v>
      </c>
      <c r="K627" s="171"/>
      <c r="L627" s="171"/>
      <c r="M627" s="171"/>
    </row>
    <row r="628" spans="1:13" x14ac:dyDescent="0.2">
      <c r="A628" s="501">
        <f t="shared" ref="A628:A635" si="73">+A75</f>
        <v>2082</v>
      </c>
      <c r="B628" s="520">
        <f t="shared" ref="B628:B635" si="74">B75</f>
        <v>1.0209999999999999</v>
      </c>
      <c r="C628" s="503"/>
      <c r="D628" s="503"/>
      <c r="E628" s="503"/>
      <c r="F628" s="503"/>
      <c r="G628" s="504"/>
      <c r="H628" s="171">
        <f t="shared" ref="H628:H635" si="75">+A628</f>
        <v>2082</v>
      </c>
      <c r="I628" s="523">
        <f t="shared" si="72"/>
        <v>3.3413209579262482</v>
      </c>
      <c r="J628" s="523" t="s">
        <v>415</v>
      </c>
      <c r="K628" s="171"/>
      <c r="L628" s="171"/>
      <c r="M628" s="171"/>
    </row>
    <row r="629" spans="1:13" x14ac:dyDescent="0.2">
      <c r="A629" s="501">
        <f t="shared" si="73"/>
        <v>2083</v>
      </c>
      <c r="B629" s="520">
        <f t="shared" si="74"/>
        <v>1.0209999999999999</v>
      </c>
      <c r="C629" s="503"/>
      <c r="D629" s="503"/>
      <c r="E629" s="503"/>
      <c r="F629" s="503"/>
      <c r="G629" s="504"/>
      <c r="H629" s="171">
        <f t="shared" si="75"/>
        <v>2083</v>
      </c>
      <c r="I629" s="523">
        <f t="shared" si="72"/>
        <v>3.4114886980426991</v>
      </c>
      <c r="J629" s="523" t="s">
        <v>415</v>
      </c>
      <c r="K629" s="171"/>
      <c r="L629" s="171"/>
      <c r="M629" s="171"/>
    </row>
    <row r="630" spans="1:13" x14ac:dyDescent="0.2">
      <c r="A630" s="501">
        <f t="shared" si="73"/>
        <v>2084</v>
      </c>
      <c r="B630" s="520">
        <f t="shared" si="74"/>
        <v>1.0209999999999999</v>
      </c>
      <c r="C630" s="503"/>
      <c r="D630" s="503"/>
      <c r="E630" s="503"/>
      <c r="F630" s="503"/>
      <c r="G630" s="504"/>
      <c r="H630" s="171">
        <f t="shared" si="75"/>
        <v>2084</v>
      </c>
      <c r="I630" s="523">
        <f t="shared" si="72"/>
        <v>3.4831299607015955</v>
      </c>
      <c r="J630" s="523" t="s">
        <v>415</v>
      </c>
      <c r="K630" s="171"/>
      <c r="L630" s="171"/>
      <c r="M630" s="171"/>
    </row>
    <row r="631" spans="1:13" x14ac:dyDescent="0.2">
      <c r="A631" s="501">
        <f t="shared" si="73"/>
        <v>2085</v>
      </c>
      <c r="B631" s="520">
        <f t="shared" si="74"/>
        <v>1.0209999999999999</v>
      </c>
      <c r="C631" s="503"/>
      <c r="D631" s="503"/>
      <c r="E631" s="503"/>
      <c r="F631" s="503"/>
      <c r="G631" s="504"/>
      <c r="H631" s="171">
        <f t="shared" si="75"/>
        <v>2085</v>
      </c>
      <c r="I631" s="523">
        <f t="shared" si="72"/>
        <v>3.5562756898763288</v>
      </c>
      <c r="J631" s="523" t="s">
        <v>415</v>
      </c>
      <c r="K631" s="171"/>
      <c r="L631" s="171"/>
      <c r="M631" s="171"/>
    </row>
    <row r="632" spans="1:13" x14ac:dyDescent="0.2">
      <c r="A632" s="501">
        <f t="shared" si="73"/>
        <v>2086</v>
      </c>
      <c r="B632" s="520">
        <f t="shared" si="74"/>
        <v>1.0209999999999999</v>
      </c>
      <c r="C632" s="503"/>
      <c r="D632" s="503"/>
      <c r="E632" s="503"/>
      <c r="F632" s="503"/>
      <c r="G632" s="504"/>
      <c r="H632" s="171">
        <f t="shared" si="75"/>
        <v>2086</v>
      </c>
      <c r="I632" s="523">
        <f t="shared" si="72"/>
        <v>3.6309574793637314</v>
      </c>
      <c r="J632" s="523" t="s">
        <v>415</v>
      </c>
      <c r="K632" s="171"/>
      <c r="L632" s="171"/>
      <c r="M632" s="171"/>
    </row>
    <row r="633" spans="1:13" x14ac:dyDescent="0.2">
      <c r="A633" s="501">
        <f t="shared" si="73"/>
        <v>2087</v>
      </c>
      <c r="B633" s="520">
        <f t="shared" si="74"/>
        <v>1.0209999999999999</v>
      </c>
      <c r="C633" s="503"/>
      <c r="D633" s="503"/>
      <c r="E633" s="503"/>
      <c r="F633" s="503"/>
      <c r="G633" s="504"/>
      <c r="H633" s="171">
        <f t="shared" si="75"/>
        <v>2087</v>
      </c>
      <c r="I633" s="523">
        <f t="shared" si="72"/>
        <v>3.7072075864303695</v>
      </c>
      <c r="J633" s="523" t="s">
        <v>415</v>
      </c>
      <c r="K633" s="171"/>
      <c r="L633" s="171"/>
      <c r="M633" s="171"/>
    </row>
    <row r="634" spans="1:13" x14ac:dyDescent="0.2">
      <c r="A634" s="501">
        <f t="shared" si="73"/>
        <v>2088</v>
      </c>
      <c r="B634" s="520">
        <f t="shared" si="74"/>
        <v>1.0209999999999999</v>
      </c>
      <c r="C634" s="503"/>
      <c r="D634" s="503"/>
      <c r="E634" s="503"/>
      <c r="F634" s="503"/>
      <c r="G634" s="504"/>
      <c r="H634" s="171">
        <f t="shared" si="75"/>
        <v>2088</v>
      </c>
      <c r="I634" s="523">
        <f t="shared" si="72"/>
        <v>3.7850589457454071</v>
      </c>
      <c r="J634" s="523" t="s">
        <v>415</v>
      </c>
      <c r="K634" s="171"/>
      <c r="L634" s="171"/>
      <c r="M634" s="171"/>
    </row>
    <row r="635" spans="1:13" x14ac:dyDescent="0.2">
      <c r="A635" s="501">
        <f t="shared" si="73"/>
        <v>2089</v>
      </c>
      <c r="B635" s="520">
        <f t="shared" si="74"/>
        <v>1.0209999999999999</v>
      </c>
      <c r="C635" s="503"/>
      <c r="D635" s="503"/>
      <c r="E635" s="503"/>
      <c r="F635" s="503"/>
      <c r="G635" s="504"/>
      <c r="H635" s="171">
        <f t="shared" si="75"/>
        <v>2089</v>
      </c>
      <c r="I635" s="523">
        <f t="shared" si="72"/>
        <v>3.8645451836060603</v>
      </c>
      <c r="J635" s="523" t="s">
        <v>415</v>
      </c>
      <c r="K635" s="171"/>
      <c r="L635" s="171"/>
      <c r="M635" s="171"/>
    </row>
    <row r="636" spans="1:13" ht="12" x14ac:dyDescent="0.25">
      <c r="A636" s="538"/>
      <c r="B636" s="539"/>
      <c r="C636" s="539"/>
      <c r="D636" s="539"/>
      <c r="E636" s="539"/>
      <c r="F636" s="539"/>
      <c r="G636" s="540" t="s">
        <v>418</v>
      </c>
      <c r="H636" s="504"/>
      <c r="I636" s="504"/>
      <c r="J636" s="504"/>
      <c r="K636" s="504"/>
      <c r="L636" s="532"/>
      <c r="M636" s="532"/>
    </row>
    <row r="637" spans="1:13" ht="14.4" x14ac:dyDescent="0.3">
      <c r="A637" s="122"/>
      <c r="B637" s="503" t="s">
        <v>377</v>
      </c>
      <c r="C637" s="503"/>
      <c r="D637" s="503" t="s">
        <v>418</v>
      </c>
      <c r="E637" s="503"/>
      <c r="F637" s="503"/>
      <c r="G637" s="503"/>
      <c r="H637" s="503"/>
      <c r="I637" s="574">
        <v>45391</v>
      </c>
      <c r="J637" s="503"/>
      <c r="K637" s="620" t="s">
        <v>1081</v>
      </c>
      <c r="L637" s="503"/>
      <c r="M637" s="122"/>
    </row>
    <row r="638" spans="1:13" x14ac:dyDescent="0.2">
      <c r="A638" s="122"/>
      <c r="B638" s="503"/>
      <c r="C638" s="503"/>
      <c r="D638" s="503"/>
      <c r="E638" s="503"/>
      <c r="F638" s="503"/>
      <c r="G638" s="503"/>
      <c r="H638" s="503"/>
      <c r="I638" s="503"/>
      <c r="J638" s="503"/>
      <c r="K638" s="503"/>
      <c r="L638" s="503"/>
      <c r="M638" s="122"/>
    </row>
    <row r="639" spans="1:13" x14ac:dyDescent="0.2">
      <c r="A639" s="122"/>
      <c r="B639" s="503"/>
      <c r="C639" s="503"/>
      <c r="D639" s="503" t="s">
        <v>419</v>
      </c>
      <c r="E639" s="503"/>
      <c r="F639" s="503"/>
      <c r="G639" s="503"/>
      <c r="H639" s="503"/>
      <c r="I639" s="503"/>
      <c r="J639" s="503"/>
      <c r="K639" s="503"/>
      <c r="L639" s="503"/>
      <c r="M639" s="122"/>
    </row>
    <row r="640" spans="1:13" x14ac:dyDescent="0.2">
      <c r="A640" s="122"/>
      <c r="B640" s="503"/>
      <c r="C640" s="503"/>
      <c r="D640" s="503"/>
      <c r="E640" s="503" t="s">
        <v>420</v>
      </c>
      <c r="F640" s="503"/>
      <c r="G640" s="503"/>
      <c r="H640" s="503"/>
      <c r="I640" s="503"/>
      <c r="J640" s="503"/>
      <c r="K640" s="503"/>
      <c r="L640" s="503"/>
      <c r="M640" s="122"/>
    </row>
    <row r="641" spans="1:13" x14ac:dyDescent="0.2">
      <c r="A641" s="122"/>
      <c r="B641" s="503" t="s">
        <v>230</v>
      </c>
      <c r="C641" s="503">
        <v>1</v>
      </c>
      <c r="D641" s="503">
        <v>2</v>
      </c>
      <c r="E641" s="503">
        <v>3</v>
      </c>
      <c r="F641" s="503">
        <v>4</v>
      </c>
      <c r="G641" s="503">
        <v>5</v>
      </c>
      <c r="H641" s="503">
        <v>6</v>
      </c>
      <c r="I641" s="503">
        <v>7</v>
      </c>
      <c r="J641" s="503">
        <v>8</v>
      </c>
      <c r="K641" s="503">
        <v>9</v>
      </c>
      <c r="L641" s="503">
        <v>10</v>
      </c>
      <c r="M641" s="122"/>
    </row>
    <row r="642" spans="1:13" x14ac:dyDescent="0.2">
      <c r="A642" s="122"/>
      <c r="B642" s="503">
        <f>+C8</f>
        <v>2022</v>
      </c>
      <c r="C642" s="521">
        <v>0.39369999999999999</v>
      </c>
      <c r="D642" s="521">
        <v>0.34610000000000002</v>
      </c>
      <c r="E642" s="521">
        <v>0.13170000000000001</v>
      </c>
      <c r="F642" s="521">
        <v>5.0099999999999999E-2</v>
      </c>
      <c r="G642" s="521">
        <v>3.9699999999999999E-2</v>
      </c>
      <c r="H642" s="521">
        <v>2.8199999999999999E-2</v>
      </c>
      <c r="I642" s="521">
        <v>1.0500000000000001E-2</v>
      </c>
      <c r="J642" s="521">
        <v>0</v>
      </c>
      <c r="K642" s="521">
        <v>0</v>
      </c>
      <c r="L642" s="521">
        <v>0</v>
      </c>
      <c r="M642" s="122"/>
    </row>
    <row r="643" spans="1:13" x14ac:dyDescent="0.2">
      <c r="A643" s="122"/>
      <c r="B643" s="503">
        <f>+B642+1</f>
        <v>2023</v>
      </c>
      <c r="C643" s="521">
        <v>0.4456</v>
      </c>
      <c r="D643" s="521">
        <v>0.39750000000000002</v>
      </c>
      <c r="E643" s="521">
        <v>8.3699999999999997E-2</v>
      </c>
      <c r="F643" s="521">
        <v>3.1399999999999997E-2</v>
      </c>
      <c r="G643" s="521">
        <v>2.0899999999999998E-2</v>
      </c>
      <c r="H643" s="521">
        <v>1.0500000000000001E-2</v>
      </c>
      <c r="I643" s="521">
        <v>1.04E-2</v>
      </c>
      <c r="J643" s="521">
        <v>0</v>
      </c>
      <c r="K643" s="521">
        <v>0</v>
      </c>
      <c r="L643" s="521">
        <v>0</v>
      </c>
      <c r="M643" s="122"/>
    </row>
    <row r="644" spans="1:13" x14ac:dyDescent="0.2">
      <c r="A644" s="122"/>
      <c r="B644" s="503">
        <f t="shared" ref="B644:B645" si="76">+B643+1</f>
        <v>2024</v>
      </c>
      <c r="C644" s="521">
        <v>0.3957</v>
      </c>
      <c r="D644" s="521">
        <v>0.38450000000000001</v>
      </c>
      <c r="E644" s="521">
        <v>0.1313</v>
      </c>
      <c r="F644" s="521">
        <v>3.9600000000000003E-2</v>
      </c>
      <c r="G644" s="521">
        <v>2.81E-2</v>
      </c>
      <c r="H644" s="521">
        <v>1.04E-2</v>
      </c>
      <c r="I644" s="521">
        <v>1.04E-2</v>
      </c>
      <c r="J644" s="521">
        <v>0</v>
      </c>
      <c r="K644" s="521">
        <v>0</v>
      </c>
      <c r="L644" s="521">
        <v>0</v>
      </c>
      <c r="M644" s="122"/>
    </row>
    <row r="645" spans="1:13" x14ac:dyDescent="0.2">
      <c r="A645" s="122"/>
      <c r="B645" s="503">
        <f t="shared" si="76"/>
        <v>2025</v>
      </c>
      <c r="C645" s="521">
        <v>0.37519999999999998</v>
      </c>
      <c r="D645" s="521">
        <v>0.38419999999999999</v>
      </c>
      <c r="E645" s="521">
        <v>0.13120000000000001</v>
      </c>
      <c r="F645" s="521">
        <v>6.0400000000000002E-2</v>
      </c>
      <c r="G645" s="521">
        <v>2.81E-2</v>
      </c>
      <c r="H645" s="521">
        <v>1.0500000000000001E-2</v>
      </c>
      <c r="I645" s="521">
        <v>1.04E-2</v>
      </c>
      <c r="J645" s="521">
        <v>0</v>
      </c>
      <c r="K645" s="521">
        <v>0</v>
      </c>
      <c r="L645" s="521">
        <v>0</v>
      </c>
      <c r="M645" s="122"/>
    </row>
    <row r="646" spans="1:13" x14ac:dyDescent="0.2">
      <c r="A646" s="122"/>
      <c r="B646" s="503"/>
      <c r="C646" s="503"/>
      <c r="D646" s="503"/>
      <c r="E646" s="503"/>
      <c r="F646" s="503"/>
      <c r="G646" s="503"/>
      <c r="H646" s="503"/>
      <c r="I646" s="503"/>
      <c r="J646" s="503"/>
      <c r="K646" s="503"/>
      <c r="L646" s="503"/>
      <c r="M646" s="122"/>
    </row>
    <row r="647" spans="1:13" x14ac:dyDescent="0.2">
      <c r="A647" s="122"/>
      <c r="B647" s="503"/>
      <c r="C647" s="503"/>
      <c r="D647" s="503"/>
      <c r="E647" s="503" t="s">
        <v>421</v>
      </c>
      <c r="F647" s="503"/>
      <c r="G647" s="503"/>
      <c r="H647" s="503"/>
      <c r="I647" s="503"/>
      <c r="J647" s="503"/>
      <c r="K647" s="503"/>
      <c r="L647" s="503"/>
      <c r="M647" s="122"/>
    </row>
    <row r="648" spans="1:13" x14ac:dyDescent="0.2">
      <c r="A648" s="122"/>
      <c r="B648" s="503"/>
      <c r="C648" s="503"/>
      <c r="D648" s="503"/>
      <c r="E648" s="503" t="s">
        <v>420</v>
      </c>
      <c r="F648" s="503"/>
      <c r="G648" s="503"/>
      <c r="H648" s="503"/>
      <c r="I648" s="503"/>
      <c r="J648" s="503"/>
      <c r="K648" s="503"/>
      <c r="L648" s="503"/>
      <c r="M648" s="122"/>
    </row>
    <row r="649" spans="1:13" x14ac:dyDescent="0.2">
      <c r="A649" s="122"/>
      <c r="B649" s="503" t="s">
        <v>230</v>
      </c>
      <c r="C649" s="503">
        <v>1</v>
      </c>
      <c r="D649" s="503">
        <v>2</v>
      </c>
      <c r="E649" s="503">
        <v>3</v>
      </c>
      <c r="F649" s="503">
        <v>4</v>
      </c>
      <c r="G649" s="503">
        <v>5</v>
      </c>
      <c r="H649" s="503">
        <v>6</v>
      </c>
      <c r="I649" s="503">
        <v>7</v>
      </c>
      <c r="J649" s="503">
        <v>8</v>
      </c>
      <c r="K649" s="503">
        <v>9</v>
      </c>
      <c r="L649" s="503">
        <v>10</v>
      </c>
      <c r="M649" s="122"/>
    </row>
    <row r="650" spans="1:13" x14ac:dyDescent="0.2">
      <c r="A650" s="122"/>
      <c r="B650" s="503">
        <f>+B642</f>
        <v>2022</v>
      </c>
      <c r="C650" s="521">
        <v>0.11</v>
      </c>
      <c r="D650" s="521">
        <v>0.39</v>
      </c>
      <c r="E650" s="521">
        <v>0.249</v>
      </c>
      <c r="F650" s="521">
        <v>0.14899999999999999</v>
      </c>
      <c r="G650" s="521">
        <v>7.0000000000000007E-2</v>
      </c>
      <c r="H650" s="521">
        <v>1.0999999999999999E-2</v>
      </c>
      <c r="I650" s="521">
        <v>1.0999999999999999E-2</v>
      </c>
      <c r="J650" s="521">
        <v>0.01</v>
      </c>
      <c r="K650" s="521">
        <v>0</v>
      </c>
      <c r="L650" s="521">
        <v>0</v>
      </c>
      <c r="M650" s="122"/>
    </row>
    <row r="651" spans="1:13" x14ac:dyDescent="0.2">
      <c r="A651" s="122"/>
      <c r="B651" s="503">
        <f t="shared" ref="B651:B653" si="77">+B643</f>
        <v>2023</v>
      </c>
      <c r="C651" s="521">
        <v>0.11</v>
      </c>
      <c r="D651" s="521">
        <v>0.39</v>
      </c>
      <c r="E651" s="521">
        <v>0.249</v>
      </c>
      <c r="F651" s="521">
        <v>0.14899999999999999</v>
      </c>
      <c r="G651" s="521">
        <v>7.0000000000000007E-2</v>
      </c>
      <c r="H651" s="521">
        <v>1.0999999999999999E-2</v>
      </c>
      <c r="I651" s="521">
        <v>1.0999999999999999E-2</v>
      </c>
      <c r="J651" s="521">
        <v>0.01</v>
      </c>
      <c r="K651" s="521">
        <v>0</v>
      </c>
      <c r="L651" s="521">
        <v>0</v>
      </c>
      <c r="M651" s="122"/>
    </row>
    <row r="652" spans="1:13" x14ac:dyDescent="0.2">
      <c r="A652" s="122"/>
      <c r="B652" s="503">
        <f t="shared" si="77"/>
        <v>2024</v>
      </c>
      <c r="C652" s="521">
        <v>0.13</v>
      </c>
      <c r="D652" s="521">
        <v>0.37</v>
      </c>
      <c r="E652" s="521">
        <v>0.249</v>
      </c>
      <c r="F652" s="521">
        <v>0.14899999999999999</v>
      </c>
      <c r="G652" s="521">
        <v>7.0000000000000007E-2</v>
      </c>
      <c r="H652" s="521">
        <v>1.0999999999999999E-2</v>
      </c>
      <c r="I652" s="521">
        <v>1.0999999999999999E-2</v>
      </c>
      <c r="J652" s="521">
        <v>0.01</v>
      </c>
      <c r="K652" s="521">
        <v>0</v>
      </c>
      <c r="L652" s="521">
        <v>0</v>
      </c>
      <c r="M652" s="122"/>
    </row>
    <row r="653" spans="1:13" x14ac:dyDescent="0.2">
      <c r="A653" s="122"/>
      <c r="B653" s="503">
        <f t="shared" si="77"/>
        <v>2025</v>
      </c>
      <c r="C653" s="521">
        <v>0.11</v>
      </c>
      <c r="D653" s="521">
        <v>0.39</v>
      </c>
      <c r="E653" s="521">
        <v>0.249</v>
      </c>
      <c r="F653" s="521">
        <v>0.14899999999999999</v>
      </c>
      <c r="G653" s="521">
        <v>7.0000000000000007E-2</v>
      </c>
      <c r="H653" s="521">
        <v>1.0999999999999999E-2</v>
      </c>
      <c r="I653" s="521">
        <v>1.0999999999999999E-2</v>
      </c>
      <c r="J653" s="521">
        <v>0.01</v>
      </c>
      <c r="K653" s="521">
        <v>0</v>
      </c>
      <c r="L653" s="521">
        <v>0</v>
      </c>
      <c r="M653" s="122"/>
    </row>
    <row r="654" spans="1:13" x14ac:dyDescent="0.2">
      <c r="A654" s="122"/>
      <c r="B654" s="503"/>
      <c r="C654" s="503"/>
      <c r="D654" s="503"/>
      <c r="E654" s="503"/>
      <c r="F654" s="503"/>
      <c r="G654" s="503"/>
      <c r="H654" s="503"/>
      <c r="I654" s="503"/>
      <c r="J654" s="503"/>
      <c r="K654" s="503"/>
      <c r="L654" s="503"/>
      <c r="M654" s="122"/>
    </row>
    <row r="655" spans="1:13" x14ac:dyDescent="0.2">
      <c r="A655" s="122"/>
      <c r="B655" s="503"/>
      <c r="C655" s="503"/>
      <c r="D655" s="503"/>
      <c r="E655" s="503" t="s">
        <v>422</v>
      </c>
      <c r="F655" s="503"/>
      <c r="G655" s="503"/>
      <c r="H655" s="503"/>
      <c r="I655" s="503"/>
      <c r="J655" s="503"/>
      <c r="K655" s="503"/>
      <c r="L655" s="503"/>
      <c r="M655" s="122"/>
    </row>
    <row r="656" spans="1:13" x14ac:dyDescent="0.2">
      <c r="A656" s="122"/>
      <c r="B656" s="503"/>
      <c r="C656" s="503"/>
      <c r="D656" s="503"/>
      <c r="E656" s="503" t="s">
        <v>420</v>
      </c>
      <c r="F656" s="503"/>
      <c r="G656" s="503"/>
      <c r="H656" s="503"/>
      <c r="I656" s="503"/>
      <c r="J656" s="503"/>
      <c r="K656" s="503"/>
      <c r="L656" s="503"/>
      <c r="M656" s="122"/>
    </row>
    <row r="657" spans="1:13" x14ac:dyDescent="0.2">
      <c r="A657" s="122"/>
      <c r="B657" s="503" t="s">
        <v>230</v>
      </c>
      <c r="C657" s="503">
        <v>1</v>
      </c>
      <c r="D657" s="503">
        <v>2</v>
      </c>
      <c r="E657" s="503">
        <v>3</v>
      </c>
      <c r="F657" s="503">
        <v>4</v>
      </c>
      <c r="G657" s="503">
        <v>5</v>
      </c>
      <c r="H657" s="503">
        <v>6</v>
      </c>
      <c r="I657" s="503">
        <v>7</v>
      </c>
      <c r="J657" s="503">
        <v>8</v>
      </c>
      <c r="K657" s="503">
        <v>9</v>
      </c>
      <c r="L657" s="503">
        <v>10</v>
      </c>
      <c r="M657" s="122"/>
    </row>
    <row r="658" spans="1:13" x14ac:dyDescent="0.2">
      <c r="A658" s="122"/>
      <c r="B658" s="503">
        <f>+B642</f>
        <v>2022</v>
      </c>
      <c r="C658" s="521">
        <v>0.06</v>
      </c>
      <c r="D658" s="521">
        <v>0.34</v>
      </c>
      <c r="E658" s="521">
        <v>0.27600000000000002</v>
      </c>
      <c r="F658" s="521">
        <v>0.18</v>
      </c>
      <c r="G658" s="521">
        <v>9.6000000000000002E-2</v>
      </c>
      <c r="H658" s="521">
        <v>3.6999999999999998E-2</v>
      </c>
      <c r="I658" s="521">
        <v>6.0000000000000001E-3</v>
      </c>
      <c r="J658" s="521">
        <v>5.0000000000000001E-3</v>
      </c>
      <c r="K658" s="521">
        <v>0</v>
      </c>
      <c r="L658" s="521">
        <v>0</v>
      </c>
      <c r="M658" s="122"/>
    </row>
    <row r="659" spans="1:13" x14ac:dyDescent="0.2">
      <c r="A659" s="122"/>
      <c r="B659" s="503">
        <f t="shared" ref="B659:B661" si="78">+B643</f>
        <v>2023</v>
      </c>
      <c r="C659" s="521">
        <v>0.06</v>
      </c>
      <c r="D659" s="521">
        <v>0.34</v>
      </c>
      <c r="E659" s="521">
        <v>0.27600000000000002</v>
      </c>
      <c r="F659" s="521">
        <v>0.18</v>
      </c>
      <c r="G659" s="521">
        <v>9.6000000000000002E-2</v>
      </c>
      <c r="H659" s="521">
        <v>3.6999999999999998E-2</v>
      </c>
      <c r="I659" s="521">
        <v>6.0000000000000001E-3</v>
      </c>
      <c r="J659" s="521">
        <v>5.0000000000000001E-3</v>
      </c>
      <c r="K659" s="521">
        <v>0</v>
      </c>
      <c r="L659" s="521">
        <v>0</v>
      </c>
      <c r="M659" s="122"/>
    </row>
    <row r="660" spans="1:13" x14ac:dyDescent="0.2">
      <c r="A660" s="122"/>
      <c r="B660" s="503">
        <f t="shared" si="78"/>
        <v>2024</v>
      </c>
      <c r="C660" s="521">
        <v>0.06</v>
      </c>
      <c r="D660" s="521">
        <v>0.34</v>
      </c>
      <c r="E660" s="521">
        <v>0.27600000000000002</v>
      </c>
      <c r="F660" s="521">
        <v>0.18</v>
      </c>
      <c r="G660" s="521">
        <v>9.6000000000000002E-2</v>
      </c>
      <c r="H660" s="521">
        <v>3.6999999999999998E-2</v>
      </c>
      <c r="I660" s="521">
        <v>6.0000000000000001E-3</v>
      </c>
      <c r="J660" s="521">
        <v>5.0000000000000001E-3</v>
      </c>
      <c r="K660" s="521">
        <v>0</v>
      </c>
      <c r="L660" s="521">
        <v>0</v>
      </c>
      <c r="M660" s="122"/>
    </row>
    <row r="661" spans="1:13" x14ac:dyDescent="0.2">
      <c r="A661" s="122"/>
      <c r="B661" s="503">
        <f t="shared" si="78"/>
        <v>2025</v>
      </c>
      <c r="C661" s="521">
        <v>0.06</v>
      </c>
      <c r="D661" s="521">
        <v>0.34</v>
      </c>
      <c r="E661" s="521">
        <v>0.27600000000000002</v>
      </c>
      <c r="F661" s="521">
        <v>0.18</v>
      </c>
      <c r="G661" s="521">
        <v>9.6000000000000002E-2</v>
      </c>
      <c r="H661" s="521">
        <v>3.6999999999999998E-2</v>
      </c>
      <c r="I661" s="521">
        <v>6.0000000000000001E-3</v>
      </c>
      <c r="J661" s="521">
        <v>5.0000000000000001E-3</v>
      </c>
      <c r="K661" s="521">
        <v>0</v>
      </c>
      <c r="L661" s="521">
        <v>0</v>
      </c>
      <c r="M661" s="122"/>
    </row>
    <row r="662" spans="1:13" x14ac:dyDescent="0.2">
      <c r="A662" s="122"/>
      <c r="B662" s="503"/>
      <c r="C662" s="503"/>
      <c r="D662" s="503"/>
      <c r="E662" s="503"/>
      <c r="F662" s="503"/>
      <c r="G662" s="503"/>
      <c r="H662" s="503"/>
      <c r="I662" s="503"/>
      <c r="J662" s="503"/>
      <c r="K662" s="503"/>
      <c r="L662" s="503"/>
      <c r="M662" s="122"/>
    </row>
    <row r="663" spans="1:13" x14ac:dyDescent="0.2">
      <c r="A663" s="122"/>
      <c r="B663" s="503"/>
      <c r="C663" s="503"/>
      <c r="D663" s="503"/>
      <c r="E663" s="503" t="s">
        <v>423</v>
      </c>
      <c r="F663" s="503"/>
      <c r="G663" s="503"/>
      <c r="H663" s="503"/>
      <c r="I663" s="503"/>
      <c r="J663" s="503"/>
      <c r="K663" s="503"/>
      <c r="L663" s="503"/>
      <c r="M663" s="122"/>
    </row>
    <row r="664" spans="1:13" x14ac:dyDescent="0.2">
      <c r="A664" s="122"/>
      <c r="B664" s="503"/>
      <c r="C664" s="503"/>
      <c r="D664" s="503"/>
      <c r="E664" s="503" t="s">
        <v>420</v>
      </c>
      <c r="F664" s="503"/>
      <c r="G664" s="503"/>
      <c r="H664" s="503"/>
      <c r="I664" s="503"/>
      <c r="J664" s="503"/>
      <c r="K664" s="503"/>
      <c r="L664" s="503"/>
      <c r="M664" s="122"/>
    </row>
    <row r="665" spans="1:13" x14ac:dyDescent="0.2">
      <c r="A665" s="122"/>
      <c r="B665" s="503" t="s">
        <v>230</v>
      </c>
      <c r="C665" s="503">
        <v>1</v>
      </c>
      <c r="D665" s="503">
        <v>2</v>
      </c>
      <c r="E665" s="503">
        <v>3</v>
      </c>
      <c r="F665" s="503">
        <v>4</v>
      </c>
      <c r="G665" s="503">
        <v>5</v>
      </c>
      <c r="H665" s="503">
        <v>6</v>
      </c>
      <c r="I665" s="503">
        <v>7</v>
      </c>
      <c r="J665" s="503">
        <v>8</v>
      </c>
      <c r="K665" s="503">
        <v>9</v>
      </c>
      <c r="L665" s="503">
        <v>10</v>
      </c>
      <c r="M665" s="122"/>
    </row>
    <row r="666" spans="1:13" x14ac:dyDescent="0.2">
      <c r="A666" s="122"/>
      <c r="B666" s="503">
        <f>+B642</f>
        <v>2022</v>
      </c>
      <c r="C666" s="521">
        <v>7.0000000000000007E-2</v>
      </c>
      <c r="D666" s="521">
        <v>0.31900000000000001</v>
      </c>
      <c r="E666" s="521">
        <v>0.307</v>
      </c>
      <c r="F666" s="521">
        <v>0.21099999999999999</v>
      </c>
      <c r="G666" s="521">
        <v>5.8000000000000003E-2</v>
      </c>
      <c r="H666" s="521">
        <v>2.3E-2</v>
      </c>
      <c r="I666" s="521">
        <v>7.0000000000000001E-3</v>
      </c>
      <c r="J666" s="521">
        <v>5.0000000000000001E-3</v>
      </c>
      <c r="K666" s="521">
        <v>0</v>
      </c>
      <c r="L666" s="521">
        <v>0</v>
      </c>
      <c r="M666" s="122"/>
    </row>
    <row r="667" spans="1:13" x14ac:dyDescent="0.2">
      <c r="A667" s="122"/>
      <c r="B667" s="503">
        <f t="shared" ref="B667:B668" si="79">+B643</f>
        <v>2023</v>
      </c>
      <c r="C667" s="521">
        <v>7.0000000000000007E-2</v>
      </c>
      <c r="D667" s="521">
        <v>0.31900000000000001</v>
      </c>
      <c r="E667" s="521">
        <v>0.307</v>
      </c>
      <c r="F667" s="521">
        <v>0.21099999999999999</v>
      </c>
      <c r="G667" s="521">
        <v>5.8000000000000003E-2</v>
      </c>
      <c r="H667" s="521">
        <v>2.3E-2</v>
      </c>
      <c r="I667" s="521">
        <v>7.0000000000000001E-3</v>
      </c>
      <c r="J667" s="521">
        <v>5.0000000000000001E-3</v>
      </c>
      <c r="K667" s="521">
        <v>0</v>
      </c>
      <c r="L667" s="521">
        <v>0</v>
      </c>
      <c r="M667" s="122"/>
    </row>
    <row r="668" spans="1:13" x14ac:dyDescent="0.2">
      <c r="A668" s="122"/>
      <c r="B668" s="503">
        <f t="shared" si="79"/>
        <v>2024</v>
      </c>
      <c r="C668" s="521">
        <v>7.0000000000000007E-2</v>
      </c>
      <c r="D668" s="521">
        <v>0.31900000000000001</v>
      </c>
      <c r="E668" s="521">
        <v>0.307</v>
      </c>
      <c r="F668" s="521">
        <v>0.21099999999999999</v>
      </c>
      <c r="G668" s="521">
        <v>5.8000000000000003E-2</v>
      </c>
      <c r="H668" s="521">
        <v>2.3E-2</v>
      </c>
      <c r="I668" s="521">
        <v>7.0000000000000001E-3</v>
      </c>
      <c r="J668" s="521">
        <v>5.0000000000000001E-3</v>
      </c>
      <c r="K668" s="521">
        <v>0</v>
      </c>
      <c r="L668" s="521">
        <v>0</v>
      </c>
      <c r="M668" s="122"/>
    </row>
    <row r="669" spans="1:13" x14ac:dyDescent="0.2">
      <c r="A669" s="122"/>
      <c r="B669" s="503">
        <f>+B645</f>
        <v>2025</v>
      </c>
      <c r="C669" s="521">
        <v>0.04</v>
      </c>
      <c r="D669" s="521">
        <v>0.31900000000000001</v>
      </c>
      <c r="E669" s="521">
        <v>0.307</v>
      </c>
      <c r="F669" s="521">
        <v>0.21099999999999999</v>
      </c>
      <c r="G669" s="521">
        <v>8.7999999999999995E-2</v>
      </c>
      <c r="H669" s="521">
        <v>2.3E-2</v>
      </c>
      <c r="I669" s="521">
        <v>7.0000000000000001E-3</v>
      </c>
      <c r="J669" s="521">
        <v>5.0000000000000001E-3</v>
      </c>
      <c r="K669" s="521">
        <v>0</v>
      </c>
      <c r="L669" s="521">
        <v>0</v>
      </c>
      <c r="M669" s="122"/>
    </row>
    <row r="670" spans="1:13" x14ac:dyDescent="0.2">
      <c r="A670" s="122"/>
      <c r="B670" s="503"/>
      <c r="C670" s="503"/>
      <c r="D670" s="503"/>
      <c r="E670" s="503"/>
      <c r="F670" s="503"/>
      <c r="G670" s="503"/>
      <c r="H670" s="503"/>
      <c r="I670" s="503"/>
      <c r="J670" s="503"/>
      <c r="K670" s="503"/>
      <c r="L670" s="503"/>
      <c r="M670" s="122"/>
    </row>
    <row r="671" spans="1:13" x14ac:dyDescent="0.2">
      <c r="A671" s="122"/>
      <c r="B671" s="503"/>
      <c r="C671" s="503"/>
      <c r="D671" s="503"/>
      <c r="E671" s="503" t="s">
        <v>424</v>
      </c>
      <c r="F671" s="503"/>
      <c r="G671" s="503"/>
      <c r="H671" s="503"/>
      <c r="I671" s="503"/>
      <c r="J671" s="503"/>
      <c r="K671" s="503"/>
      <c r="L671" s="503"/>
      <c r="M671" s="122"/>
    </row>
    <row r="672" spans="1:13" x14ac:dyDescent="0.2">
      <c r="A672" s="122"/>
      <c r="B672" s="503"/>
      <c r="C672" s="503"/>
      <c r="D672" s="503"/>
      <c r="E672" s="503" t="s">
        <v>420</v>
      </c>
      <c r="F672" s="503"/>
      <c r="G672" s="503"/>
      <c r="H672" s="503"/>
      <c r="I672" s="503"/>
      <c r="J672" s="503"/>
      <c r="K672" s="503"/>
      <c r="L672" s="503"/>
      <c r="M672" s="122"/>
    </row>
    <row r="673" spans="1:13" x14ac:dyDescent="0.2">
      <c r="A673" s="122"/>
      <c r="B673" s="503" t="s">
        <v>230</v>
      </c>
      <c r="C673" s="503">
        <v>1</v>
      </c>
      <c r="D673" s="503">
        <v>2</v>
      </c>
      <c r="E673" s="503">
        <v>3</v>
      </c>
      <c r="F673" s="503">
        <v>4</v>
      </c>
      <c r="G673" s="503">
        <v>5</v>
      </c>
      <c r="H673" s="503">
        <v>6</v>
      </c>
      <c r="I673" s="503">
        <v>7</v>
      </c>
      <c r="J673" s="503">
        <v>8</v>
      </c>
      <c r="K673" s="503">
        <v>9</v>
      </c>
      <c r="L673" s="503">
        <v>10</v>
      </c>
      <c r="M673" s="122"/>
    </row>
    <row r="674" spans="1:13" x14ac:dyDescent="0.2">
      <c r="A674" s="122"/>
      <c r="B674" s="503">
        <f>+B642</f>
        <v>2022</v>
      </c>
      <c r="C674" s="521">
        <v>0.08</v>
      </c>
      <c r="D674" s="521">
        <v>0.34699999999999998</v>
      </c>
      <c r="E674" s="521">
        <v>0.32600000000000001</v>
      </c>
      <c r="F674" s="521">
        <v>0.13200000000000001</v>
      </c>
      <c r="G674" s="521">
        <v>6.0999999999999999E-2</v>
      </c>
      <c r="H674" s="521">
        <v>2.5000000000000001E-2</v>
      </c>
      <c r="I674" s="521">
        <v>1.7999999999999999E-2</v>
      </c>
      <c r="J674" s="521">
        <v>1.0999999999999999E-2</v>
      </c>
      <c r="K674" s="521">
        <v>0</v>
      </c>
      <c r="L674" s="521">
        <v>0</v>
      </c>
      <c r="M674" s="122"/>
    </row>
    <row r="675" spans="1:13" x14ac:dyDescent="0.2">
      <c r="A675" s="122"/>
      <c r="B675" s="503">
        <f t="shared" ref="B675:B677" si="80">+B643</f>
        <v>2023</v>
      </c>
      <c r="C675" s="521">
        <v>0.08</v>
      </c>
      <c r="D675" s="521">
        <v>0.34699999999999998</v>
      </c>
      <c r="E675" s="521">
        <v>0.32600000000000001</v>
      </c>
      <c r="F675" s="521">
        <v>0.13200000000000001</v>
      </c>
      <c r="G675" s="521">
        <v>6.0999999999999999E-2</v>
      </c>
      <c r="H675" s="521">
        <v>2.5000000000000001E-2</v>
      </c>
      <c r="I675" s="521">
        <v>1.7999999999999999E-2</v>
      </c>
      <c r="J675" s="521">
        <v>1.0999999999999999E-2</v>
      </c>
      <c r="K675" s="521">
        <v>0</v>
      </c>
      <c r="L675" s="521">
        <v>0</v>
      </c>
      <c r="M675" s="122"/>
    </row>
    <row r="676" spans="1:13" x14ac:dyDescent="0.2">
      <c r="A676" s="122"/>
      <c r="B676" s="503">
        <f t="shared" si="80"/>
        <v>2024</v>
      </c>
      <c r="C676" s="521">
        <v>0.06</v>
      </c>
      <c r="D676" s="521">
        <v>0.34699999999999998</v>
      </c>
      <c r="E676" s="521">
        <v>0.32600000000000001</v>
      </c>
      <c r="F676" s="521">
        <v>0.13200000000000001</v>
      </c>
      <c r="G676" s="521">
        <v>8.1000000000000003E-2</v>
      </c>
      <c r="H676" s="521">
        <v>2.5000000000000001E-2</v>
      </c>
      <c r="I676" s="521">
        <v>1.7999999999999999E-2</v>
      </c>
      <c r="J676" s="521">
        <v>1.0999999999999999E-2</v>
      </c>
      <c r="K676" s="521">
        <v>0</v>
      </c>
      <c r="L676" s="521">
        <v>0</v>
      </c>
      <c r="M676" s="122"/>
    </row>
    <row r="677" spans="1:13" x14ac:dyDescent="0.2">
      <c r="A677" s="122"/>
      <c r="B677" s="503">
        <f t="shared" si="80"/>
        <v>2025</v>
      </c>
      <c r="C677" s="521">
        <v>0.06</v>
      </c>
      <c r="D677" s="521">
        <v>0.34699999999999998</v>
      </c>
      <c r="E677" s="521">
        <v>0.32600000000000001</v>
      </c>
      <c r="F677" s="521">
        <v>0.13200000000000001</v>
      </c>
      <c r="G677" s="521">
        <v>8.1000000000000003E-2</v>
      </c>
      <c r="H677" s="521">
        <v>2.5000000000000001E-2</v>
      </c>
      <c r="I677" s="521">
        <v>1.7999999999999999E-2</v>
      </c>
      <c r="J677" s="521">
        <v>1.0999999999999999E-2</v>
      </c>
      <c r="K677" s="521">
        <v>0</v>
      </c>
      <c r="L677" s="521">
        <v>0</v>
      </c>
      <c r="M677" s="122"/>
    </row>
    <row r="678" spans="1:13" x14ac:dyDescent="0.2">
      <c r="A678" s="122"/>
      <c r="B678" s="503"/>
      <c r="C678" s="503"/>
      <c r="D678" s="503"/>
      <c r="E678" s="503"/>
      <c r="F678" s="503"/>
      <c r="G678" s="503"/>
      <c r="H678" s="503"/>
      <c r="I678" s="503"/>
      <c r="J678" s="503"/>
      <c r="K678" s="503"/>
      <c r="L678" s="503"/>
      <c r="M678" s="122"/>
    </row>
    <row r="679" spans="1:13" x14ac:dyDescent="0.2">
      <c r="A679" s="122"/>
      <c r="B679" s="503"/>
      <c r="C679" s="503"/>
      <c r="D679" s="503"/>
      <c r="E679" s="503" t="s">
        <v>425</v>
      </c>
      <c r="F679" s="503"/>
      <c r="G679" s="503"/>
      <c r="H679" s="503"/>
      <c r="I679" s="503"/>
      <c r="J679" s="503"/>
      <c r="K679" s="503"/>
      <c r="L679" s="503"/>
      <c r="M679" s="122"/>
    </row>
    <row r="680" spans="1:13" x14ac:dyDescent="0.2">
      <c r="A680" s="122"/>
      <c r="B680" s="503"/>
      <c r="C680" s="503"/>
      <c r="D680" s="503"/>
      <c r="E680" s="503" t="s">
        <v>420</v>
      </c>
      <c r="F680" s="503"/>
      <c r="G680" s="503"/>
      <c r="H680" s="503"/>
      <c r="I680" s="503"/>
      <c r="J680" s="503"/>
      <c r="K680" s="503"/>
      <c r="L680" s="503"/>
      <c r="M680" s="122"/>
    </row>
    <row r="681" spans="1:13" x14ac:dyDescent="0.2">
      <c r="A681" s="122"/>
      <c r="B681" s="503" t="s">
        <v>230</v>
      </c>
      <c r="C681" s="503">
        <v>1</v>
      </c>
      <c r="D681" s="503">
        <v>2</v>
      </c>
      <c r="E681" s="503">
        <v>3</v>
      </c>
      <c r="F681" s="503">
        <v>4</v>
      </c>
      <c r="G681" s="503">
        <v>5</v>
      </c>
      <c r="H681" s="503">
        <v>6</v>
      </c>
      <c r="I681" s="503">
        <v>7</v>
      </c>
      <c r="J681" s="503">
        <v>8</v>
      </c>
      <c r="K681" s="503">
        <v>9</v>
      </c>
      <c r="L681" s="503">
        <v>10</v>
      </c>
      <c r="M681" s="122"/>
    </row>
    <row r="682" spans="1:13" x14ac:dyDescent="0.2">
      <c r="A682" s="122"/>
      <c r="B682" s="503">
        <f>+B642</f>
        <v>2022</v>
      </c>
      <c r="C682" s="521">
        <v>0.16</v>
      </c>
      <c r="D682" s="521">
        <v>0.38100000000000001</v>
      </c>
      <c r="E682" s="521">
        <v>0.28899999999999998</v>
      </c>
      <c r="F682" s="521">
        <v>0.08</v>
      </c>
      <c r="G682" s="521">
        <v>0.04</v>
      </c>
      <c r="H682" s="521">
        <v>0.03</v>
      </c>
      <c r="I682" s="521">
        <v>0.01</v>
      </c>
      <c r="J682" s="521">
        <v>0.01</v>
      </c>
      <c r="K682" s="521">
        <v>0</v>
      </c>
      <c r="L682" s="521">
        <v>0</v>
      </c>
      <c r="M682" s="122"/>
    </row>
    <row r="683" spans="1:13" x14ac:dyDescent="0.2">
      <c r="A683" s="122"/>
      <c r="B683" s="503">
        <f t="shared" ref="B683:B685" si="81">+B643</f>
        <v>2023</v>
      </c>
      <c r="C683" s="521">
        <v>0.16</v>
      </c>
      <c r="D683" s="521">
        <v>0.38100000000000001</v>
      </c>
      <c r="E683" s="521">
        <v>0.28899999999999998</v>
      </c>
      <c r="F683" s="521">
        <v>0.08</v>
      </c>
      <c r="G683" s="521">
        <v>0.04</v>
      </c>
      <c r="H683" s="521">
        <v>0.03</v>
      </c>
      <c r="I683" s="521">
        <v>0.01</v>
      </c>
      <c r="J683" s="521">
        <v>0.01</v>
      </c>
      <c r="K683" s="521">
        <v>0</v>
      </c>
      <c r="L683" s="521">
        <v>0</v>
      </c>
      <c r="M683" s="122"/>
    </row>
    <row r="684" spans="1:13" x14ac:dyDescent="0.2">
      <c r="A684" s="122"/>
      <c r="B684" s="503">
        <f t="shared" si="81"/>
        <v>2024</v>
      </c>
      <c r="C684" s="521">
        <v>0.14000000000000001</v>
      </c>
      <c r="D684" s="521">
        <v>0.38100000000000001</v>
      </c>
      <c r="E684" s="521">
        <v>0.28899999999999998</v>
      </c>
      <c r="F684" s="521">
        <v>0.1</v>
      </c>
      <c r="G684" s="521">
        <v>0.04</v>
      </c>
      <c r="H684" s="521">
        <v>0.03</v>
      </c>
      <c r="I684" s="521">
        <v>0.01</v>
      </c>
      <c r="J684" s="521">
        <v>0.01</v>
      </c>
      <c r="K684" s="521">
        <v>0</v>
      </c>
      <c r="L684" s="521">
        <v>0</v>
      </c>
      <c r="M684" s="122"/>
    </row>
    <row r="685" spans="1:13" x14ac:dyDescent="0.2">
      <c r="A685" s="122"/>
      <c r="B685" s="503">
        <f t="shared" si="81"/>
        <v>2025</v>
      </c>
      <c r="C685" s="521">
        <v>0.16</v>
      </c>
      <c r="D685" s="521">
        <v>0.38100000000000001</v>
      </c>
      <c r="E685" s="521">
        <v>0.28899999999999998</v>
      </c>
      <c r="F685" s="521">
        <v>0.08</v>
      </c>
      <c r="G685" s="521">
        <v>0.04</v>
      </c>
      <c r="H685" s="521">
        <v>0.03</v>
      </c>
      <c r="I685" s="521">
        <v>0.01</v>
      </c>
      <c r="J685" s="521">
        <v>0.01</v>
      </c>
      <c r="K685" s="521">
        <v>0</v>
      </c>
      <c r="L685" s="521">
        <v>0</v>
      </c>
      <c r="M685" s="122"/>
    </row>
    <row r="686" spans="1:13" x14ac:dyDescent="0.2">
      <c r="A686" s="122"/>
      <c r="B686" s="503"/>
      <c r="C686" s="503"/>
      <c r="D686" s="503"/>
      <c r="E686" s="503"/>
      <c r="F686" s="503"/>
      <c r="G686" s="503"/>
      <c r="H686" s="503"/>
      <c r="I686" s="503"/>
      <c r="J686" s="503"/>
      <c r="K686" s="503"/>
      <c r="L686" s="503"/>
      <c r="M686" s="122"/>
    </row>
    <row r="687" spans="1:13" x14ac:dyDescent="0.2">
      <c r="A687" s="122"/>
      <c r="B687" s="503"/>
      <c r="C687" s="503"/>
      <c r="D687" s="503"/>
      <c r="E687" s="503" t="s">
        <v>426</v>
      </c>
      <c r="F687" s="503"/>
      <c r="G687" s="503"/>
      <c r="H687" s="503"/>
      <c r="I687" s="503"/>
      <c r="J687" s="503"/>
      <c r="K687" s="503"/>
      <c r="L687" s="503"/>
      <c r="M687" s="122"/>
    </row>
    <row r="688" spans="1:13" x14ac:dyDescent="0.2">
      <c r="A688" s="122"/>
      <c r="B688" s="503"/>
      <c r="C688" s="503"/>
      <c r="D688" s="503"/>
      <c r="E688" s="503" t="s">
        <v>420</v>
      </c>
      <c r="F688" s="503"/>
      <c r="G688" s="503"/>
      <c r="H688" s="503"/>
      <c r="I688" s="503"/>
      <c r="J688" s="503"/>
      <c r="K688" s="503"/>
      <c r="L688" s="503"/>
      <c r="M688" s="122"/>
    </row>
    <row r="689" spans="1:13" x14ac:dyDescent="0.2">
      <c r="A689" s="122"/>
      <c r="B689" s="503" t="s">
        <v>230</v>
      </c>
      <c r="C689" s="503">
        <v>1</v>
      </c>
      <c r="D689" s="503">
        <v>2</v>
      </c>
      <c r="E689" s="503">
        <v>3</v>
      </c>
      <c r="F689" s="503">
        <v>4</v>
      </c>
      <c r="G689" s="503">
        <v>5</v>
      </c>
      <c r="H689" s="503">
        <v>6</v>
      </c>
      <c r="I689" s="503">
        <v>7</v>
      </c>
      <c r="J689" s="503">
        <v>8</v>
      </c>
      <c r="K689" s="503">
        <v>9</v>
      </c>
      <c r="L689" s="503">
        <v>10</v>
      </c>
      <c r="M689" s="122"/>
    </row>
    <row r="690" spans="1:13" x14ac:dyDescent="0.2">
      <c r="A690" s="122"/>
      <c r="B690" s="503">
        <f>+B642</f>
        <v>2022</v>
      </c>
      <c r="C690" s="521">
        <v>0.38319999999999999</v>
      </c>
      <c r="D690" s="521">
        <v>0.4405</v>
      </c>
      <c r="E690" s="521">
        <v>0.1542</v>
      </c>
      <c r="F690" s="521">
        <v>1.47E-2</v>
      </c>
      <c r="G690" s="521">
        <v>7.4000000000000003E-3</v>
      </c>
      <c r="H690" s="521">
        <v>0</v>
      </c>
      <c r="I690" s="521">
        <v>0</v>
      </c>
      <c r="J690" s="521">
        <v>0</v>
      </c>
      <c r="K690" s="521">
        <v>0</v>
      </c>
      <c r="L690" s="521">
        <v>0</v>
      </c>
      <c r="M690" s="122"/>
    </row>
    <row r="691" spans="1:13" x14ac:dyDescent="0.2">
      <c r="A691" s="122"/>
      <c r="B691" s="503">
        <f t="shared" ref="B691:B693" si="82">+B643</f>
        <v>2023</v>
      </c>
      <c r="C691" s="521">
        <v>0.3866</v>
      </c>
      <c r="D691" s="521">
        <v>0.43819999999999998</v>
      </c>
      <c r="E691" s="521">
        <v>0.14610000000000001</v>
      </c>
      <c r="F691" s="521">
        <v>1.46E-2</v>
      </c>
      <c r="G691" s="521">
        <v>1.4500000000000001E-2</v>
      </c>
      <c r="H691" s="521">
        <v>0</v>
      </c>
      <c r="I691" s="521">
        <v>0</v>
      </c>
      <c r="J691" s="521">
        <v>0</v>
      </c>
      <c r="K691" s="521">
        <v>0</v>
      </c>
      <c r="L691" s="521">
        <v>0</v>
      </c>
      <c r="M691" s="122"/>
    </row>
    <row r="692" spans="1:13" x14ac:dyDescent="0.2">
      <c r="A692" s="122"/>
      <c r="B692" s="503">
        <f t="shared" si="82"/>
        <v>2024</v>
      </c>
      <c r="C692" s="521">
        <v>0.45879999999999999</v>
      </c>
      <c r="D692" s="521">
        <v>0.4163</v>
      </c>
      <c r="E692" s="521">
        <v>9.7100000000000006E-2</v>
      </c>
      <c r="F692" s="521">
        <v>1.3899999999999999E-2</v>
      </c>
      <c r="G692" s="521">
        <v>1.3899999999999999E-2</v>
      </c>
      <c r="H692" s="521">
        <v>0</v>
      </c>
      <c r="I692" s="521">
        <v>0</v>
      </c>
      <c r="J692" s="521">
        <v>0</v>
      </c>
      <c r="K692" s="521">
        <v>0</v>
      </c>
      <c r="L692" s="521">
        <v>0</v>
      </c>
      <c r="M692" s="122"/>
    </row>
    <row r="693" spans="1:13" x14ac:dyDescent="0.2">
      <c r="A693" s="122"/>
      <c r="B693" s="503">
        <f t="shared" si="82"/>
        <v>2025</v>
      </c>
      <c r="C693" s="521">
        <v>0.34720000000000001</v>
      </c>
      <c r="D693" s="521">
        <v>0.4788</v>
      </c>
      <c r="E693" s="521">
        <v>0.14510000000000001</v>
      </c>
      <c r="F693" s="521">
        <v>1.4500000000000001E-2</v>
      </c>
      <c r="G693" s="521">
        <v>1.44E-2</v>
      </c>
      <c r="H693" s="521">
        <v>0</v>
      </c>
      <c r="I693" s="521">
        <v>0</v>
      </c>
      <c r="J693" s="521">
        <v>0</v>
      </c>
      <c r="K693" s="521">
        <v>0</v>
      </c>
      <c r="L693" s="521">
        <v>0</v>
      </c>
      <c r="M693" s="122"/>
    </row>
    <row r="694" spans="1:13" x14ac:dyDescent="0.2">
      <c r="A694" s="122"/>
      <c r="B694" s="503"/>
      <c r="C694" s="503"/>
      <c r="D694" s="503"/>
      <c r="E694" s="503"/>
      <c r="F694" s="503"/>
      <c r="G694" s="503"/>
      <c r="H694" s="503"/>
      <c r="I694" s="503"/>
      <c r="J694" s="503"/>
      <c r="K694" s="503"/>
      <c r="L694" s="503"/>
      <c r="M694" s="122"/>
    </row>
    <row r="695" spans="1:13" x14ac:dyDescent="0.2">
      <c r="A695" s="122"/>
      <c r="B695" s="503"/>
      <c r="C695" s="503"/>
      <c r="D695" s="503"/>
      <c r="E695" s="503" t="s">
        <v>427</v>
      </c>
      <c r="F695" s="503"/>
      <c r="G695" s="503"/>
      <c r="H695" s="503"/>
      <c r="I695" s="503"/>
      <c r="J695" s="503"/>
      <c r="K695" s="503"/>
      <c r="L695" s="503"/>
      <c r="M695" s="122"/>
    </row>
    <row r="696" spans="1:13" x14ac:dyDescent="0.2">
      <c r="A696" s="122"/>
      <c r="B696" s="503"/>
      <c r="C696" s="503"/>
      <c r="D696" s="503"/>
      <c r="E696" s="503" t="s">
        <v>420</v>
      </c>
      <c r="F696" s="503"/>
      <c r="G696" s="503"/>
      <c r="H696" s="503"/>
      <c r="I696" s="503"/>
      <c r="J696" s="503"/>
      <c r="K696" s="503"/>
      <c r="L696" s="503"/>
      <c r="M696" s="122"/>
    </row>
    <row r="697" spans="1:13" x14ac:dyDescent="0.2">
      <c r="A697" s="122"/>
      <c r="B697" s="503" t="s">
        <v>230</v>
      </c>
      <c r="C697" s="503">
        <v>1</v>
      </c>
      <c r="D697" s="503">
        <v>2</v>
      </c>
      <c r="E697" s="503">
        <v>3</v>
      </c>
      <c r="F697" s="503">
        <v>4</v>
      </c>
      <c r="G697" s="503">
        <v>5</v>
      </c>
      <c r="H697" s="503">
        <v>6</v>
      </c>
      <c r="I697" s="503">
        <v>7</v>
      </c>
      <c r="J697" s="503">
        <v>8</v>
      </c>
      <c r="K697" s="503">
        <v>9</v>
      </c>
      <c r="L697" s="503">
        <v>10</v>
      </c>
      <c r="M697" s="122"/>
    </row>
    <row r="698" spans="1:13" x14ac:dyDescent="0.2">
      <c r="A698" s="122"/>
      <c r="B698" s="503">
        <f>+B642</f>
        <v>2022</v>
      </c>
      <c r="C698" s="521">
        <v>0.01</v>
      </c>
      <c r="D698" s="521">
        <v>0.19</v>
      </c>
      <c r="E698" s="521">
        <v>0.28000000000000003</v>
      </c>
      <c r="F698" s="521">
        <v>0.15</v>
      </c>
      <c r="G698" s="521">
        <v>0.1</v>
      </c>
      <c r="H698" s="521">
        <v>0.09</v>
      </c>
      <c r="I698" s="521">
        <v>7.0000000000000007E-2</v>
      </c>
      <c r="J698" s="521">
        <v>5.5E-2</v>
      </c>
      <c r="K698" s="521">
        <v>0.03</v>
      </c>
      <c r="L698" s="521">
        <v>2.5000000000000001E-2</v>
      </c>
      <c r="M698" s="122"/>
    </row>
    <row r="699" spans="1:13" x14ac:dyDescent="0.2">
      <c r="A699" s="122"/>
      <c r="B699" s="503">
        <f t="shared" ref="B699:B701" si="83">+B643</f>
        <v>2023</v>
      </c>
      <c r="C699" s="521">
        <v>0.01</v>
      </c>
      <c r="D699" s="521">
        <v>0.19</v>
      </c>
      <c r="E699" s="521">
        <v>0.28000000000000003</v>
      </c>
      <c r="F699" s="521">
        <v>0.15</v>
      </c>
      <c r="G699" s="521">
        <v>0.1</v>
      </c>
      <c r="H699" s="521">
        <v>0.09</v>
      </c>
      <c r="I699" s="521">
        <v>7.0000000000000007E-2</v>
      </c>
      <c r="J699" s="521">
        <v>5.5E-2</v>
      </c>
      <c r="K699" s="521">
        <v>0.03</v>
      </c>
      <c r="L699" s="521">
        <v>2.5000000000000001E-2</v>
      </c>
      <c r="M699" s="122"/>
    </row>
    <row r="700" spans="1:13" x14ac:dyDescent="0.2">
      <c r="A700" s="122"/>
      <c r="B700" s="503">
        <f t="shared" si="83"/>
        <v>2024</v>
      </c>
      <c r="C700" s="521">
        <v>0.01</v>
      </c>
      <c r="D700" s="521">
        <v>0.19</v>
      </c>
      <c r="E700" s="521">
        <v>0.28000000000000003</v>
      </c>
      <c r="F700" s="521">
        <v>0.15</v>
      </c>
      <c r="G700" s="521">
        <v>0.1</v>
      </c>
      <c r="H700" s="521">
        <v>0.09</v>
      </c>
      <c r="I700" s="521">
        <v>7.0000000000000007E-2</v>
      </c>
      <c r="J700" s="521">
        <v>5.5E-2</v>
      </c>
      <c r="K700" s="521">
        <v>0.03</v>
      </c>
      <c r="L700" s="521">
        <v>2.5000000000000001E-2</v>
      </c>
      <c r="M700" s="122"/>
    </row>
    <row r="701" spans="1:13" x14ac:dyDescent="0.2">
      <c r="A701" s="122"/>
      <c r="B701" s="503">
        <f t="shared" si="83"/>
        <v>2025</v>
      </c>
      <c r="C701" s="521">
        <v>0.02</v>
      </c>
      <c r="D701" s="521">
        <v>0.18</v>
      </c>
      <c r="E701" s="521">
        <v>0.28000000000000003</v>
      </c>
      <c r="F701" s="521">
        <v>0.15</v>
      </c>
      <c r="G701" s="521">
        <v>0.1</v>
      </c>
      <c r="H701" s="521">
        <v>0.09</v>
      </c>
      <c r="I701" s="521">
        <v>7.0000000000000007E-2</v>
      </c>
      <c r="J701" s="521">
        <v>5.5E-2</v>
      </c>
      <c r="K701" s="521">
        <v>0.03</v>
      </c>
      <c r="L701" s="521">
        <v>2.5000000000000001E-2</v>
      </c>
      <c r="M701" s="122"/>
    </row>
    <row r="702" spans="1:13" x14ac:dyDescent="0.2">
      <c r="A702" s="122"/>
      <c r="B702" s="122"/>
      <c r="C702" s="122"/>
      <c r="D702" s="122"/>
      <c r="E702" s="122"/>
      <c r="F702" s="122"/>
      <c r="G702" s="122"/>
      <c r="H702" s="122"/>
      <c r="I702" s="122"/>
      <c r="J702" s="122"/>
      <c r="K702" s="122"/>
      <c r="L702" s="122"/>
      <c r="M702" s="122"/>
    </row>
    <row r="703" spans="1:13" x14ac:dyDescent="0.2"/>
  </sheetData>
  <sheetProtection algorithmName="SHA-512" hashValue="V0/EaiqvbJcOONRYQs2Z8UK2WqBpZM6TXdgfKX+znc/0oxbX38q5WJW/rd1A18He9izVfd9axTJZeS26lXpxSQ==" saltValue="bbNsh2NnV7OAkjcQtM6qtA==" spinCount="100000" sheet="1" selectLockedCells="1" selectUnlockedCells="1"/>
  <hyperlinks>
    <hyperlink ref="K637" r:id="rId1" xr:uid="{BD1F525A-A402-4FBB-A473-A7C2132AE88B}"/>
  </hyperlinks>
  <pageMargins left="0.75" right="0.75" top="1" bottom="1" header="0.5" footer="0.5"/>
  <pageSetup orientation="portrait" r:id="rId2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/>
  <dimension ref="A1:M604"/>
  <sheetViews>
    <sheetView workbookViewId="0">
      <selection activeCell="I5" sqref="I5"/>
    </sheetView>
  </sheetViews>
  <sheetFormatPr defaultRowHeight="14.4" x14ac:dyDescent="0.3"/>
  <sheetData>
    <row r="1" spans="1:13" x14ac:dyDescent="0.3">
      <c r="A1" s="541" t="s">
        <v>428</v>
      </c>
      <c r="B1" s="541" t="s">
        <v>429</v>
      </c>
      <c r="C1" s="541" t="s">
        <v>430</v>
      </c>
      <c r="D1" s="541" t="s">
        <v>431</v>
      </c>
      <c r="E1" s="541" t="s">
        <v>432</v>
      </c>
      <c r="F1" s="541" t="s">
        <v>433</v>
      </c>
      <c r="G1" s="541" t="s">
        <v>434</v>
      </c>
      <c r="H1" s="541" t="s">
        <v>435</v>
      </c>
      <c r="I1" s="541" t="s">
        <v>436</v>
      </c>
      <c r="J1" s="541" t="s">
        <v>437</v>
      </c>
      <c r="K1" s="541" t="s">
        <v>438</v>
      </c>
      <c r="L1" s="541" t="s">
        <v>439</v>
      </c>
    </row>
    <row r="2" spans="1:13" ht="15" thickBot="1" x14ac:dyDescent="0.35">
      <c r="A2" s="541" t="s">
        <v>440</v>
      </c>
    </row>
    <row r="3" spans="1:13" ht="15.6" thickTop="1" thickBot="1" x14ac:dyDescent="0.35">
      <c r="A3" s="542" t="s">
        <v>441</v>
      </c>
    </row>
    <row r="4" spans="1:13" ht="15" thickTop="1" x14ac:dyDescent="0.3">
      <c r="A4" t="s">
        <v>442</v>
      </c>
    </row>
    <row r="5" spans="1:13" x14ac:dyDescent="0.3">
      <c r="A5" t="s">
        <v>443</v>
      </c>
      <c r="D5" s="543">
        <v>1</v>
      </c>
    </row>
    <row r="6" spans="1:13" x14ac:dyDescent="0.3">
      <c r="A6" t="s">
        <v>444</v>
      </c>
      <c r="D6" s="543">
        <v>1</v>
      </c>
    </row>
    <row r="7" spans="1:13" x14ac:dyDescent="0.3">
      <c r="A7" t="s">
        <v>445</v>
      </c>
      <c r="D7" s="543">
        <v>3</v>
      </c>
    </row>
    <row r="8" spans="1:13" x14ac:dyDescent="0.3">
      <c r="A8" t="s">
        <v>446</v>
      </c>
      <c r="D8" s="543">
        <v>1</v>
      </c>
    </row>
    <row r="9" spans="1:13" x14ac:dyDescent="0.3">
      <c r="A9" t="s">
        <v>447</v>
      </c>
      <c r="D9" s="543">
        <v>1</v>
      </c>
    </row>
    <row r="10" spans="1:13" x14ac:dyDescent="0.3">
      <c r="A10" t="s">
        <v>296</v>
      </c>
      <c r="D10" s="543">
        <v>8</v>
      </c>
    </row>
    <row r="11" spans="1:13" x14ac:dyDescent="0.3">
      <c r="A11" t="s">
        <v>448</v>
      </c>
      <c r="D11" s="543">
        <v>10</v>
      </c>
    </row>
    <row r="12" spans="1:13" x14ac:dyDescent="0.3">
      <c r="A12" t="s">
        <v>449</v>
      </c>
      <c r="D12" s="543">
        <v>47</v>
      </c>
    </row>
    <row r="13" spans="1:13" x14ac:dyDescent="0.3">
      <c r="A13" t="s">
        <v>450</v>
      </c>
      <c r="D13" s="543">
        <v>1</v>
      </c>
    </row>
    <row r="14" spans="1:13" x14ac:dyDescent="0.3">
      <c r="A14" t="s">
        <v>451</v>
      </c>
      <c r="D14" s="543">
        <v>1</v>
      </c>
    </row>
    <row r="15" spans="1:13" x14ac:dyDescent="0.3">
      <c r="A15" t="s">
        <v>452</v>
      </c>
      <c r="D15" s="543">
        <v>1</v>
      </c>
    </row>
    <row r="16" spans="1:13" x14ac:dyDescent="0.3">
      <c r="A16" t="s">
        <v>453</v>
      </c>
      <c r="D16" s="543">
        <v>1</v>
      </c>
      <c r="E16" s="543">
        <v>1</v>
      </c>
      <c r="M16" t="s">
        <v>454</v>
      </c>
    </row>
    <row r="17" spans="1:13" x14ac:dyDescent="0.3">
      <c r="A17" t="s">
        <v>455</v>
      </c>
      <c r="D17" s="543"/>
    </row>
    <row r="18" spans="1:13" x14ac:dyDescent="0.3">
      <c r="A18" t="s">
        <v>456</v>
      </c>
      <c r="D18" s="543"/>
    </row>
    <row r="19" spans="1:13" x14ac:dyDescent="0.3">
      <c r="A19" t="s">
        <v>457</v>
      </c>
      <c r="D19" s="543"/>
      <c r="E19" s="543"/>
      <c r="M19" t="s">
        <v>458</v>
      </c>
    </row>
    <row r="20" spans="1:13" x14ac:dyDescent="0.3">
      <c r="A20" t="s">
        <v>459</v>
      </c>
      <c r="D20" s="543" t="b">
        <v>1</v>
      </c>
    </row>
    <row r="21" spans="1:13" x14ac:dyDescent="0.3">
      <c r="A21" t="s">
        <v>460</v>
      </c>
      <c r="D21" s="543" t="b">
        <v>1</v>
      </c>
    </row>
    <row r="22" spans="1:13" x14ac:dyDescent="0.3">
      <c r="A22" t="s">
        <v>461</v>
      </c>
      <c r="D22" s="543" t="b">
        <v>1</v>
      </c>
    </row>
    <row r="23" spans="1:13" x14ac:dyDescent="0.3">
      <c r="A23" t="s">
        <v>462</v>
      </c>
      <c r="D23" s="543" t="b">
        <v>1</v>
      </c>
      <c r="E23" s="543" t="b">
        <v>1</v>
      </c>
      <c r="M23" t="s">
        <v>463</v>
      </c>
    </row>
    <row r="24" spans="1:13" x14ac:dyDescent="0.3">
      <c r="A24" t="s">
        <v>464</v>
      </c>
      <c r="D24" s="543">
        <v>7</v>
      </c>
    </row>
    <row r="25" spans="1:13" x14ac:dyDescent="0.3">
      <c r="A25" t="s">
        <v>465</v>
      </c>
      <c r="D25" s="543">
        <v>1</v>
      </c>
    </row>
    <row r="26" spans="1:13" x14ac:dyDescent="0.3">
      <c r="A26" t="s">
        <v>466</v>
      </c>
      <c r="D26" s="543">
        <v>4</v>
      </c>
      <c r="E26" s="543">
        <v>5</v>
      </c>
      <c r="M26" t="s">
        <v>467</v>
      </c>
    </row>
    <row r="27" spans="1:13" x14ac:dyDescent="0.3">
      <c r="A27" t="s">
        <v>468</v>
      </c>
      <c r="D27" s="543">
        <v>2</v>
      </c>
    </row>
    <row r="28" spans="1:13" x14ac:dyDescent="0.3">
      <c r="A28" t="s">
        <v>469</v>
      </c>
      <c r="D28" s="543">
        <v>3</v>
      </c>
    </row>
    <row r="29" spans="1:13" x14ac:dyDescent="0.3">
      <c r="A29" t="s">
        <v>470</v>
      </c>
      <c r="D29" s="543">
        <v>6</v>
      </c>
      <c r="E29" s="543">
        <v>8</v>
      </c>
      <c r="M29" t="s">
        <v>471</v>
      </c>
    </row>
    <row r="30" spans="1:13" x14ac:dyDescent="0.3">
      <c r="A30" t="s">
        <v>472</v>
      </c>
      <c r="D30" s="543">
        <v>5</v>
      </c>
    </row>
    <row r="31" spans="1:13" x14ac:dyDescent="0.3">
      <c r="A31" t="s">
        <v>473</v>
      </c>
      <c r="D31" s="543">
        <v>5</v>
      </c>
    </row>
    <row r="32" spans="1:13" x14ac:dyDescent="0.3">
      <c r="A32" t="s">
        <v>474</v>
      </c>
      <c r="D32" s="543">
        <v>5</v>
      </c>
      <c r="E32" s="543">
        <v>5</v>
      </c>
      <c r="M32" t="s">
        <v>475</v>
      </c>
    </row>
    <row r="33" spans="1:11" x14ac:dyDescent="0.3">
      <c r="A33" t="s">
        <v>476</v>
      </c>
      <c r="D33" s="543">
        <v>1</v>
      </c>
      <c r="E33" s="543">
        <v>1</v>
      </c>
      <c r="F33" s="543">
        <v>1</v>
      </c>
      <c r="G33" s="543">
        <v>1</v>
      </c>
      <c r="H33" s="543">
        <v>1</v>
      </c>
      <c r="I33" s="543">
        <v>1</v>
      </c>
      <c r="J33" s="543">
        <v>1</v>
      </c>
      <c r="K33" s="543">
        <v>1</v>
      </c>
    </row>
    <row r="34" spans="1:11" x14ac:dyDescent="0.3">
      <c r="A34" t="s">
        <v>477</v>
      </c>
      <c r="D34" s="543">
        <v>1</v>
      </c>
      <c r="E34" s="543">
        <v>1</v>
      </c>
      <c r="F34" s="543">
        <v>1</v>
      </c>
      <c r="G34" s="543">
        <v>1</v>
      </c>
      <c r="H34" s="543">
        <v>1</v>
      </c>
      <c r="I34" s="543">
        <v>1</v>
      </c>
      <c r="J34" s="543">
        <v>1</v>
      </c>
      <c r="K34" s="543">
        <v>1</v>
      </c>
    </row>
    <row r="35" spans="1:11" x14ac:dyDescent="0.3">
      <c r="A35" t="s">
        <v>478</v>
      </c>
      <c r="D35" s="543">
        <v>1</v>
      </c>
      <c r="E35" s="543">
        <v>1</v>
      </c>
      <c r="F35" s="543">
        <v>1</v>
      </c>
      <c r="G35" s="543">
        <v>1</v>
      </c>
      <c r="H35" s="543">
        <v>1</v>
      </c>
      <c r="I35" s="543">
        <v>1</v>
      </c>
      <c r="J35" s="543">
        <v>1</v>
      </c>
      <c r="K35" s="543">
        <v>1</v>
      </c>
    </row>
    <row r="36" spans="1:11" x14ac:dyDescent="0.3">
      <c r="A36" t="s">
        <v>479</v>
      </c>
      <c r="D36" s="543">
        <v>1</v>
      </c>
      <c r="E36" s="543">
        <v>1</v>
      </c>
      <c r="F36" s="543">
        <v>1</v>
      </c>
      <c r="G36" s="543">
        <v>1</v>
      </c>
      <c r="H36" s="543">
        <v>1</v>
      </c>
      <c r="I36" s="543">
        <v>1</v>
      </c>
      <c r="J36" s="543">
        <v>1</v>
      </c>
      <c r="K36" s="543">
        <v>1</v>
      </c>
    </row>
    <row r="37" spans="1:11" x14ac:dyDescent="0.3">
      <c r="A37" t="s">
        <v>480</v>
      </c>
      <c r="D37" s="544"/>
      <c r="E37" s="544"/>
      <c r="F37" s="544"/>
      <c r="G37" s="544"/>
      <c r="H37" s="544"/>
      <c r="I37" s="544"/>
      <c r="J37" s="544"/>
      <c r="K37" s="544"/>
    </row>
    <row r="38" spans="1:11" x14ac:dyDescent="0.3">
      <c r="A38" t="s">
        <v>481</v>
      </c>
      <c r="D38" s="543">
        <v>1</v>
      </c>
      <c r="E38" s="543">
        <v>1</v>
      </c>
      <c r="F38" s="543">
        <v>1</v>
      </c>
      <c r="G38" s="543">
        <v>1</v>
      </c>
      <c r="H38" s="543">
        <v>1</v>
      </c>
      <c r="I38" s="543">
        <v>1</v>
      </c>
      <c r="J38" s="543">
        <v>1</v>
      </c>
      <c r="K38" s="543">
        <v>1</v>
      </c>
    </row>
    <row r="39" spans="1:11" x14ac:dyDescent="0.3">
      <c r="A39" t="s">
        <v>482</v>
      </c>
      <c r="D39" s="543">
        <v>1</v>
      </c>
      <c r="E39" s="543">
        <v>1</v>
      </c>
      <c r="F39" s="543">
        <v>1</v>
      </c>
      <c r="G39" s="543">
        <v>1</v>
      </c>
      <c r="H39" s="543">
        <v>1</v>
      </c>
      <c r="I39" s="543">
        <v>1</v>
      </c>
      <c r="J39" s="543">
        <v>1</v>
      </c>
      <c r="K39" s="543">
        <v>1</v>
      </c>
    </row>
    <row r="40" spans="1:11" x14ac:dyDescent="0.3">
      <c r="A40" t="s">
        <v>483</v>
      </c>
      <c r="D40" s="543">
        <v>1</v>
      </c>
      <c r="E40" s="543">
        <v>1</v>
      </c>
      <c r="F40" s="543">
        <v>1</v>
      </c>
      <c r="G40" s="543">
        <v>1</v>
      </c>
      <c r="H40" s="543">
        <v>1</v>
      </c>
      <c r="I40" s="543">
        <v>1</v>
      </c>
      <c r="J40" s="543">
        <v>1</v>
      </c>
      <c r="K40" s="543">
        <v>1</v>
      </c>
    </row>
    <row r="41" spans="1:11" x14ac:dyDescent="0.3">
      <c r="A41" t="s">
        <v>484</v>
      </c>
      <c r="D41" s="543">
        <v>1</v>
      </c>
      <c r="E41" s="543">
        <v>1</v>
      </c>
      <c r="F41" s="543">
        <v>1</v>
      </c>
      <c r="G41" s="543">
        <v>1</v>
      </c>
      <c r="H41" s="543">
        <v>1</v>
      </c>
      <c r="I41" s="543">
        <v>1</v>
      </c>
      <c r="J41" s="543">
        <v>1</v>
      </c>
      <c r="K41" s="543">
        <v>1</v>
      </c>
    </row>
    <row r="42" spans="1:11" x14ac:dyDescent="0.3">
      <c r="A42" t="s">
        <v>485</v>
      </c>
      <c r="D42" s="543">
        <v>1</v>
      </c>
      <c r="E42" s="543">
        <v>1</v>
      </c>
      <c r="F42" s="543">
        <v>1</v>
      </c>
      <c r="G42" s="543">
        <v>1</v>
      </c>
      <c r="H42" s="543">
        <v>1</v>
      </c>
      <c r="I42" s="543">
        <v>1</v>
      </c>
      <c r="J42" s="543">
        <v>1</v>
      </c>
      <c r="K42" s="543">
        <v>1</v>
      </c>
    </row>
    <row r="43" spans="1:11" x14ac:dyDescent="0.3">
      <c r="A43" t="s">
        <v>486</v>
      </c>
      <c r="D43" s="543">
        <v>1</v>
      </c>
      <c r="E43" s="543">
        <v>1</v>
      </c>
      <c r="F43" s="543">
        <v>1</v>
      </c>
      <c r="G43" s="543">
        <v>1</v>
      </c>
      <c r="H43" s="543">
        <v>1</v>
      </c>
      <c r="I43" s="543">
        <v>1</v>
      </c>
      <c r="J43" s="543">
        <v>1</v>
      </c>
      <c r="K43" s="543">
        <v>1</v>
      </c>
    </row>
    <row r="44" spans="1:11" x14ac:dyDescent="0.3">
      <c r="A44" t="s">
        <v>487</v>
      </c>
      <c r="D44" s="543">
        <v>1</v>
      </c>
      <c r="E44" s="543">
        <v>1</v>
      </c>
      <c r="F44" s="543">
        <v>1</v>
      </c>
      <c r="G44" s="543">
        <v>1</v>
      </c>
      <c r="H44" s="543">
        <v>1</v>
      </c>
      <c r="I44" s="543">
        <v>1</v>
      </c>
      <c r="J44" s="543">
        <v>1</v>
      </c>
      <c r="K44" s="543">
        <v>1</v>
      </c>
    </row>
    <row r="45" spans="1:11" x14ac:dyDescent="0.3">
      <c r="A45" t="s">
        <v>488</v>
      </c>
      <c r="D45" s="543">
        <v>1</v>
      </c>
      <c r="E45" s="543">
        <v>1</v>
      </c>
      <c r="F45" s="543">
        <v>1</v>
      </c>
      <c r="G45" s="543">
        <v>1</v>
      </c>
      <c r="H45" s="543">
        <v>1</v>
      </c>
      <c r="I45" s="543">
        <v>1</v>
      </c>
      <c r="J45" s="543">
        <v>1</v>
      </c>
      <c r="K45" s="543">
        <v>1</v>
      </c>
    </row>
    <row r="46" spans="1:11" x14ac:dyDescent="0.3">
      <c r="A46" t="s">
        <v>489</v>
      </c>
      <c r="D46" s="543">
        <v>1</v>
      </c>
      <c r="E46" s="543">
        <v>1</v>
      </c>
      <c r="F46" s="543">
        <v>1</v>
      </c>
      <c r="G46" s="543">
        <v>1</v>
      </c>
      <c r="H46" s="543">
        <v>1</v>
      </c>
      <c r="I46" s="543">
        <v>1</v>
      </c>
      <c r="J46" s="543">
        <v>1</v>
      </c>
      <c r="K46" s="543">
        <v>1</v>
      </c>
    </row>
    <row r="47" spans="1:11" x14ac:dyDescent="0.3">
      <c r="A47" t="s">
        <v>490</v>
      </c>
      <c r="D47" s="543">
        <v>1</v>
      </c>
      <c r="E47" s="543">
        <v>1</v>
      </c>
      <c r="F47" s="543">
        <v>1</v>
      </c>
      <c r="G47" s="543">
        <v>1</v>
      </c>
      <c r="H47" s="543">
        <v>1</v>
      </c>
      <c r="I47" s="543">
        <v>1</v>
      </c>
      <c r="J47" s="543">
        <v>1</v>
      </c>
      <c r="K47" s="543">
        <v>1</v>
      </c>
    </row>
    <row r="48" spans="1:11" x14ac:dyDescent="0.3">
      <c r="A48" t="s">
        <v>491</v>
      </c>
      <c r="D48" s="543">
        <v>1</v>
      </c>
      <c r="E48" s="543">
        <v>1</v>
      </c>
      <c r="F48" s="543">
        <v>1</v>
      </c>
      <c r="G48" s="543">
        <v>1</v>
      </c>
      <c r="H48" s="543">
        <v>1</v>
      </c>
      <c r="I48" s="543">
        <v>1</v>
      </c>
      <c r="J48" s="543">
        <v>1</v>
      </c>
      <c r="K48" s="543">
        <v>1</v>
      </c>
    </row>
    <row r="49" spans="1:11" x14ac:dyDescent="0.3">
      <c r="A49" t="s">
        <v>492</v>
      </c>
      <c r="D49" s="544"/>
      <c r="E49" s="544"/>
      <c r="F49" s="544"/>
      <c r="G49" s="544"/>
      <c r="H49" s="544"/>
      <c r="I49" s="544"/>
      <c r="J49" s="544"/>
      <c r="K49" s="544"/>
    </row>
    <row r="50" spans="1:11" x14ac:dyDescent="0.3">
      <c r="A50" t="s">
        <v>493</v>
      </c>
      <c r="D50" s="543">
        <v>1</v>
      </c>
      <c r="E50" s="543">
        <v>1</v>
      </c>
      <c r="F50" s="543">
        <v>1</v>
      </c>
      <c r="G50" s="543">
        <v>1</v>
      </c>
      <c r="H50" s="543">
        <v>1</v>
      </c>
      <c r="I50" s="543">
        <v>1</v>
      </c>
      <c r="J50" s="543">
        <v>1</v>
      </c>
      <c r="K50" s="543">
        <v>1</v>
      </c>
    </row>
    <row r="51" spans="1:11" x14ac:dyDescent="0.3">
      <c r="A51" t="s">
        <v>494</v>
      </c>
      <c r="D51" s="543">
        <v>1</v>
      </c>
      <c r="E51" s="543">
        <v>1</v>
      </c>
      <c r="F51" s="543">
        <v>1</v>
      </c>
      <c r="G51" s="543">
        <v>1</v>
      </c>
      <c r="H51" s="543">
        <v>1</v>
      </c>
      <c r="I51" s="543">
        <v>1</v>
      </c>
      <c r="J51" s="543">
        <v>1</v>
      </c>
      <c r="K51" s="543">
        <v>1</v>
      </c>
    </row>
    <row r="52" spans="1:11" x14ac:dyDescent="0.3">
      <c r="A52" t="s">
        <v>495</v>
      </c>
      <c r="D52" s="543">
        <v>1</v>
      </c>
      <c r="E52" s="543">
        <v>1</v>
      </c>
      <c r="F52" s="543">
        <v>1</v>
      </c>
      <c r="G52" s="543">
        <v>1</v>
      </c>
      <c r="H52" s="543">
        <v>1</v>
      </c>
      <c r="I52" s="543">
        <v>1</v>
      </c>
      <c r="J52" s="543">
        <v>1</v>
      </c>
      <c r="K52" s="543">
        <v>1</v>
      </c>
    </row>
    <row r="53" spans="1:11" x14ac:dyDescent="0.3">
      <c r="A53" t="s">
        <v>496</v>
      </c>
      <c r="D53" s="544"/>
      <c r="E53" s="544"/>
      <c r="F53" s="544"/>
      <c r="G53" s="544"/>
      <c r="H53" s="544"/>
      <c r="I53" s="544"/>
      <c r="J53" s="544"/>
      <c r="K53" s="544"/>
    </row>
    <row r="54" spans="1:11" x14ac:dyDescent="0.3">
      <c r="A54" t="s">
        <v>497</v>
      </c>
      <c r="D54" s="543">
        <v>1</v>
      </c>
      <c r="E54" s="543">
        <v>1</v>
      </c>
      <c r="F54" s="543">
        <v>1</v>
      </c>
      <c r="G54" s="543">
        <v>1</v>
      </c>
      <c r="H54" s="543">
        <v>1</v>
      </c>
      <c r="I54" s="543">
        <v>1</v>
      </c>
      <c r="J54" s="543">
        <v>1</v>
      </c>
      <c r="K54" s="543">
        <v>1</v>
      </c>
    </row>
    <row r="55" spans="1:11" x14ac:dyDescent="0.3">
      <c r="A55" t="s">
        <v>498</v>
      </c>
      <c r="D55" s="543">
        <v>1</v>
      </c>
      <c r="E55" s="543">
        <v>1</v>
      </c>
      <c r="F55" s="543">
        <v>1</v>
      </c>
      <c r="G55" s="543">
        <v>1</v>
      </c>
      <c r="H55" s="543">
        <v>1</v>
      </c>
      <c r="I55" s="543">
        <v>1</v>
      </c>
      <c r="J55" s="543">
        <v>1</v>
      </c>
      <c r="K55" s="543">
        <v>1</v>
      </c>
    </row>
    <row r="56" spans="1:11" x14ac:dyDescent="0.3">
      <c r="A56" t="s">
        <v>499</v>
      </c>
      <c r="D56" s="543">
        <v>1</v>
      </c>
      <c r="E56" s="543">
        <v>1</v>
      </c>
      <c r="F56" s="543">
        <v>1</v>
      </c>
      <c r="G56" s="543">
        <v>1</v>
      </c>
      <c r="H56" s="543">
        <v>1</v>
      </c>
      <c r="I56" s="543">
        <v>1</v>
      </c>
      <c r="J56" s="543">
        <v>1</v>
      </c>
      <c r="K56" s="543">
        <v>1</v>
      </c>
    </row>
    <row r="57" spans="1:11" x14ac:dyDescent="0.3">
      <c r="A57" t="s">
        <v>500</v>
      </c>
      <c r="D57" s="543"/>
    </row>
    <row r="58" spans="1:11" x14ac:dyDescent="0.3">
      <c r="A58" t="s">
        <v>501</v>
      </c>
      <c r="D58" s="544"/>
    </row>
    <row r="59" spans="1:11" x14ac:dyDescent="0.3">
      <c r="A59" t="s">
        <v>502</v>
      </c>
      <c r="D59" s="544"/>
    </row>
    <row r="60" spans="1:11" x14ac:dyDescent="0.3">
      <c r="A60" t="s">
        <v>503</v>
      </c>
      <c r="D60" s="545" t="s">
        <v>504</v>
      </c>
      <c r="E60" s="546" t="s">
        <v>504</v>
      </c>
      <c r="F60" s="546" t="s">
        <v>504</v>
      </c>
      <c r="G60" s="546" t="s">
        <v>504</v>
      </c>
      <c r="H60" s="547" t="s">
        <v>504</v>
      </c>
    </row>
    <row r="61" spans="1:11" x14ac:dyDescent="0.3">
      <c r="A61" t="s">
        <v>505</v>
      </c>
      <c r="D61" s="548" t="s">
        <v>504</v>
      </c>
      <c r="E61" s="548" t="s">
        <v>504</v>
      </c>
      <c r="F61" s="548" t="s">
        <v>504</v>
      </c>
      <c r="G61" s="548" t="s">
        <v>504</v>
      </c>
      <c r="H61" s="548" t="s">
        <v>504</v>
      </c>
      <c r="I61" s="548" t="s">
        <v>504</v>
      </c>
      <c r="J61" s="548" t="s">
        <v>504</v>
      </c>
      <c r="K61" s="548" t="s">
        <v>504</v>
      </c>
    </row>
    <row r="62" spans="1:11" x14ac:dyDescent="0.3">
      <c r="A62" t="s">
        <v>506</v>
      </c>
      <c r="D62" s="548" t="s">
        <v>504</v>
      </c>
      <c r="E62" s="548" t="s">
        <v>504</v>
      </c>
      <c r="F62" s="548" t="s">
        <v>504</v>
      </c>
      <c r="G62" s="548" t="s">
        <v>504</v>
      </c>
      <c r="H62" s="548" t="s">
        <v>504</v>
      </c>
      <c r="I62" s="548" t="s">
        <v>504</v>
      </c>
      <c r="J62" s="548" t="s">
        <v>504</v>
      </c>
      <c r="K62" s="548" t="s">
        <v>504</v>
      </c>
    </row>
    <row r="63" spans="1:11" x14ac:dyDescent="0.3">
      <c r="A63" t="s">
        <v>507</v>
      </c>
      <c r="D63" s="548" t="s">
        <v>504</v>
      </c>
      <c r="E63" s="548" t="s">
        <v>504</v>
      </c>
      <c r="F63" s="548" t="s">
        <v>504</v>
      </c>
      <c r="G63" s="548" t="s">
        <v>504</v>
      </c>
      <c r="H63" s="548" t="s">
        <v>504</v>
      </c>
      <c r="I63" s="548" t="s">
        <v>504</v>
      </c>
      <c r="J63" s="548" t="s">
        <v>504</v>
      </c>
      <c r="K63" s="548" t="s">
        <v>504</v>
      </c>
    </row>
    <row r="64" spans="1:11" x14ac:dyDescent="0.3">
      <c r="A64" t="s">
        <v>508</v>
      </c>
      <c r="D64" s="548" t="s">
        <v>504</v>
      </c>
      <c r="E64" s="548" t="s">
        <v>504</v>
      </c>
      <c r="F64" s="548" t="s">
        <v>504</v>
      </c>
      <c r="G64" s="548" t="s">
        <v>504</v>
      </c>
      <c r="H64" s="548" t="s">
        <v>504</v>
      </c>
      <c r="I64" s="548" t="s">
        <v>504</v>
      </c>
      <c r="J64" s="548" t="s">
        <v>504</v>
      </c>
      <c r="K64" s="548" t="s">
        <v>504</v>
      </c>
    </row>
    <row r="65" spans="1:11" x14ac:dyDescent="0.3">
      <c r="A65" t="s">
        <v>509</v>
      </c>
      <c r="D65" s="548" t="s">
        <v>504</v>
      </c>
      <c r="E65" s="548" t="s">
        <v>504</v>
      </c>
      <c r="F65" s="548" t="s">
        <v>504</v>
      </c>
      <c r="G65" s="548" t="s">
        <v>504</v>
      </c>
      <c r="H65" s="548" t="s">
        <v>504</v>
      </c>
      <c r="I65" s="548" t="s">
        <v>504</v>
      </c>
      <c r="J65" s="548" t="s">
        <v>504</v>
      </c>
      <c r="K65" s="548" t="s">
        <v>504</v>
      </c>
    </row>
    <row r="66" spans="1:11" x14ac:dyDescent="0.3">
      <c r="A66" t="s">
        <v>510</v>
      </c>
      <c r="D66" s="548" t="s">
        <v>504</v>
      </c>
      <c r="E66" s="548" t="s">
        <v>504</v>
      </c>
      <c r="F66" s="548" t="s">
        <v>504</v>
      </c>
      <c r="G66" s="548" t="s">
        <v>504</v>
      </c>
      <c r="H66" s="548" t="s">
        <v>504</v>
      </c>
      <c r="I66" s="548" t="s">
        <v>504</v>
      </c>
      <c r="J66" s="548" t="s">
        <v>504</v>
      </c>
      <c r="K66" s="548" t="s">
        <v>504</v>
      </c>
    </row>
    <row r="67" spans="1:11" x14ac:dyDescent="0.3">
      <c r="A67" t="s">
        <v>511</v>
      </c>
      <c r="D67" s="548" t="s">
        <v>504</v>
      </c>
      <c r="E67" s="548" t="s">
        <v>504</v>
      </c>
      <c r="F67" s="548" t="s">
        <v>504</v>
      </c>
      <c r="G67" s="548" t="s">
        <v>504</v>
      </c>
      <c r="H67" s="548" t="s">
        <v>504</v>
      </c>
      <c r="I67" s="548" t="s">
        <v>504</v>
      </c>
      <c r="J67" s="548" t="s">
        <v>504</v>
      </c>
      <c r="K67" s="548" t="s">
        <v>504</v>
      </c>
    </row>
    <row r="68" spans="1:11" x14ac:dyDescent="0.3">
      <c r="A68" t="s">
        <v>512</v>
      </c>
      <c r="D68" s="548" t="s">
        <v>504</v>
      </c>
      <c r="E68" s="548" t="s">
        <v>504</v>
      </c>
      <c r="F68" s="548" t="s">
        <v>504</v>
      </c>
      <c r="G68" s="548" t="s">
        <v>504</v>
      </c>
      <c r="H68" s="548" t="s">
        <v>504</v>
      </c>
      <c r="I68" s="548" t="s">
        <v>504</v>
      </c>
      <c r="J68" s="548" t="s">
        <v>504</v>
      </c>
      <c r="K68" s="548" t="s">
        <v>504</v>
      </c>
    </row>
    <row r="69" spans="1:11" x14ac:dyDescent="0.3">
      <c r="A69" t="s">
        <v>513</v>
      </c>
      <c r="D69" s="548" t="s">
        <v>504</v>
      </c>
      <c r="E69" s="548" t="s">
        <v>504</v>
      </c>
      <c r="F69" s="548" t="s">
        <v>504</v>
      </c>
      <c r="G69" s="548" t="s">
        <v>504</v>
      </c>
      <c r="H69" s="548" t="s">
        <v>504</v>
      </c>
      <c r="I69" s="548" t="s">
        <v>504</v>
      </c>
      <c r="J69" s="548" t="s">
        <v>504</v>
      </c>
      <c r="K69" s="548" t="s">
        <v>504</v>
      </c>
    </row>
    <row r="70" spans="1:11" x14ac:dyDescent="0.3">
      <c r="A70" t="s">
        <v>514</v>
      </c>
      <c r="D70" s="548" t="s">
        <v>504</v>
      </c>
      <c r="E70" s="548" t="s">
        <v>504</v>
      </c>
      <c r="F70" s="548" t="s">
        <v>504</v>
      </c>
      <c r="G70" s="548" t="s">
        <v>504</v>
      </c>
      <c r="H70" s="548" t="s">
        <v>504</v>
      </c>
      <c r="I70" s="548" t="s">
        <v>504</v>
      </c>
      <c r="J70" s="548" t="s">
        <v>504</v>
      </c>
      <c r="K70" s="548" t="s">
        <v>504</v>
      </c>
    </row>
    <row r="71" spans="1:11" x14ac:dyDescent="0.3">
      <c r="A71" t="s">
        <v>515</v>
      </c>
      <c r="D71" s="548" t="s">
        <v>504</v>
      </c>
      <c r="E71" s="548" t="s">
        <v>504</v>
      </c>
      <c r="F71" s="548" t="s">
        <v>504</v>
      </c>
      <c r="G71" s="548" t="s">
        <v>504</v>
      </c>
      <c r="H71" s="548" t="s">
        <v>504</v>
      </c>
      <c r="I71" s="548" t="s">
        <v>504</v>
      </c>
      <c r="J71" s="548" t="s">
        <v>504</v>
      </c>
      <c r="K71" s="548" t="s">
        <v>504</v>
      </c>
    </row>
    <row r="72" spans="1:11" x14ac:dyDescent="0.3">
      <c r="A72" t="s">
        <v>516</v>
      </c>
      <c r="D72" s="548" t="s">
        <v>504</v>
      </c>
      <c r="E72" s="548" t="s">
        <v>504</v>
      </c>
      <c r="F72" s="548" t="s">
        <v>504</v>
      </c>
      <c r="G72" s="548" t="s">
        <v>504</v>
      </c>
      <c r="H72" s="548" t="s">
        <v>504</v>
      </c>
      <c r="I72" s="548" t="s">
        <v>504</v>
      </c>
      <c r="J72" s="548" t="s">
        <v>504</v>
      </c>
      <c r="K72" s="548" t="s">
        <v>504</v>
      </c>
    </row>
    <row r="73" spans="1:11" x14ac:dyDescent="0.3">
      <c r="A73" t="s">
        <v>517</v>
      </c>
      <c r="D73" s="548" t="s">
        <v>504</v>
      </c>
      <c r="E73" s="548" t="s">
        <v>504</v>
      </c>
      <c r="F73" s="548" t="s">
        <v>504</v>
      </c>
      <c r="G73" s="548" t="s">
        <v>504</v>
      </c>
      <c r="H73" s="548" t="s">
        <v>504</v>
      </c>
      <c r="I73" s="548" t="s">
        <v>504</v>
      </c>
      <c r="J73" s="548" t="s">
        <v>504</v>
      </c>
      <c r="K73" s="548" t="s">
        <v>504</v>
      </c>
    </row>
    <row r="74" spans="1:11" x14ac:dyDescent="0.3">
      <c r="A74" t="s">
        <v>518</v>
      </c>
      <c r="D74" s="548" t="s">
        <v>504</v>
      </c>
      <c r="E74" s="548" t="s">
        <v>504</v>
      </c>
      <c r="F74" s="548" t="s">
        <v>504</v>
      </c>
      <c r="G74" s="548" t="s">
        <v>504</v>
      </c>
      <c r="H74" s="548" t="s">
        <v>504</v>
      </c>
      <c r="I74" s="548" t="s">
        <v>504</v>
      </c>
      <c r="J74" s="548" t="s">
        <v>504</v>
      </c>
      <c r="K74" s="548" t="s">
        <v>504</v>
      </c>
    </row>
    <row r="75" spans="1:11" x14ac:dyDescent="0.3">
      <c r="A75" t="s">
        <v>519</v>
      </c>
      <c r="D75" s="548" t="s">
        <v>504</v>
      </c>
      <c r="E75" s="548" t="s">
        <v>504</v>
      </c>
      <c r="F75" s="548" t="s">
        <v>504</v>
      </c>
      <c r="G75" s="548" t="s">
        <v>504</v>
      </c>
      <c r="H75" s="548" t="s">
        <v>504</v>
      </c>
      <c r="I75" s="548" t="s">
        <v>504</v>
      </c>
      <c r="J75" s="548" t="s">
        <v>504</v>
      </c>
      <c r="K75" s="548" t="s">
        <v>504</v>
      </c>
    </row>
    <row r="76" spans="1:11" x14ac:dyDescent="0.3">
      <c r="A76" t="s">
        <v>520</v>
      </c>
      <c r="D76" s="548" t="s">
        <v>504</v>
      </c>
      <c r="E76" s="548" t="s">
        <v>504</v>
      </c>
      <c r="F76" s="548" t="s">
        <v>504</v>
      </c>
      <c r="G76" s="548" t="s">
        <v>504</v>
      </c>
      <c r="H76" s="548" t="s">
        <v>504</v>
      </c>
      <c r="I76" s="548" t="s">
        <v>504</v>
      </c>
      <c r="J76" s="548" t="s">
        <v>504</v>
      </c>
      <c r="K76" s="548" t="s">
        <v>504</v>
      </c>
    </row>
    <row r="77" spans="1:11" x14ac:dyDescent="0.3">
      <c r="A77" t="s">
        <v>521</v>
      </c>
      <c r="D77" s="548" t="s">
        <v>504</v>
      </c>
      <c r="E77" s="548" t="s">
        <v>504</v>
      </c>
      <c r="F77" s="548" t="s">
        <v>504</v>
      </c>
      <c r="G77" s="548" t="s">
        <v>504</v>
      </c>
      <c r="H77" s="548" t="s">
        <v>504</v>
      </c>
      <c r="I77" s="548" t="s">
        <v>504</v>
      </c>
      <c r="J77" s="548" t="s">
        <v>504</v>
      </c>
      <c r="K77" s="548" t="s">
        <v>504</v>
      </c>
    </row>
    <row r="78" spans="1:11" x14ac:dyDescent="0.3">
      <c r="A78" t="s">
        <v>522</v>
      </c>
      <c r="D78" s="548" t="s">
        <v>504</v>
      </c>
      <c r="E78" s="548" t="s">
        <v>504</v>
      </c>
      <c r="F78" s="548" t="s">
        <v>504</v>
      </c>
      <c r="G78" s="548" t="s">
        <v>504</v>
      </c>
      <c r="H78" s="548" t="s">
        <v>504</v>
      </c>
      <c r="I78" s="548" t="s">
        <v>504</v>
      </c>
      <c r="J78" s="548" t="s">
        <v>504</v>
      </c>
      <c r="K78" s="548" t="s">
        <v>504</v>
      </c>
    </row>
    <row r="79" spans="1:11" x14ac:dyDescent="0.3">
      <c r="A79" t="s">
        <v>523</v>
      </c>
      <c r="D79" s="548" t="s">
        <v>504</v>
      </c>
      <c r="E79" s="548" t="s">
        <v>504</v>
      </c>
      <c r="F79" s="548" t="s">
        <v>504</v>
      </c>
      <c r="G79" s="548" t="s">
        <v>504</v>
      </c>
      <c r="H79" s="548" t="s">
        <v>504</v>
      </c>
      <c r="I79" s="548" t="s">
        <v>504</v>
      </c>
      <c r="J79" s="548" t="s">
        <v>504</v>
      </c>
      <c r="K79" s="548" t="s">
        <v>504</v>
      </c>
    </row>
    <row r="80" spans="1:11" x14ac:dyDescent="0.3">
      <c r="A80" t="s">
        <v>524</v>
      </c>
      <c r="D80" s="548" t="s">
        <v>504</v>
      </c>
      <c r="E80" s="548" t="s">
        <v>504</v>
      </c>
      <c r="F80" s="548" t="s">
        <v>504</v>
      </c>
      <c r="G80" s="548" t="s">
        <v>504</v>
      </c>
      <c r="H80" s="548" t="s">
        <v>504</v>
      </c>
      <c r="I80" s="548" t="s">
        <v>504</v>
      </c>
      <c r="J80" s="548" t="s">
        <v>504</v>
      </c>
      <c r="K80" s="548" t="s">
        <v>504</v>
      </c>
    </row>
    <row r="81" spans="1:11" x14ac:dyDescent="0.3">
      <c r="A81" t="s">
        <v>525</v>
      </c>
      <c r="D81" s="548" t="s">
        <v>504</v>
      </c>
      <c r="E81" s="548" t="s">
        <v>504</v>
      </c>
      <c r="F81" s="548" t="s">
        <v>504</v>
      </c>
      <c r="G81" s="548" t="s">
        <v>504</v>
      </c>
      <c r="H81" s="548" t="s">
        <v>504</v>
      </c>
      <c r="I81" s="548" t="s">
        <v>504</v>
      </c>
      <c r="J81" s="548" t="s">
        <v>504</v>
      </c>
      <c r="K81" s="548" t="s">
        <v>504</v>
      </c>
    </row>
    <row r="82" spans="1:11" x14ac:dyDescent="0.3">
      <c r="A82" t="s">
        <v>526</v>
      </c>
      <c r="D82" s="548" t="s">
        <v>504</v>
      </c>
      <c r="E82" s="548" t="s">
        <v>504</v>
      </c>
      <c r="F82" s="548" t="s">
        <v>504</v>
      </c>
      <c r="G82" s="548" t="s">
        <v>504</v>
      </c>
      <c r="H82" s="548" t="s">
        <v>504</v>
      </c>
      <c r="I82" s="548" t="s">
        <v>504</v>
      </c>
      <c r="J82" s="548" t="s">
        <v>504</v>
      </c>
      <c r="K82" s="548" t="s">
        <v>504</v>
      </c>
    </row>
    <row r="83" spans="1:11" x14ac:dyDescent="0.3">
      <c r="A83" t="s">
        <v>527</v>
      </c>
      <c r="D83" s="548" t="s">
        <v>504</v>
      </c>
      <c r="E83" s="548" t="s">
        <v>504</v>
      </c>
      <c r="F83" s="548" t="s">
        <v>504</v>
      </c>
      <c r="G83" s="548" t="s">
        <v>504</v>
      </c>
      <c r="H83" s="548" t="s">
        <v>504</v>
      </c>
      <c r="I83" s="548" t="s">
        <v>504</v>
      </c>
      <c r="J83" s="548" t="s">
        <v>504</v>
      </c>
      <c r="K83" s="548" t="s">
        <v>504</v>
      </c>
    </row>
    <row r="84" spans="1:11" x14ac:dyDescent="0.3">
      <c r="A84" t="s">
        <v>528</v>
      </c>
      <c r="D84" s="548" t="s">
        <v>504</v>
      </c>
      <c r="E84" s="548" t="s">
        <v>504</v>
      </c>
      <c r="F84" s="548" t="s">
        <v>504</v>
      </c>
      <c r="G84" s="548" t="s">
        <v>504</v>
      </c>
      <c r="H84" s="548" t="s">
        <v>504</v>
      </c>
      <c r="I84" s="548" t="s">
        <v>504</v>
      </c>
      <c r="J84" s="548" t="s">
        <v>504</v>
      </c>
      <c r="K84" s="548" t="s">
        <v>504</v>
      </c>
    </row>
    <row r="85" spans="1:11" x14ac:dyDescent="0.3">
      <c r="A85" t="s">
        <v>529</v>
      </c>
      <c r="D85" s="548" t="s">
        <v>504</v>
      </c>
      <c r="E85" s="548" t="s">
        <v>504</v>
      </c>
      <c r="F85" s="548" t="s">
        <v>504</v>
      </c>
      <c r="G85" s="548" t="s">
        <v>504</v>
      </c>
      <c r="H85" s="548" t="s">
        <v>504</v>
      </c>
      <c r="I85" s="548" t="s">
        <v>504</v>
      </c>
      <c r="J85" s="548" t="s">
        <v>504</v>
      </c>
      <c r="K85" s="548" t="s">
        <v>504</v>
      </c>
    </row>
    <row r="86" spans="1:11" x14ac:dyDescent="0.3">
      <c r="A86" t="s">
        <v>530</v>
      </c>
      <c r="D86" s="548" t="s">
        <v>504</v>
      </c>
      <c r="E86" s="548" t="s">
        <v>504</v>
      </c>
      <c r="F86" s="548" t="s">
        <v>504</v>
      </c>
      <c r="G86" s="548" t="s">
        <v>504</v>
      </c>
      <c r="H86" s="548" t="s">
        <v>504</v>
      </c>
      <c r="I86" s="548" t="s">
        <v>504</v>
      </c>
      <c r="J86" s="548" t="s">
        <v>504</v>
      </c>
      <c r="K86" s="548" t="s">
        <v>504</v>
      </c>
    </row>
    <row r="87" spans="1:11" x14ac:dyDescent="0.3">
      <c r="A87" t="s">
        <v>531</v>
      </c>
      <c r="D87" s="548" t="s">
        <v>504</v>
      </c>
      <c r="E87" s="548" t="s">
        <v>504</v>
      </c>
      <c r="F87" s="548" t="s">
        <v>504</v>
      </c>
      <c r="G87" s="548" t="s">
        <v>504</v>
      </c>
      <c r="H87" s="548" t="s">
        <v>504</v>
      </c>
      <c r="I87" s="548" t="s">
        <v>504</v>
      </c>
      <c r="J87" s="548" t="s">
        <v>504</v>
      </c>
      <c r="K87" s="548" t="s">
        <v>504</v>
      </c>
    </row>
    <row r="88" spans="1:11" x14ac:dyDescent="0.3">
      <c r="A88" t="s">
        <v>532</v>
      </c>
      <c r="D88" s="548" t="s">
        <v>504</v>
      </c>
      <c r="E88" s="548" t="s">
        <v>504</v>
      </c>
      <c r="F88" s="548" t="s">
        <v>504</v>
      </c>
      <c r="G88" s="548" t="s">
        <v>504</v>
      </c>
      <c r="H88" s="548" t="s">
        <v>504</v>
      </c>
      <c r="I88" s="548" t="s">
        <v>504</v>
      </c>
      <c r="J88" s="548" t="s">
        <v>504</v>
      </c>
      <c r="K88" s="548" t="s">
        <v>504</v>
      </c>
    </row>
    <row r="89" spans="1:11" x14ac:dyDescent="0.3">
      <c r="A89" t="s">
        <v>533</v>
      </c>
      <c r="D89" s="548" t="s">
        <v>504</v>
      </c>
      <c r="E89" s="548" t="s">
        <v>504</v>
      </c>
      <c r="F89" s="548" t="s">
        <v>504</v>
      </c>
      <c r="G89" s="548" t="s">
        <v>504</v>
      </c>
      <c r="H89" s="548" t="s">
        <v>504</v>
      </c>
      <c r="I89" s="548" t="s">
        <v>504</v>
      </c>
      <c r="J89" s="548" t="s">
        <v>504</v>
      </c>
      <c r="K89" s="548" t="s">
        <v>504</v>
      </c>
    </row>
    <row r="90" spans="1:11" x14ac:dyDescent="0.3">
      <c r="A90" t="s">
        <v>534</v>
      </c>
      <c r="D90" s="548" t="s">
        <v>504</v>
      </c>
      <c r="E90" s="548" t="s">
        <v>504</v>
      </c>
      <c r="F90" s="548" t="s">
        <v>504</v>
      </c>
      <c r="G90" s="548" t="s">
        <v>504</v>
      </c>
      <c r="H90" s="548" t="s">
        <v>504</v>
      </c>
      <c r="I90" s="548" t="s">
        <v>504</v>
      </c>
      <c r="J90" s="548" t="s">
        <v>504</v>
      </c>
      <c r="K90" s="548" t="s">
        <v>504</v>
      </c>
    </row>
    <row r="91" spans="1:11" x14ac:dyDescent="0.3">
      <c r="A91" t="s">
        <v>535</v>
      </c>
      <c r="D91" s="548" t="s">
        <v>504</v>
      </c>
      <c r="E91" s="548" t="s">
        <v>504</v>
      </c>
      <c r="F91" s="548" t="s">
        <v>504</v>
      </c>
      <c r="G91" s="548" t="s">
        <v>504</v>
      </c>
      <c r="H91" s="548" t="s">
        <v>504</v>
      </c>
      <c r="I91" s="548" t="s">
        <v>504</v>
      </c>
      <c r="J91" s="548" t="s">
        <v>504</v>
      </c>
      <c r="K91" s="548" t="s">
        <v>504</v>
      </c>
    </row>
    <row r="92" spans="1:11" x14ac:dyDescent="0.3">
      <c r="A92" t="s">
        <v>536</v>
      </c>
      <c r="D92" s="548" t="s">
        <v>504</v>
      </c>
      <c r="E92" s="548" t="s">
        <v>504</v>
      </c>
      <c r="F92" s="548" t="s">
        <v>504</v>
      </c>
      <c r="G92" s="548" t="s">
        <v>504</v>
      </c>
      <c r="H92" s="548" t="s">
        <v>504</v>
      </c>
      <c r="I92" s="548" t="s">
        <v>504</v>
      </c>
      <c r="J92" s="548" t="s">
        <v>504</v>
      </c>
      <c r="K92" s="548" t="s">
        <v>504</v>
      </c>
    </row>
    <row r="93" spans="1:11" x14ac:dyDescent="0.3">
      <c r="A93" t="s">
        <v>537</v>
      </c>
      <c r="D93" s="548" t="s">
        <v>504</v>
      </c>
      <c r="E93" s="548" t="s">
        <v>504</v>
      </c>
      <c r="F93" s="548" t="s">
        <v>504</v>
      </c>
      <c r="G93" s="548" t="s">
        <v>504</v>
      </c>
      <c r="H93" s="548" t="s">
        <v>504</v>
      </c>
      <c r="I93" s="548" t="s">
        <v>504</v>
      </c>
      <c r="J93" s="548" t="s">
        <v>504</v>
      </c>
      <c r="K93" s="548" t="s">
        <v>504</v>
      </c>
    </row>
    <row r="94" spans="1:11" x14ac:dyDescent="0.3">
      <c r="A94" t="s">
        <v>538</v>
      </c>
      <c r="D94" s="545" t="s">
        <v>504</v>
      </c>
      <c r="E94" s="546" t="s">
        <v>504</v>
      </c>
      <c r="F94" s="546" t="s">
        <v>504</v>
      </c>
      <c r="G94" s="546" t="s">
        <v>504</v>
      </c>
      <c r="H94" s="547" t="s">
        <v>504</v>
      </c>
    </row>
    <row r="95" spans="1:11" x14ac:dyDescent="0.3">
      <c r="A95" t="s">
        <v>539</v>
      </c>
      <c r="D95" s="548" t="s">
        <v>504</v>
      </c>
      <c r="E95" s="548" t="s">
        <v>504</v>
      </c>
      <c r="F95" s="548" t="s">
        <v>504</v>
      </c>
      <c r="G95" s="548" t="s">
        <v>504</v>
      </c>
      <c r="H95" s="548" t="s">
        <v>504</v>
      </c>
      <c r="I95" s="548" t="s">
        <v>504</v>
      </c>
      <c r="J95" s="548" t="s">
        <v>504</v>
      </c>
      <c r="K95" s="548" t="s">
        <v>504</v>
      </c>
    </row>
    <row r="96" spans="1:11" x14ac:dyDescent="0.3">
      <c r="A96" t="s">
        <v>540</v>
      </c>
      <c r="D96" s="548" t="s">
        <v>504</v>
      </c>
      <c r="E96" s="548" t="s">
        <v>504</v>
      </c>
      <c r="F96" s="548" t="s">
        <v>504</v>
      </c>
      <c r="G96" s="548" t="s">
        <v>504</v>
      </c>
      <c r="H96" s="548" t="s">
        <v>504</v>
      </c>
      <c r="I96" s="548" t="s">
        <v>504</v>
      </c>
      <c r="J96" s="548" t="s">
        <v>504</v>
      </c>
      <c r="K96" s="548" t="s">
        <v>504</v>
      </c>
    </row>
    <row r="97" spans="1:11" x14ac:dyDescent="0.3">
      <c r="A97" t="s">
        <v>541</v>
      </c>
      <c r="D97" s="548" t="s">
        <v>504</v>
      </c>
      <c r="E97" s="548" t="s">
        <v>504</v>
      </c>
      <c r="F97" s="548" t="s">
        <v>504</v>
      </c>
      <c r="G97" s="548" t="s">
        <v>504</v>
      </c>
      <c r="H97" s="548" t="s">
        <v>504</v>
      </c>
      <c r="I97" s="548" t="s">
        <v>504</v>
      </c>
      <c r="J97" s="548" t="s">
        <v>504</v>
      </c>
      <c r="K97" s="548" t="s">
        <v>504</v>
      </c>
    </row>
    <row r="98" spans="1:11" x14ac:dyDescent="0.3">
      <c r="A98" t="s">
        <v>542</v>
      </c>
      <c r="D98" s="548" t="s">
        <v>504</v>
      </c>
      <c r="E98" s="548" t="s">
        <v>504</v>
      </c>
      <c r="F98" s="548" t="s">
        <v>504</v>
      </c>
      <c r="G98" s="548" t="s">
        <v>504</v>
      </c>
      <c r="H98" s="548" t="s">
        <v>504</v>
      </c>
      <c r="I98" s="548" t="s">
        <v>504</v>
      </c>
      <c r="J98" s="548" t="s">
        <v>504</v>
      </c>
      <c r="K98" s="548" t="s">
        <v>504</v>
      </c>
    </row>
    <row r="99" spans="1:11" x14ac:dyDescent="0.3">
      <c r="A99" t="s">
        <v>543</v>
      </c>
      <c r="D99" s="548" t="s">
        <v>504</v>
      </c>
      <c r="E99" s="548" t="s">
        <v>504</v>
      </c>
      <c r="F99" s="548" t="s">
        <v>504</v>
      </c>
      <c r="G99" s="548" t="s">
        <v>504</v>
      </c>
      <c r="H99" s="548" t="s">
        <v>504</v>
      </c>
      <c r="I99" s="548" t="s">
        <v>504</v>
      </c>
      <c r="J99" s="548" t="s">
        <v>504</v>
      </c>
      <c r="K99" s="548" t="s">
        <v>504</v>
      </c>
    </row>
    <row r="100" spans="1:11" x14ac:dyDescent="0.3">
      <c r="A100" t="s">
        <v>544</v>
      </c>
      <c r="D100" s="548" t="s">
        <v>504</v>
      </c>
      <c r="E100" s="548" t="s">
        <v>504</v>
      </c>
      <c r="F100" s="548" t="s">
        <v>504</v>
      </c>
      <c r="G100" s="548" t="s">
        <v>504</v>
      </c>
      <c r="H100" s="548" t="s">
        <v>504</v>
      </c>
      <c r="I100" s="548" t="s">
        <v>504</v>
      </c>
      <c r="J100" s="548" t="s">
        <v>504</v>
      </c>
      <c r="K100" s="548" t="s">
        <v>504</v>
      </c>
    </row>
    <row r="101" spans="1:11" x14ac:dyDescent="0.3">
      <c r="A101" t="s">
        <v>545</v>
      </c>
      <c r="D101" s="548" t="s">
        <v>504</v>
      </c>
      <c r="E101" s="548" t="s">
        <v>504</v>
      </c>
      <c r="F101" s="548" t="s">
        <v>504</v>
      </c>
      <c r="G101" s="548" t="s">
        <v>504</v>
      </c>
      <c r="H101" s="548" t="s">
        <v>504</v>
      </c>
      <c r="I101" s="548" t="s">
        <v>504</v>
      </c>
      <c r="J101" s="548" t="s">
        <v>504</v>
      </c>
      <c r="K101" s="548" t="s">
        <v>504</v>
      </c>
    </row>
    <row r="102" spans="1:11" x14ac:dyDescent="0.3">
      <c r="A102" t="s">
        <v>546</v>
      </c>
      <c r="D102" s="548" t="s">
        <v>504</v>
      </c>
      <c r="E102" s="548" t="s">
        <v>504</v>
      </c>
      <c r="F102" s="548" t="s">
        <v>504</v>
      </c>
      <c r="G102" s="548" t="s">
        <v>504</v>
      </c>
      <c r="H102" s="548" t="s">
        <v>504</v>
      </c>
      <c r="I102" s="548" t="s">
        <v>504</v>
      </c>
      <c r="J102" s="548" t="s">
        <v>504</v>
      </c>
      <c r="K102" s="548" t="s">
        <v>504</v>
      </c>
    </row>
    <row r="103" spans="1:11" x14ac:dyDescent="0.3">
      <c r="A103" t="s">
        <v>547</v>
      </c>
      <c r="D103" s="548" t="s">
        <v>504</v>
      </c>
      <c r="E103" s="548" t="s">
        <v>504</v>
      </c>
      <c r="F103" s="548" t="s">
        <v>504</v>
      </c>
      <c r="G103" s="548" t="s">
        <v>504</v>
      </c>
      <c r="H103" s="548" t="s">
        <v>504</v>
      </c>
      <c r="I103" s="548" t="s">
        <v>504</v>
      </c>
      <c r="J103" s="548" t="s">
        <v>504</v>
      </c>
      <c r="K103" s="548" t="s">
        <v>504</v>
      </c>
    </row>
    <row r="104" spans="1:11" x14ac:dyDescent="0.3">
      <c r="A104" t="s">
        <v>548</v>
      </c>
      <c r="D104" s="548" t="s">
        <v>504</v>
      </c>
      <c r="E104" s="548" t="s">
        <v>504</v>
      </c>
      <c r="F104" s="548" t="s">
        <v>504</v>
      </c>
      <c r="G104" s="548" t="s">
        <v>504</v>
      </c>
      <c r="H104" s="548" t="s">
        <v>504</v>
      </c>
      <c r="I104" s="548" t="s">
        <v>504</v>
      </c>
      <c r="J104" s="548" t="s">
        <v>504</v>
      </c>
      <c r="K104" s="548" t="s">
        <v>504</v>
      </c>
    </row>
    <row r="105" spans="1:11" x14ac:dyDescent="0.3">
      <c r="A105" t="s">
        <v>549</v>
      </c>
      <c r="D105" s="548" t="s">
        <v>504</v>
      </c>
      <c r="E105" s="548" t="s">
        <v>504</v>
      </c>
      <c r="F105" s="548" t="s">
        <v>504</v>
      </c>
      <c r="G105" s="548" t="s">
        <v>504</v>
      </c>
      <c r="H105" s="548" t="s">
        <v>504</v>
      </c>
      <c r="I105" s="548" t="s">
        <v>504</v>
      </c>
      <c r="J105" s="548" t="s">
        <v>504</v>
      </c>
      <c r="K105" s="548" t="s">
        <v>504</v>
      </c>
    </row>
    <row r="106" spans="1:11" x14ac:dyDescent="0.3">
      <c r="A106" t="s">
        <v>550</v>
      </c>
      <c r="D106" s="548" t="s">
        <v>504</v>
      </c>
      <c r="E106" s="548" t="s">
        <v>504</v>
      </c>
      <c r="F106" s="548" t="s">
        <v>504</v>
      </c>
      <c r="G106" s="548" t="s">
        <v>504</v>
      </c>
      <c r="H106" s="548" t="s">
        <v>504</v>
      </c>
      <c r="I106" s="548" t="s">
        <v>504</v>
      </c>
      <c r="J106" s="548" t="s">
        <v>504</v>
      </c>
      <c r="K106" s="548" t="s">
        <v>504</v>
      </c>
    </row>
    <row r="107" spans="1:11" x14ac:dyDescent="0.3">
      <c r="A107" t="s">
        <v>551</v>
      </c>
      <c r="D107" s="548" t="s">
        <v>504</v>
      </c>
      <c r="E107" s="548" t="s">
        <v>504</v>
      </c>
      <c r="F107" s="548" t="s">
        <v>504</v>
      </c>
      <c r="G107" s="548" t="s">
        <v>504</v>
      </c>
      <c r="H107" s="548" t="s">
        <v>504</v>
      </c>
      <c r="I107" s="548" t="s">
        <v>504</v>
      </c>
      <c r="J107" s="548" t="s">
        <v>504</v>
      </c>
      <c r="K107" s="548" t="s">
        <v>504</v>
      </c>
    </row>
    <row r="108" spans="1:11" x14ac:dyDescent="0.3">
      <c r="A108" t="s">
        <v>552</v>
      </c>
      <c r="D108" s="548" t="s">
        <v>504</v>
      </c>
      <c r="E108" s="548" t="s">
        <v>504</v>
      </c>
      <c r="F108" s="548" t="s">
        <v>504</v>
      </c>
      <c r="G108" s="548" t="s">
        <v>504</v>
      </c>
      <c r="H108" s="548" t="s">
        <v>504</v>
      </c>
      <c r="I108" s="548" t="s">
        <v>504</v>
      </c>
      <c r="J108" s="548" t="s">
        <v>504</v>
      </c>
      <c r="K108" s="548" t="s">
        <v>504</v>
      </c>
    </row>
    <row r="109" spans="1:11" x14ac:dyDescent="0.3">
      <c r="A109" t="s">
        <v>553</v>
      </c>
      <c r="D109" s="548" t="s">
        <v>504</v>
      </c>
      <c r="E109" s="548" t="s">
        <v>504</v>
      </c>
      <c r="F109" s="548" t="s">
        <v>504</v>
      </c>
      <c r="G109" s="548" t="s">
        <v>504</v>
      </c>
      <c r="H109" s="548" t="s">
        <v>504</v>
      </c>
      <c r="I109" s="548" t="s">
        <v>504</v>
      </c>
      <c r="J109" s="548" t="s">
        <v>504</v>
      </c>
      <c r="K109" s="548" t="s">
        <v>504</v>
      </c>
    </row>
    <row r="110" spans="1:11" x14ac:dyDescent="0.3">
      <c r="A110" t="s">
        <v>554</v>
      </c>
      <c r="D110" s="548" t="s">
        <v>504</v>
      </c>
      <c r="E110" s="548" t="s">
        <v>504</v>
      </c>
      <c r="F110" s="548" t="s">
        <v>504</v>
      </c>
      <c r="G110" s="548" t="s">
        <v>504</v>
      </c>
      <c r="H110" s="548" t="s">
        <v>504</v>
      </c>
      <c r="I110" s="548" t="s">
        <v>504</v>
      </c>
      <c r="J110" s="548" t="s">
        <v>504</v>
      </c>
      <c r="K110" s="548" t="s">
        <v>504</v>
      </c>
    </row>
    <row r="111" spans="1:11" x14ac:dyDescent="0.3">
      <c r="A111" t="s">
        <v>555</v>
      </c>
      <c r="D111" s="548" t="s">
        <v>504</v>
      </c>
      <c r="E111" s="548" t="s">
        <v>504</v>
      </c>
      <c r="F111" s="548" t="s">
        <v>504</v>
      </c>
      <c r="G111" s="548" t="s">
        <v>504</v>
      </c>
      <c r="H111" s="548" t="s">
        <v>504</v>
      </c>
      <c r="I111" s="548" t="s">
        <v>504</v>
      </c>
      <c r="J111" s="548" t="s">
        <v>504</v>
      </c>
      <c r="K111" s="548" t="s">
        <v>504</v>
      </c>
    </row>
    <row r="112" spans="1:11" x14ac:dyDescent="0.3">
      <c r="A112" t="s">
        <v>556</v>
      </c>
      <c r="D112" s="548" t="s">
        <v>504</v>
      </c>
      <c r="E112" s="548" t="s">
        <v>504</v>
      </c>
      <c r="F112" s="548" t="s">
        <v>504</v>
      </c>
      <c r="G112" s="548" t="s">
        <v>504</v>
      </c>
      <c r="H112" s="548" t="s">
        <v>504</v>
      </c>
      <c r="I112" s="548" t="s">
        <v>504</v>
      </c>
      <c r="J112" s="548" t="s">
        <v>504</v>
      </c>
      <c r="K112" s="548" t="s">
        <v>504</v>
      </c>
    </row>
    <row r="113" spans="1:11" x14ac:dyDescent="0.3">
      <c r="A113" t="s">
        <v>557</v>
      </c>
      <c r="D113" s="548" t="s">
        <v>504</v>
      </c>
      <c r="E113" s="548" t="s">
        <v>504</v>
      </c>
      <c r="F113" s="548" t="s">
        <v>504</v>
      </c>
      <c r="G113" s="548" t="s">
        <v>504</v>
      </c>
      <c r="H113" s="548" t="s">
        <v>504</v>
      </c>
      <c r="I113" s="548" t="s">
        <v>504</v>
      </c>
      <c r="J113" s="548" t="s">
        <v>504</v>
      </c>
      <c r="K113" s="548" t="s">
        <v>504</v>
      </c>
    </row>
    <row r="114" spans="1:11" x14ac:dyDescent="0.3">
      <c r="A114" t="s">
        <v>558</v>
      </c>
      <c r="D114" s="548" t="s">
        <v>504</v>
      </c>
      <c r="E114" s="548" t="s">
        <v>504</v>
      </c>
      <c r="F114" s="548" t="s">
        <v>504</v>
      </c>
      <c r="G114" s="548" t="s">
        <v>504</v>
      </c>
      <c r="H114" s="548" t="s">
        <v>504</v>
      </c>
      <c r="I114" s="548" t="s">
        <v>504</v>
      </c>
      <c r="J114" s="548" t="s">
        <v>504</v>
      </c>
      <c r="K114" s="548" t="s">
        <v>504</v>
      </c>
    </row>
    <row r="115" spans="1:11" x14ac:dyDescent="0.3">
      <c r="A115" t="s">
        <v>559</v>
      </c>
      <c r="D115" s="548" t="s">
        <v>504</v>
      </c>
      <c r="E115" s="548" t="s">
        <v>504</v>
      </c>
      <c r="F115" s="548" t="s">
        <v>504</v>
      </c>
      <c r="G115" s="548" t="s">
        <v>504</v>
      </c>
      <c r="H115" s="548" t="s">
        <v>504</v>
      </c>
      <c r="I115" s="548" t="s">
        <v>504</v>
      </c>
      <c r="J115" s="548" t="s">
        <v>504</v>
      </c>
      <c r="K115" s="548" t="s">
        <v>504</v>
      </c>
    </row>
    <row r="116" spans="1:11" x14ac:dyDescent="0.3">
      <c r="A116" t="s">
        <v>560</v>
      </c>
      <c r="D116" s="548" t="s">
        <v>504</v>
      </c>
      <c r="E116" s="548" t="s">
        <v>504</v>
      </c>
      <c r="F116" s="548" t="s">
        <v>504</v>
      </c>
      <c r="G116" s="548" t="s">
        <v>504</v>
      </c>
      <c r="H116" s="548" t="s">
        <v>504</v>
      </c>
      <c r="I116" s="548" t="s">
        <v>504</v>
      </c>
      <c r="J116" s="548" t="s">
        <v>504</v>
      </c>
      <c r="K116" s="548" t="s">
        <v>504</v>
      </c>
    </row>
    <row r="117" spans="1:11" x14ac:dyDescent="0.3">
      <c r="A117" t="s">
        <v>561</v>
      </c>
      <c r="D117" s="548" t="s">
        <v>504</v>
      </c>
      <c r="E117" s="548" t="s">
        <v>504</v>
      </c>
      <c r="F117" s="548" t="s">
        <v>504</v>
      </c>
      <c r="G117" s="548" t="s">
        <v>504</v>
      </c>
      <c r="H117" s="548" t="s">
        <v>504</v>
      </c>
      <c r="I117" s="548" t="s">
        <v>504</v>
      </c>
      <c r="J117" s="548" t="s">
        <v>504</v>
      </c>
      <c r="K117" s="548" t="s">
        <v>504</v>
      </c>
    </row>
    <row r="118" spans="1:11" x14ac:dyDescent="0.3">
      <c r="A118" t="s">
        <v>562</v>
      </c>
      <c r="D118" s="548" t="s">
        <v>504</v>
      </c>
      <c r="E118" s="548" t="s">
        <v>504</v>
      </c>
      <c r="F118" s="548" t="s">
        <v>504</v>
      </c>
      <c r="G118" s="548" t="s">
        <v>504</v>
      </c>
      <c r="H118" s="548" t="s">
        <v>504</v>
      </c>
      <c r="I118" s="548" t="s">
        <v>504</v>
      </c>
      <c r="J118" s="548" t="s">
        <v>504</v>
      </c>
      <c r="K118" s="548" t="s">
        <v>504</v>
      </c>
    </row>
    <row r="119" spans="1:11" x14ac:dyDescent="0.3">
      <c r="A119" t="s">
        <v>563</v>
      </c>
      <c r="D119" s="548" t="s">
        <v>504</v>
      </c>
      <c r="E119" s="548" t="s">
        <v>504</v>
      </c>
      <c r="F119" s="548" t="s">
        <v>504</v>
      </c>
      <c r="G119" s="548" t="s">
        <v>504</v>
      </c>
      <c r="H119" s="548" t="s">
        <v>504</v>
      </c>
      <c r="I119" s="548" t="s">
        <v>504</v>
      </c>
      <c r="J119" s="548" t="s">
        <v>504</v>
      </c>
      <c r="K119" s="548" t="s">
        <v>504</v>
      </c>
    </row>
    <row r="120" spans="1:11" x14ac:dyDescent="0.3">
      <c r="A120" t="s">
        <v>564</v>
      </c>
      <c r="D120" s="548" t="s">
        <v>504</v>
      </c>
      <c r="E120" s="548" t="s">
        <v>504</v>
      </c>
      <c r="F120" s="548" t="s">
        <v>504</v>
      </c>
      <c r="G120" s="548" t="s">
        <v>504</v>
      </c>
      <c r="H120" s="548" t="s">
        <v>504</v>
      </c>
      <c r="I120" s="548" t="s">
        <v>504</v>
      </c>
      <c r="J120" s="548" t="s">
        <v>504</v>
      </c>
      <c r="K120" s="548" t="s">
        <v>504</v>
      </c>
    </row>
    <row r="121" spans="1:11" x14ac:dyDescent="0.3">
      <c r="A121" t="s">
        <v>565</v>
      </c>
      <c r="D121" s="548" t="s">
        <v>504</v>
      </c>
      <c r="E121" s="548" t="s">
        <v>504</v>
      </c>
      <c r="F121" s="548" t="s">
        <v>504</v>
      </c>
      <c r="G121" s="548" t="s">
        <v>504</v>
      </c>
      <c r="H121" s="548" t="s">
        <v>504</v>
      </c>
      <c r="I121" s="548" t="s">
        <v>504</v>
      </c>
      <c r="J121" s="548" t="s">
        <v>504</v>
      </c>
      <c r="K121" s="548" t="s">
        <v>504</v>
      </c>
    </row>
    <row r="122" spans="1:11" x14ac:dyDescent="0.3">
      <c r="A122" t="s">
        <v>566</v>
      </c>
      <c r="D122" s="548" t="s">
        <v>504</v>
      </c>
      <c r="E122" s="548" t="s">
        <v>504</v>
      </c>
      <c r="F122" s="548" t="s">
        <v>504</v>
      </c>
      <c r="G122" s="548" t="s">
        <v>504</v>
      </c>
      <c r="H122" s="548" t="s">
        <v>504</v>
      </c>
      <c r="I122" s="548" t="s">
        <v>504</v>
      </c>
      <c r="J122" s="548" t="s">
        <v>504</v>
      </c>
      <c r="K122" s="548" t="s">
        <v>504</v>
      </c>
    </row>
    <row r="123" spans="1:11" x14ac:dyDescent="0.3">
      <c r="A123" t="s">
        <v>567</v>
      </c>
      <c r="D123" s="548" t="s">
        <v>504</v>
      </c>
      <c r="E123" s="548" t="s">
        <v>504</v>
      </c>
      <c r="F123" s="548" t="s">
        <v>504</v>
      </c>
      <c r="G123" s="548" t="s">
        <v>504</v>
      </c>
      <c r="H123" s="548" t="s">
        <v>504</v>
      </c>
      <c r="I123" s="548" t="s">
        <v>504</v>
      </c>
      <c r="J123" s="548" t="s">
        <v>504</v>
      </c>
      <c r="K123" s="548" t="s">
        <v>504</v>
      </c>
    </row>
    <row r="124" spans="1:11" x14ac:dyDescent="0.3">
      <c r="A124" t="s">
        <v>568</v>
      </c>
      <c r="D124" s="548" t="s">
        <v>504</v>
      </c>
      <c r="E124" s="548" t="s">
        <v>504</v>
      </c>
      <c r="F124" s="548" t="s">
        <v>504</v>
      </c>
      <c r="G124" s="548" t="s">
        <v>504</v>
      </c>
      <c r="H124" s="548" t="s">
        <v>504</v>
      </c>
      <c r="I124" s="548" t="s">
        <v>504</v>
      </c>
      <c r="J124" s="548" t="s">
        <v>504</v>
      </c>
      <c r="K124" s="548" t="s">
        <v>504</v>
      </c>
    </row>
    <row r="125" spans="1:11" x14ac:dyDescent="0.3">
      <c r="A125" t="s">
        <v>569</v>
      </c>
      <c r="D125" s="548" t="s">
        <v>504</v>
      </c>
      <c r="E125" s="548" t="s">
        <v>504</v>
      </c>
      <c r="F125" s="548" t="s">
        <v>504</v>
      </c>
      <c r="G125" s="548" t="s">
        <v>504</v>
      </c>
      <c r="H125" s="548" t="s">
        <v>504</v>
      </c>
      <c r="I125" s="548" t="s">
        <v>504</v>
      </c>
      <c r="J125" s="548" t="s">
        <v>504</v>
      </c>
      <c r="K125" s="548" t="s">
        <v>504</v>
      </c>
    </row>
    <row r="126" spans="1:11" x14ac:dyDescent="0.3">
      <c r="A126" t="s">
        <v>570</v>
      </c>
      <c r="D126" s="548" t="s">
        <v>504</v>
      </c>
      <c r="E126" s="548" t="s">
        <v>504</v>
      </c>
      <c r="F126" s="548" t="s">
        <v>504</v>
      </c>
      <c r="G126" s="548" t="s">
        <v>504</v>
      </c>
      <c r="H126" s="548" t="s">
        <v>504</v>
      </c>
      <c r="I126" s="548" t="s">
        <v>504</v>
      </c>
      <c r="J126" s="548" t="s">
        <v>504</v>
      </c>
      <c r="K126" s="548" t="s">
        <v>504</v>
      </c>
    </row>
    <row r="127" spans="1:11" x14ac:dyDescent="0.3">
      <c r="A127" t="s">
        <v>571</v>
      </c>
      <c r="D127" s="548" t="s">
        <v>504</v>
      </c>
      <c r="E127" s="548" t="s">
        <v>504</v>
      </c>
      <c r="F127" s="548" t="s">
        <v>504</v>
      </c>
      <c r="G127" s="548" t="s">
        <v>504</v>
      </c>
      <c r="H127" s="548" t="s">
        <v>504</v>
      </c>
      <c r="I127" s="548" t="s">
        <v>504</v>
      </c>
      <c r="J127" s="548" t="s">
        <v>504</v>
      </c>
      <c r="K127" s="548" t="s">
        <v>504</v>
      </c>
    </row>
    <row r="128" spans="1:11" x14ac:dyDescent="0.3">
      <c r="A128" t="s">
        <v>572</v>
      </c>
      <c r="D128" s="548" t="s">
        <v>504</v>
      </c>
      <c r="E128" s="548" t="s">
        <v>504</v>
      </c>
      <c r="F128" s="548" t="s">
        <v>504</v>
      </c>
      <c r="G128" s="548" t="s">
        <v>504</v>
      </c>
      <c r="H128" s="548" t="s">
        <v>504</v>
      </c>
      <c r="I128" s="548" t="s">
        <v>504</v>
      </c>
      <c r="J128" s="548" t="s">
        <v>504</v>
      </c>
      <c r="K128" s="548" t="s">
        <v>504</v>
      </c>
    </row>
    <row r="129" spans="1:11" x14ac:dyDescent="0.3">
      <c r="A129" t="s">
        <v>573</v>
      </c>
      <c r="D129" s="548" t="s">
        <v>504</v>
      </c>
      <c r="E129" s="548" t="s">
        <v>504</v>
      </c>
      <c r="F129" s="548" t="s">
        <v>504</v>
      </c>
      <c r="G129" s="548" t="s">
        <v>504</v>
      </c>
      <c r="H129" s="548" t="s">
        <v>504</v>
      </c>
      <c r="I129" s="548" t="s">
        <v>504</v>
      </c>
      <c r="J129" s="548" t="s">
        <v>504</v>
      </c>
      <c r="K129" s="548" t="s">
        <v>504</v>
      </c>
    </row>
    <row r="130" spans="1:11" x14ac:dyDescent="0.3">
      <c r="A130" t="s">
        <v>574</v>
      </c>
      <c r="D130" s="548" t="s">
        <v>504</v>
      </c>
      <c r="E130" s="548" t="s">
        <v>504</v>
      </c>
      <c r="F130" s="548" t="s">
        <v>504</v>
      </c>
      <c r="G130" s="548" t="s">
        <v>504</v>
      </c>
      <c r="H130" s="548" t="s">
        <v>504</v>
      </c>
      <c r="I130" s="548" t="s">
        <v>504</v>
      </c>
      <c r="J130" s="548" t="s">
        <v>504</v>
      </c>
      <c r="K130" s="548" t="s">
        <v>504</v>
      </c>
    </row>
    <row r="131" spans="1:11" x14ac:dyDescent="0.3">
      <c r="A131" t="s">
        <v>575</v>
      </c>
      <c r="D131" s="548" t="s">
        <v>504</v>
      </c>
      <c r="E131" s="548" t="s">
        <v>504</v>
      </c>
      <c r="F131" s="548" t="s">
        <v>504</v>
      </c>
      <c r="G131" s="548" t="s">
        <v>504</v>
      </c>
      <c r="H131" s="548" t="s">
        <v>504</v>
      </c>
      <c r="I131" s="548" t="s">
        <v>504</v>
      </c>
      <c r="J131" s="548" t="s">
        <v>504</v>
      </c>
      <c r="K131" s="548" t="s">
        <v>504</v>
      </c>
    </row>
    <row r="132" spans="1:11" x14ac:dyDescent="0.3">
      <c r="A132" t="s">
        <v>576</v>
      </c>
      <c r="D132" s="548" t="s">
        <v>504</v>
      </c>
      <c r="E132" s="548" t="s">
        <v>504</v>
      </c>
      <c r="F132" s="548" t="s">
        <v>504</v>
      </c>
      <c r="G132" s="548" t="s">
        <v>504</v>
      </c>
      <c r="H132" s="548" t="s">
        <v>504</v>
      </c>
      <c r="I132" s="548" t="s">
        <v>504</v>
      </c>
      <c r="J132" s="548" t="s">
        <v>504</v>
      </c>
      <c r="K132" s="548" t="s">
        <v>504</v>
      </c>
    </row>
    <row r="133" spans="1:11" x14ac:dyDescent="0.3">
      <c r="A133" t="s">
        <v>577</v>
      </c>
      <c r="D133" s="548" t="s">
        <v>504</v>
      </c>
      <c r="E133" s="548" t="s">
        <v>504</v>
      </c>
      <c r="F133" s="548" t="s">
        <v>504</v>
      </c>
      <c r="G133" s="548" t="s">
        <v>504</v>
      </c>
      <c r="H133" s="548" t="s">
        <v>504</v>
      </c>
      <c r="I133" s="548" t="s">
        <v>504</v>
      </c>
      <c r="J133" s="548" t="s">
        <v>504</v>
      </c>
      <c r="K133" s="548" t="s">
        <v>504</v>
      </c>
    </row>
    <row r="134" spans="1:11" x14ac:dyDescent="0.3">
      <c r="A134" t="s">
        <v>578</v>
      </c>
      <c r="D134" s="548" t="s">
        <v>504</v>
      </c>
      <c r="E134" s="548" t="s">
        <v>504</v>
      </c>
      <c r="F134" s="548" t="s">
        <v>504</v>
      </c>
      <c r="G134" s="548" t="s">
        <v>504</v>
      </c>
      <c r="H134" s="548" t="s">
        <v>504</v>
      </c>
      <c r="I134" s="548" t="s">
        <v>504</v>
      </c>
      <c r="J134" s="548" t="s">
        <v>504</v>
      </c>
      <c r="K134" s="548" t="s">
        <v>504</v>
      </c>
    </row>
    <row r="135" spans="1:11" x14ac:dyDescent="0.3">
      <c r="A135" t="s">
        <v>579</v>
      </c>
      <c r="D135" s="548" t="s">
        <v>504</v>
      </c>
      <c r="E135" s="548" t="s">
        <v>504</v>
      </c>
      <c r="F135" s="548" t="s">
        <v>504</v>
      </c>
      <c r="G135" s="548" t="s">
        <v>504</v>
      </c>
      <c r="H135" s="548" t="s">
        <v>504</v>
      </c>
      <c r="I135" s="548" t="s">
        <v>504</v>
      </c>
      <c r="J135" s="548" t="s">
        <v>504</v>
      </c>
      <c r="K135" s="548" t="s">
        <v>504</v>
      </c>
    </row>
    <row r="136" spans="1:11" x14ac:dyDescent="0.3">
      <c r="A136" t="s">
        <v>580</v>
      </c>
      <c r="D136" s="548" t="s">
        <v>504</v>
      </c>
      <c r="E136" s="548" t="s">
        <v>504</v>
      </c>
      <c r="F136" s="548" t="s">
        <v>504</v>
      </c>
      <c r="G136" s="548" t="s">
        <v>504</v>
      </c>
      <c r="H136" s="548" t="s">
        <v>504</v>
      </c>
      <c r="I136" s="548" t="s">
        <v>504</v>
      </c>
      <c r="J136" s="548" t="s">
        <v>504</v>
      </c>
      <c r="K136" s="548" t="s">
        <v>504</v>
      </c>
    </row>
    <row r="137" spans="1:11" x14ac:dyDescent="0.3">
      <c r="A137" t="s">
        <v>581</v>
      </c>
      <c r="D137" s="548" t="s">
        <v>504</v>
      </c>
      <c r="E137" s="548" t="s">
        <v>504</v>
      </c>
      <c r="F137" s="548" t="s">
        <v>504</v>
      </c>
      <c r="G137" s="548" t="s">
        <v>504</v>
      </c>
      <c r="H137" s="548" t="s">
        <v>504</v>
      </c>
      <c r="I137" s="548" t="s">
        <v>504</v>
      </c>
      <c r="J137" s="548" t="s">
        <v>504</v>
      </c>
      <c r="K137" s="548" t="s">
        <v>504</v>
      </c>
    </row>
    <row r="138" spans="1:11" x14ac:dyDescent="0.3">
      <c r="A138" t="s">
        <v>582</v>
      </c>
      <c r="D138" s="548" t="s">
        <v>504</v>
      </c>
      <c r="E138" s="548" t="s">
        <v>504</v>
      </c>
      <c r="F138" s="548" t="s">
        <v>504</v>
      </c>
      <c r="G138" s="548" t="s">
        <v>504</v>
      </c>
      <c r="H138" s="548" t="s">
        <v>504</v>
      </c>
      <c r="I138" s="548" t="s">
        <v>504</v>
      </c>
      <c r="J138" s="548" t="s">
        <v>504</v>
      </c>
      <c r="K138" s="548" t="s">
        <v>504</v>
      </c>
    </row>
    <row r="139" spans="1:11" x14ac:dyDescent="0.3">
      <c r="A139" t="s">
        <v>583</v>
      </c>
      <c r="D139" s="548" t="s">
        <v>504</v>
      </c>
      <c r="E139" s="548" t="s">
        <v>504</v>
      </c>
      <c r="F139" s="548" t="s">
        <v>504</v>
      </c>
      <c r="G139" s="548" t="s">
        <v>504</v>
      </c>
      <c r="H139" s="548" t="s">
        <v>504</v>
      </c>
      <c r="I139" s="548" t="s">
        <v>504</v>
      </c>
      <c r="J139" s="548" t="s">
        <v>504</v>
      </c>
      <c r="K139" s="548" t="s">
        <v>504</v>
      </c>
    </row>
    <row r="140" spans="1:11" x14ac:dyDescent="0.3">
      <c r="A140" t="s">
        <v>584</v>
      </c>
      <c r="D140" s="548" t="s">
        <v>504</v>
      </c>
      <c r="E140" s="548" t="s">
        <v>504</v>
      </c>
      <c r="F140" s="548" t="s">
        <v>504</v>
      </c>
      <c r="G140" s="548" t="s">
        <v>504</v>
      </c>
      <c r="H140" s="548" t="s">
        <v>504</v>
      </c>
      <c r="I140" s="548" t="s">
        <v>504</v>
      </c>
      <c r="J140" s="548" t="s">
        <v>504</v>
      </c>
      <c r="K140" s="548" t="s">
        <v>504</v>
      </c>
    </row>
    <row r="141" spans="1:11" x14ac:dyDescent="0.3">
      <c r="A141" t="s">
        <v>585</v>
      </c>
      <c r="D141" s="548" t="s">
        <v>504</v>
      </c>
      <c r="E141" s="548" t="s">
        <v>504</v>
      </c>
      <c r="F141" s="548" t="s">
        <v>504</v>
      </c>
      <c r="G141" s="548" t="s">
        <v>504</v>
      </c>
      <c r="H141" s="548" t="s">
        <v>504</v>
      </c>
      <c r="I141" s="548" t="s">
        <v>504</v>
      </c>
      <c r="J141" s="548" t="s">
        <v>504</v>
      </c>
      <c r="K141" s="548" t="s">
        <v>504</v>
      </c>
    </row>
    <row r="142" spans="1:11" x14ac:dyDescent="0.3">
      <c r="A142" t="s">
        <v>586</v>
      </c>
      <c r="D142" s="548" t="s">
        <v>504</v>
      </c>
      <c r="E142" s="548" t="s">
        <v>504</v>
      </c>
      <c r="F142" s="548" t="s">
        <v>504</v>
      </c>
      <c r="G142" s="548" t="s">
        <v>504</v>
      </c>
      <c r="H142" s="548" t="s">
        <v>504</v>
      </c>
      <c r="I142" s="548" t="s">
        <v>504</v>
      </c>
      <c r="J142" s="548" t="s">
        <v>504</v>
      </c>
      <c r="K142" s="548" t="s">
        <v>504</v>
      </c>
    </row>
    <row r="143" spans="1:11" x14ac:dyDescent="0.3">
      <c r="A143" t="s">
        <v>587</v>
      </c>
      <c r="D143" s="548" t="s">
        <v>504</v>
      </c>
      <c r="E143" s="548" t="s">
        <v>504</v>
      </c>
      <c r="F143" s="548" t="s">
        <v>504</v>
      </c>
      <c r="G143" s="548" t="s">
        <v>504</v>
      </c>
      <c r="H143" s="548" t="s">
        <v>504</v>
      </c>
      <c r="I143" s="548" t="s">
        <v>504</v>
      </c>
      <c r="J143" s="548" t="s">
        <v>504</v>
      </c>
      <c r="K143" s="548" t="s">
        <v>504</v>
      </c>
    </row>
    <row r="144" spans="1:11" x14ac:dyDescent="0.3">
      <c r="A144" t="s">
        <v>588</v>
      </c>
      <c r="D144" s="548" t="s">
        <v>504</v>
      </c>
      <c r="E144" s="548" t="s">
        <v>504</v>
      </c>
      <c r="F144" s="548" t="s">
        <v>504</v>
      </c>
      <c r="G144" s="548" t="s">
        <v>504</v>
      </c>
      <c r="H144" s="548" t="s">
        <v>504</v>
      </c>
      <c r="I144" s="548" t="s">
        <v>504</v>
      </c>
      <c r="J144" s="548" t="s">
        <v>504</v>
      </c>
      <c r="K144" s="548" t="s">
        <v>504</v>
      </c>
    </row>
    <row r="145" spans="1:11" x14ac:dyDescent="0.3">
      <c r="A145" t="s">
        <v>589</v>
      </c>
      <c r="D145" s="548" t="s">
        <v>504</v>
      </c>
      <c r="E145" s="548" t="s">
        <v>504</v>
      </c>
      <c r="F145" s="548" t="s">
        <v>504</v>
      </c>
      <c r="G145" s="548" t="s">
        <v>504</v>
      </c>
      <c r="H145" s="548" t="s">
        <v>504</v>
      </c>
      <c r="I145" s="548" t="s">
        <v>504</v>
      </c>
      <c r="J145" s="548" t="s">
        <v>504</v>
      </c>
      <c r="K145" s="548" t="s">
        <v>504</v>
      </c>
    </row>
    <row r="146" spans="1:11" x14ac:dyDescent="0.3">
      <c r="A146" t="s">
        <v>590</v>
      </c>
      <c r="D146" s="548" t="s">
        <v>504</v>
      </c>
      <c r="E146" s="548" t="s">
        <v>504</v>
      </c>
      <c r="F146" s="548" t="s">
        <v>504</v>
      </c>
      <c r="G146" s="548" t="s">
        <v>504</v>
      </c>
      <c r="H146" s="548" t="s">
        <v>504</v>
      </c>
      <c r="I146" s="548" t="s">
        <v>504</v>
      </c>
      <c r="J146" s="548" t="s">
        <v>504</v>
      </c>
      <c r="K146" s="548" t="s">
        <v>504</v>
      </c>
    </row>
    <row r="147" spans="1:11" x14ac:dyDescent="0.3">
      <c r="A147" t="s">
        <v>591</v>
      </c>
      <c r="D147" s="548" t="s">
        <v>504</v>
      </c>
      <c r="E147" s="548" t="s">
        <v>504</v>
      </c>
      <c r="F147" s="548" t="s">
        <v>504</v>
      </c>
      <c r="G147" s="548" t="s">
        <v>504</v>
      </c>
      <c r="H147" s="548" t="s">
        <v>504</v>
      </c>
      <c r="I147" s="548" t="s">
        <v>504</v>
      </c>
      <c r="J147" s="548" t="s">
        <v>504</v>
      </c>
      <c r="K147" s="548" t="s">
        <v>504</v>
      </c>
    </row>
    <row r="148" spans="1:11" x14ac:dyDescent="0.3">
      <c r="A148" t="s">
        <v>592</v>
      </c>
      <c r="D148" s="548" t="s">
        <v>504</v>
      </c>
      <c r="E148" s="548" t="s">
        <v>504</v>
      </c>
      <c r="F148" s="548" t="s">
        <v>504</v>
      </c>
      <c r="G148" s="548" t="s">
        <v>504</v>
      </c>
      <c r="H148" s="548" t="s">
        <v>504</v>
      </c>
      <c r="I148" s="548" t="s">
        <v>504</v>
      </c>
      <c r="J148" s="548" t="s">
        <v>504</v>
      </c>
      <c r="K148" s="548" t="s">
        <v>504</v>
      </c>
    </row>
    <row r="149" spans="1:11" x14ac:dyDescent="0.3">
      <c r="A149" t="s">
        <v>593</v>
      </c>
      <c r="D149" s="548" t="s">
        <v>504</v>
      </c>
      <c r="E149" s="548" t="s">
        <v>504</v>
      </c>
      <c r="F149" s="548" t="s">
        <v>504</v>
      </c>
      <c r="G149" s="548" t="s">
        <v>504</v>
      </c>
      <c r="H149" s="548" t="s">
        <v>504</v>
      </c>
      <c r="I149" s="548" t="s">
        <v>504</v>
      </c>
      <c r="J149" s="548" t="s">
        <v>504</v>
      </c>
      <c r="K149" s="548" t="s">
        <v>504</v>
      </c>
    </row>
    <row r="150" spans="1:11" x14ac:dyDescent="0.3">
      <c r="A150" t="s">
        <v>594</v>
      </c>
      <c r="D150" s="548" t="s">
        <v>504</v>
      </c>
      <c r="E150" s="548" t="s">
        <v>504</v>
      </c>
      <c r="F150" s="548" t="s">
        <v>504</v>
      </c>
      <c r="G150" s="548" t="s">
        <v>504</v>
      </c>
      <c r="H150" s="548" t="s">
        <v>504</v>
      </c>
      <c r="I150" s="548" t="s">
        <v>504</v>
      </c>
      <c r="J150" s="548" t="s">
        <v>504</v>
      </c>
      <c r="K150" s="548" t="s">
        <v>504</v>
      </c>
    </row>
    <row r="151" spans="1:11" x14ac:dyDescent="0.3">
      <c r="A151" t="s">
        <v>595</v>
      </c>
      <c r="D151" s="548" t="s">
        <v>504</v>
      </c>
      <c r="E151" s="548" t="s">
        <v>504</v>
      </c>
      <c r="F151" s="548" t="s">
        <v>504</v>
      </c>
      <c r="G151" s="548" t="s">
        <v>504</v>
      </c>
      <c r="H151" s="548" t="s">
        <v>504</v>
      </c>
      <c r="I151" s="548" t="s">
        <v>504</v>
      </c>
      <c r="J151" s="548" t="s">
        <v>504</v>
      </c>
      <c r="K151" s="548" t="s">
        <v>504</v>
      </c>
    </row>
    <row r="152" spans="1:11" x14ac:dyDescent="0.3">
      <c r="A152" t="s">
        <v>596</v>
      </c>
      <c r="D152" s="548" t="s">
        <v>504</v>
      </c>
      <c r="E152" s="548" t="s">
        <v>504</v>
      </c>
      <c r="F152" s="548" t="s">
        <v>504</v>
      </c>
      <c r="G152" s="548" t="s">
        <v>504</v>
      </c>
      <c r="H152" s="548" t="s">
        <v>504</v>
      </c>
      <c r="I152" s="548" t="s">
        <v>504</v>
      </c>
      <c r="J152" s="548" t="s">
        <v>504</v>
      </c>
      <c r="K152" s="548" t="s">
        <v>504</v>
      </c>
    </row>
    <row r="153" spans="1:11" x14ac:dyDescent="0.3">
      <c r="A153" t="s">
        <v>597</v>
      </c>
      <c r="D153" s="548" t="s">
        <v>504</v>
      </c>
      <c r="E153" s="548" t="s">
        <v>504</v>
      </c>
      <c r="F153" s="548" t="s">
        <v>504</v>
      </c>
      <c r="G153" s="548" t="s">
        <v>504</v>
      </c>
      <c r="H153" s="548" t="s">
        <v>504</v>
      </c>
      <c r="I153" s="548" t="s">
        <v>504</v>
      </c>
      <c r="J153" s="548" t="s">
        <v>504</v>
      </c>
      <c r="K153" s="548" t="s">
        <v>504</v>
      </c>
    </row>
    <row r="154" spans="1:11" x14ac:dyDescent="0.3">
      <c r="A154" t="s">
        <v>598</v>
      </c>
      <c r="D154" s="548" t="s">
        <v>504</v>
      </c>
      <c r="E154" s="548" t="s">
        <v>504</v>
      </c>
      <c r="F154" s="548" t="s">
        <v>504</v>
      </c>
      <c r="G154" s="548" t="s">
        <v>504</v>
      </c>
      <c r="H154" s="548" t="s">
        <v>504</v>
      </c>
      <c r="I154" s="548" t="s">
        <v>504</v>
      </c>
      <c r="J154" s="548" t="s">
        <v>504</v>
      </c>
      <c r="K154" s="548" t="s">
        <v>504</v>
      </c>
    </row>
    <row r="155" spans="1:11" x14ac:dyDescent="0.3">
      <c r="A155" t="s">
        <v>599</v>
      </c>
      <c r="D155" s="548" t="s">
        <v>504</v>
      </c>
      <c r="E155" s="548" t="s">
        <v>504</v>
      </c>
      <c r="F155" s="548" t="s">
        <v>504</v>
      </c>
      <c r="G155" s="548" t="s">
        <v>504</v>
      </c>
      <c r="H155" s="548" t="s">
        <v>504</v>
      </c>
      <c r="I155" s="548" t="s">
        <v>504</v>
      </c>
      <c r="J155" s="548" t="s">
        <v>504</v>
      </c>
      <c r="K155" s="548" t="s">
        <v>504</v>
      </c>
    </row>
    <row r="156" spans="1:11" x14ac:dyDescent="0.3">
      <c r="A156" t="s">
        <v>600</v>
      </c>
      <c r="D156" s="548" t="s">
        <v>504</v>
      </c>
      <c r="E156" s="548" t="s">
        <v>504</v>
      </c>
      <c r="F156" s="548" t="s">
        <v>504</v>
      </c>
      <c r="G156" s="548" t="s">
        <v>504</v>
      </c>
      <c r="H156" s="548" t="s">
        <v>504</v>
      </c>
      <c r="I156" s="548" t="s">
        <v>504</v>
      </c>
      <c r="J156" s="548" t="s">
        <v>504</v>
      </c>
      <c r="K156" s="548" t="s">
        <v>504</v>
      </c>
    </row>
    <row r="157" spans="1:11" x14ac:dyDescent="0.3">
      <c r="A157" t="s">
        <v>601</v>
      </c>
      <c r="D157" s="548" t="s">
        <v>504</v>
      </c>
      <c r="E157" s="548" t="s">
        <v>504</v>
      </c>
      <c r="F157" s="548" t="s">
        <v>504</v>
      </c>
      <c r="G157" s="548" t="s">
        <v>504</v>
      </c>
      <c r="H157" s="548" t="s">
        <v>504</v>
      </c>
      <c r="I157" s="548" t="s">
        <v>504</v>
      </c>
      <c r="J157" s="548" t="s">
        <v>504</v>
      </c>
      <c r="K157" s="548" t="s">
        <v>504</v>
      </c>
    </row>
    <row r="158" spans="1:11" x14ac:dyDescent="0.3">
      <c r="A158" t="s">
        <v>602</v>
      </c>
      <c r="D158" s="548" t="s">
        <v>504</v>
      </c>
      <c r="E158" s="548" t="s">
        <v>504</v>
      </c>
      <c r="F158" s="548" t="s">
        <v>504</v>
      </c>
      <c r="G158" s="548" t="s">
        <v>504</v>
      </c>
      <c r="H158" s="548" t="s">
        <v>504</v>
      </c>
      <c r="I158" s="548" t="s">
        <v>504</v>
      </c>
      <c r="J158" s="548" t="s">
        <v>504</v>
      </c>
      <c r="K158" s="548" t="s">
        <v>504</v>
      </c>
    </row>
    <row r="159" spans="1:11" x14ac:dyDescent="0.3">
      <c r="A159" t="s">
        <v>603</v>
      </c>
      <c r="D159" s="548" t="s">
        <v>504</v>
      </c>
      <c r="E159" s="548" t="s">
        <v>504</v>
      </c>
      <c r="F159" s="548" t="s">
        <v>504</v>
      </c>
      <c r="G159" s="548" t="s">
        <v>504</v>
      </c>
      <c r="H159" s="548" t="s">
        <v>504</v>
      </c>
      <c r="I159" s="548" t="s">
        <v>504</v>
      </c>
      <c r="J159" s="548" t="s">
        <v>504</v>
      </c>
      <c r="K159" s="548" t="s">
        <v>504</v>
      </c>
    </row>
    <row r="160" spans="1:11" x14ac:dyDescent="0.3">
      <c r="A160" t="s">
        <v>604</v>
      </c>
      <c r="D160" s="548" t="s">
        <v>504</v>
      </c>
      <c r="E160" s="548" t="s">
        <v>504</v>
      </c>
      <c r="F160" s="548" t="s">
        <v>504</v>
      </c>
      <c r="G160" s="548" t="s">
        <v>504</v>
      </c>
      <c r="H160" s="548" t="s">
        <v>504</v>
      </c>
      <c r="I160" s="548" t="s">
        <v>504</v>
      </c>
      <c r="J160" s="548" t="s">
        <v>504</v>
      </c>
      <c r="K160" s="548" t="s">
        <v>504</v>
      </c>
    </row>
    <row r="161" spans="1:11" x14ac:dyDescent="0.3">
      <c r="A161" t="s">
        <v>605</v>
      </c>
      <c r="D161" s="548" t="s">
        <v>504</v>
      </c>
      <c r="E161" s="548" t="s">
        <v>504</v>
      </c>
      <c r="F161" s="548" t="s">
        <v>504</v>
      </c>
      <c r="G161" s="548" t="s">
        <v>504</v>
      </c>
      <c r="H161" s="548" t="s">
        <v>504</v>
      </c>
      <c r="I161" s="548" t="s">
        <v>504</v>
      </c>
      <c r="J161" s="548" t="s">
        <v>504</v>
      </c>
      <c r="K161" s="548" t="s">
        <v>504</v>
      </c>
    </row>
    <row r="162" spans="1:11" x14ac:dyDescent="0.3">
      <c r="A162" t="s">
        <v>606</v>
      </c>
      <c r="D162" s="548" t="s">
        <v>504</v>
      </c>
      <c r="E162" s="548" t="s">
        <v>504</v>
      </c>
      <c r="F162" s="548" t="s">
        <v>504</v>
      </c>
      <c r="G162" s="548" t="s">
        <v>504</v>
      </c>
      <c r="H162" s="548" t="s">
        <v>504</v>
      </c>
      <c r="I162" s="548" t="s">
        <v>504</v>
      </c>
      <c r="J162" s="548" t="s">
        <v>504</v>
      </c>
      <c r="K162" s="548" t="s">
        <v>504</v>
      </c>
    </row>
    <row r="163" spans="1:11" x14ac:dyDescent="0.3">
      <c r="A163" t="s">
        <v>607</v>
      </c>
      <c r="D163" s="548" t="s">
        <v>504</v>
      </c>
      <c r="E163" s="548" t="s">
        <v>504</v>
      </c>
      <c r="F163" s="548" t="s">
        <v>504</v>
      </c>
      <c r="G163" s="548" t="s">
        <v>504</v>
      </c>
      <c r="H163" s="548" t="s">
        <v>504</v>
      </c>
      <c r="I163" s="548" t="s">
        <v>504</v>
      </c>
      <c r="J163" s="548" t="s">
        <v>504</v>
      </c>
      <c r="K163" s="548" t="s">
        <v>504</v>
      </c>
    </row>
    <row r="164" spans="1:11" x14ac:dyDescent="0.3">
      <c r="A164" t="s">
        <v>608</v>
      </c>
      <c r="D164" s="548" t="s">
        <v>504</v>
      </c>
      <c r="E164" s="548" t="s">
        <v>504</v>
      </c>
      <c r="F164" s="548" t="s">
        <v>504</v>
      </c>
      <c r="G164" s="548" t="s">
        <v>504</v>
      </c>
      <c r="H164" s="548" t="s">
        <v>504</v>
      </c>
      <c r="I164" s="548" t="s">
        <v>504</v>
      </c>
      <c r="J164" s="548" t="s">
        <v>504</v>
      </c>
      <c r="K164" s="548" t="s">
        <v>504</v>
      </c>
    </row>
    <row r="165" spans="1:11" x14ac:dyDescent="0.3">
      <c r="A165" t="s">
        <v>609</v>
      </c>
      <c r="D165" s="548" t="s">
        <v>504</v>
      </c>
      <c r="E165" s="548" t="s">
        <v>504</v>
      </c>
      <c r="F165" s="548" t="s">
        <v>504</v>
      </c>
      <c r="G165" s="548" t="s">
        <v>504</v>
      </c>
      <c r="H165" s="548" t="s">
        <v>504</v>
      </c>
      <c r="I165" s="548" t="s">
        <v>504</v>
      </c>
      <c r="J165" s="548" t="s">
        <v>504</v>
      </c>
      <c r="K165" s="548" t="s">
        <v>504</v>
      </c>
    </row>
    <row r="166" spans="1:11" x14ac:dyDescent="0.3">
      <c r="A166" t="s">
        <v>610</v>
      </c>
      <c r="D166" s="548" t="s">
        <v>504</v>
      </c>
      <c r="E166" s="548" t="s">
        <v>504</v>
      </c>
      <c r="F166" s="548" t="s">
        <v>504</v>
      </c>
      <c r="G166" s="548" t="s">
        <v>504</v>
      </c>
      <c r="H166" s="548" t="s">
        <v>504</v>
      </c>
      <c r="I166" s="548" t="s">
        <v>504</v>
      </c>
      <c r="J166" s="548" t="s">
        <v>504</v>
      </c>
      <c r="K166" s="548" t="s">
        <v>504</v>
      </c>
    </row>
    <row r="167" spans="1:11" x14ac:dyDescent="0.3">
      <c r="A167" t="s">
        <v>611</v>
      </c>
      <c r="D167" s="548" t="s">
        <v>504</v>
      </c>
      <c r="E167" s="548" t="s">
        <v>504</v>
      </c>
      <c r="F167" s="548" t="s">
        <v>504</v>
      </c>
      <c r="G167" s="548" t="s">
        <v>504</v>
      </c>
      <c r="H167" s="548" t="s">
        <v>504</v>
      </c>
      <c r="I167" s="548" t="s">
        <v>504</v>
      </c>
      <c r="J167" s="548" t="s">
        <v>504</v>
      </c>
      <c r="K167" s="548" t="s">
        <v>504</v>
      </c>
    </row>
    <row r="168" spans="1:11" x14ac:dyDescent="0.3">
      <c r="A168" t="s">
        <v>612</v>
      </c>
      <c r="D168" s="548" t="s">
        <v>504</v>
      </c>
      <c r="E168" s="548" t="s">
        <v>504</v>
      </c>
      <c r="F168" s="548" t="s">
        <v>504</v>
      </c>
      <c r="G168" s="548" t="s">
        <v>504</v>
      </c>
      <c r="H168" s="548" t="s">
        <v>504</v>
      </c>
      <c r="I168" s="548" t="s">
        <v>504</v>
      </c>
      <c r="J168" s="548" t="s">
        <v>504</v>
      </c>
      <c r="K168" s="548" t="s">
        <v>504</v>
      </c>
    </row>
    <row r="169" spans="1:11" x14ac:dyDescent="0.3">
      <c r="A169" t="s">
        <v>613</v>
      </c>
      <c r="D169" s="548" t="s">
        <v>504</v>
      </c>
      <c r="E169" s="548" t="s">
        <v>504</v>
      </c>
      <c r="F169" s="548" t="s">
        <v>504</v>
      </c>
      <c r="G169" s="548" t="s">
        <v>504</v>
      </c>
      <c r="H169" s="548" t="s">
        <v>504</v>
      </c>
      <c r="I169" s="548" t="s">
        <v>504</v>
      </c>
      <c r="J169" s="548" t="s">
        <v>504</v>
      </c>
      <c r="K169" s="548" t="s">
        <v>504</v>
      </c>
    </row>
    <row r="170" spans="1:11" x14ac:dyDescent="0.3">
      <c r="A170" t="s">
        <v>614</v>
      </c>
      <c r="D170" s="548" t="s">
        <v>504</v>
      </c>
      <c r="E170" s="548" t="s">
        <v>504</v>
      </c>
      <c r="F170" s="548" t="s">
        <v>504</v>
      </c>
      <c r="G170" s="548" t="s">
        <v>504</v>
      </c>
      <c r="H170" s="548" t="s">
        <v>504</v>
      </c>
      <c r="I170" s="548" t="s">
        <v>504</v>
      </c>
      <c r="J170" s="548" t="s">
        <v>504</v>
      </c>
      <c r="K170" s="548" t="s">
        <v>504</v>
      </c>
    </row>
    <row r="171" spans="1:11" x14ac:dyDescent="0.3">
      <c r="A171" t="s">
        <v>615</v>
      </c>
      <c r="D171" s="548" t="s">
        <v>504</v>
      </c>
      <c r="E171" s="548" t="s">
        <v>504</v>
      </c>
      <c r="F171" s="548" t="s">
        <v>504</v>
      </c>
      <c r="G171" s="548" t="s">
        <v>504</v>
      </c>
      <c r="H171" s="548" t="s">
        <v>504</v>
      </c>
      <c r="I171" s="548" t="s">
        <v>504</v>
      </c>
      <c r="J171" s="548" t="s">
        <v>504</v>
      </c>
      <c r="K171" s="548" t="s">
        <v>504</v>
      </c>
    </row>
    <row r="172" spans="1:11" x14ac:dyDescent="0.3">
      <c r="A172" t="s">
        <v>616</v>
      </c>
      <c r="D172" s="548" t="s">
        <v>504</v>
      </c>
      <c r="E172" s="548" t="s">
        <v>504</v>
      </c>
      <c r="F172" s="548" t="s">
        <v>504</v>
      </c>
      <c r="G172" s="548" t="s">
        <v>504</v>
      </c>
      <c r="H172" s="548" t="s">
        <v>504</v>
      </c>
      <c r="I172" s="548" t="s">
        <v>504</v>
      </c>
      <c r="J172" s="548" t="s">
        <v>504</v>
      </c>
      <c r="K172" s="548" t="s">
        <v>504</v>
      </c>
    </row>
    <row r="173" spans="1:11" x14ac:dyDescent="0.3">
      <c r="A173" t="s">
        <v>617</v>
      </c>
      <c r="D173" s="548" t="s">
        <v>504</v>
      </c>
      <c r="E173" s="548" t="s">
        <v>504</v>
      </c>
      <c r="F173" s="548" t="s">
        <v>504</v>
      </c>
      <c r="G173" s="548" t="s">
        <v>504</v>
      </c>
      <c r="H173" s="548" t="s">
        <v>504</v>
      </c>
      <c r="I173" s="548" t="s">
        <v>504</v>
      </c>
      <c r="J173" s="548" t="s">
        <v>504</v>
      </c>
      <c r="K173" s="548" t="s">
        <v>504</v>
      </c>
    </row>
    <row r="174" spans="1:11" x14ac:dyDescent="0.3">
      <c r="A174" t="s">
        <v>618</v>
      </c>
      <c r="D174" s="545" t="s">
        <v>504</v>
      </c>
      <c r="E174" s="546" t="s">
        <v>504</v>
      </c>
      <c r="F174" s="546" t="s">
        <v>504</v>
      </c>
      <c r="G174" s="546" t="s">
        <v>504</v>
      </c>
      <c r="H174" s="547" t="s">
        <v>504</v>
      </c>
    </row>
    <row r="175" spans="1:11" x14ac:dyDescent="0.3">
      <c r="A175" t="s">
        <v>619</v>
      </c>
      <c r="D175" s="548" t="s">
        <v>504</v>
      </c>
      <c r="E175" s="548" t="s">
        <v>504</v>
      </c>
      <c r="F175" s="548" t="s">
        <v>504</v>
      </c>
      <c r="G175" s="548" t="s">
        <v>504</v>
      </c>
      <c r="H175" s="548" t="s">
        <v>504</v>
      </c>
      <c r="I175" s="548" t="s">
        <v>504</v>
      </c>
      <c r="J175" s="548" t="s">
        <v>504</v>
      </c>
      <c r="K175" s="548" t="s">
        <v>504</v>
      </c>
    </row>
    <row r="176" spans="1:11" x14ac:dyDescent="0.3">
      <c r="A176" t="s">
        <v>620</v>
      </c>
      <c r="D176" s="548" t="s">
        <v>504</v>
      </c>
      <c r="E176" s="548" t="s">
        <v>504</v>
      </c>
      <c r="F176" s="548" t="s">
        <v>504</v>
      </c>
      <c r="G176" s="548" t="s">
        <v>504</v>
      </c>
      <c r="H176" s="548" t="s">
        <v>504</v>
      </c>
      <c r="I176" s="548" t="s">
        <v>504</v>
      </c>
      <c r="J176" s="548" t="s">
        <v>504</v>
      </c>
      <c r="K176" s="548" t="s">
        <v>504</v>
      </c>
    </row>
    <row r="177" spans="1:11" x14ac:dyDescent="0.3">
      <c r="A177" t="s">
        <v>621</v>
      </c>
      <c r="D177" s="548" t="s">
        <v>504</v>
      </c>
      <c r="E177" s="548" t="s">
        <v>504</v>
      </c>
      <c r="F177" s="548" t="s">
        <v>504</v>
      </c>
      <c r="G177" s="548" t="s">
        <v>504</v>
      </c>
      <c r="H177" s="548" t="s">
        <v>504</v>
      </c>
      <c r="I177" s="548" t="s">
        <v>504</v>
      </c>
      <c r="J177" s="548" t="s">
        <v>504</v>
      </c>
      <c r="K177" s="548" t="s">
        <v>504</v>
      </c>
    </row>
    <row r="178" spans="1:11" x14ac:dyDescent="0.3">
      <c r="A178" t="s">
        <v>622</v>
      </c>
      <c r="D178" s="548" t="s">
        <v>504</v>
      </c>
      <c r="E178" s="548" t="s">
        <v>504</v>
      </c>
      <c r="F178" s="548" t="s">
        <v>504</v>
      </c>
      <c r="G178" s="548" t="s">
        <v>504</v>
      </c>
      <c r="H178" s="548" t="s">
        <v>504</v>
      </c>
      <c r="I178" s="548" t="s">
        <v>504</v>
      </c>
      <c r="J178" s="548" t="s">
        <v>504</v>
      </c>
      <c r="K178" s="548" t="s">
        <v>504</v>
      </c>
    </row>
    <row r="179" spans="1:11" x14ac:dyDescent="0.3">
      <c r="A179" t="s">
        <v>623</v>
      </c>
      <c r="D179" s="548" t="s">
        <v>504</v>
      </c>
      <c r="E179" s="548" t="s">
        <v>504</v>
      </c>
      <c r="F179" s="548" t="s">
        <v>504</v>
      </c>
      <c r="G179" s="548" t="s">
        <v>504</v>
      </c>
      <c r="H179" s="548" t="s">
        <v>504</v>
      </c>
      <c r="I179" s="548" t="s">
        <v>504</v>
      </c>
      <c r="J179" s="548" t="s">
        <v>504</v>
      </c>
      <c r="K179" s="548" t="s">
        <v>504</v>
      </c>
    </row>
    <row r="180" spans="1:11" x14ac:dyDescent="0.3">
      <c r="A180" t="s">
        <v>624</v>
      </c>
      <c r="D180" s="548" t="s">
        <v>504</v>
      </c>
      <c r="E180" s="548" t="s">
        <v>504</v>
      </c>
      <c r="F180" s="548" t="s">
        <v>504</v>
      </c>
      <c r="G180" s="548" t="s">
        <v>504</v>
      </c>
      <c r="H180" s="548" t="s">
        <v>504</v>
      </c>
      <c r="I180" s="548" t="s">
        <v>504</v>
      </c>
      <c r="J180" s="548" t="s">
        <v>504</v>
      </c>
      <c r="K180" s="548" t="s">
        <v>504</v>
      </c>
    </row>
    <row r="181" spans="1:11" x14ac:dyDescent="0.3">
      <c r="A181" t="s">
        <v>625</v>
      </c>
      <c r="D181" s="548" t="s">
        <v>504</v>
      </c>
      <c r="E181" s="548" t="s">
        <v>504</v>
      </c>
      <c r="F181" s="548" t="s">
        <v>504</v>
      </c>
      <c r="G181" s="548" t="s">
        <v>504</v>
      </c>
      <c r="H181" s="548" t="s">
        <v>504</v>
      </c>
      <c r="I181" s="548" t="s">
        <v>504</v>
      </c>
      <c r="J181" s="548" t="s">
        <v>504</v>
      </c>
      <c r="K181" s="548" t="s">
        <v>504</v>
      </c>
    </row>
    <row r="182" spans="1:11" x14ac:dyDescent="0.3">
      <c r="A182" t="s">
        <v>626</v>
      </c>
      <c r="D182" s="548" t="s">
        <v>504</v>
      </c>
      <c r="E182" s="548" t="s">
        <v>504</v>
      </c>
      <c r="F182" s="548" t="s">
        <v>504</v>
      </c>
      <c r="G182" s="548" t="s">
        <v>504</v>
      </c>
      <c r="H182" s="548" t="s">
        <v>504</v>
      </c>
      <c r="I182" s="548" t="s">
        <v>504</v>
      </c>
      <c r="J182" s="548" t="s">
        <v>504</v>
      </c>
      <c r="K182" s="548" t="s">
        <v>504</v>
      </c>
    </row>
    <row r="183" spans="1:11" x14ac:dyDescent="0.3">
      <c r="A183" t="s">
        <v>627</v>
      </c>
      <c r="D183" s="548" t="s">
        <v>504</v>
      </c>
      <c r="E183" s="548" t="s">
        <v>504</v>
      </c>
      <c r="F183" s="548" t="s">
        <v>504</v>
      </c>
      <c r="G183" s="548" t="s">
        <v>504</v>
      </c>
      <c r="H183" s="548" t="s">
        <v>504</v>
      </c>
      <c r="I183" s="548" t="s">
        <v>504</v>
      </c>
      <c r="J183" s="548" t="s">
        <v>504</v>
      </c>
      <c r="K183" s="548" t="s">
        <v>504</v>
      </c>
    </row>
    <row r="184" spans="1:11" x14ac:dyDescent="0.3">
      <c r="A184" t="s">
        <v>628</v>
      </c>
      <c r="D184" s="548" t="s">
        <v>504</v>
      </c>
      <c r="E184" s="548" t="s">
        <v>504</v>
      </c>
      <c r="F184" s="548" t="s">
        <v>504</v>
      </c>
      <c r="G184" s="548" t="s">
        <v>504</v>
      </c>
      <c r="H184" s="548" t="s">
        <v>504</v>
      </c>
      <c r="I184" s="548" t="s">
        <v>504</v>
      </c>
      <c r="J184" s="548" t="s">
        <v>504</v>
      </c>
      <c r="K184" s="548" t="s">
        <v>504</v>
      </c>
    </row>
    <row r="185" spans="1:11" x14ac:dyDescent="0.3">
      <c r="A185" t="s">
        <v>629</v>
      </c>
      <c r="D185" s="548" t="s">
        <v>504</v>
      </c>
      <c r="E185" s="548" t="s">
        <v>504</v>
      </c>
      <c r="F185" s="548" t="s">
        <v>504</v>
      </c>
      <c r="G185" s="548" t="s">
        <v>504</v>
      </c>
      <c r="H185" s="548" t="s">
        <v>504</v>
      </c>
      <c r="I185" s="548" t="s">
        <v>504</v>
      </c>
      <c r="J185" s="548" t="s">
        <v>504</v>
      </c>
      <c r="K185" s="548" t="s">
        <v>504</v>
      </c>
    </row>
    <row r="186" spans="1:11" x14ac:dyDescent="0.3">
      <c r="A186" t="s">
        <v>630</v>
      </c>
      <c r="D186" s="548" t="s">
        <v>504</v>
      </c>
      <c r="E186" s="548" t="s">
        <v>504</v>
      </c>
      <c r="F186" s="548" t="s">
        <v>504</v>
      </c>
      <c r="G186" s="548" t="s">
        <v>504</v>
      </c>
      <c r="H186" s="548" t="s">
        <v>504</v>
      </c>
      <c r="I186" s="548" t="s">
        <v>504</v>
      </c>
      <c r="J186" s="548" t="s">
        <v>504</v>
      </c>
      <c r="K186" s="548" t="s">
        <v>504</v>
      </c>
    </row>
    <row r="187" spans="1:11" x14ac:dyDescent="0.3">
      <c r="A187" t="s">
        <v>631</v>
      </c>
      <c r="D187" s="548" t="s">
        <v>504</v>
      </c>
      <c r="E187" s="548" t="s">
        <v>504</v>
      </c>
      <c r="F187" s="548" t="s">
        <v>504</v>
      </c>
      <c r="G187" s="548" t="s">
        <v>504</v>
      </c>
      <c r="H187" s="548" t="s">
        <v>504</v>
      </c>
      <c r="I187" s="548" t="s">
        <v>504</v>
      </c>
      <c r="J187" s="548" t="s">
        <v>504</v>
      </c>
      <c r="K187" s="548" t="s">
        <v>504</v>
      </c>
    </row>
    <row r="188" spans="1:11" x14ac:dyDescent="0.3">
      <c r="A188" t="s">
        <v>632</v>
      </c>
      <c r="D188" s="548" t="s">
        <v>504</v>
      </c>
      <c r="E188" s="548" t="s">
        <v>504</v>
      </c>
      <c r="F188" s="548" t="s">
        <v>504</v>
      </c>
      <c r="G188" s="548" t="s">
        <v>504</v>
      </c>
      <c r="H188" s="548" t="s">
        <v>504</v>
      </c>
      <c r="I188" s="548" t="s">
        <v>504</v>
      </c>
      <c r="J188" s="548" t="s">
        <v>504</v>
      </c>
      <c r="K188" s="548" t="s">
        <v>504</v>
      </c>
    </row>
    <row r="189" spans="1:11" x14ac:dyDescent="0.3">
      <c r="A189" t="s">
        <v>633</v>
      </c>
      <c r="D189" s="548" t="s">
        <v>504</v>
      </c>
      <c r="E189" s="548" t="s">
        <v>504</v>
      </c>
      <c r="F189" s="548" t="s">
        <v>504</v>
      </c>
      <c r="G189" s="548" t="s">
        <v>504</v>
      </c>
      <c r="H189" s="548" t="s">
        <v>504</v>
      </c>
      <c r="I189" s="548" t="s">
        <v>504</v>
      </c>
      <c r="J189" s="548" t="s">
        <v>504</v>
      </c>
      <c r="K189" s="548" t="s">
        <v>504</v>
      </c>
    </row>
    <row r="190" spans="1:11" x14ac:dyDescent="0.3">
      <c r="A190" t="s">
        <v>634</v>
      </c>
      <c r="D190" s="548" t="s">
        <v>504</v>
      </c>
      <c r="E190" s="548" t="s">
        <v>504</v>
      </c>
      <c r="F190" s="548" t="s">
        <v>504</v>
      </c>
      <c r="G190" s="548" t="s">
        <v>504</v>
      </c>
      <c r="H190" s="548" t="s">
        <v>504</v>
      </c>
      <c r="I190" s="548" t="s">
        <v>504</v>
      </c>
      <c r="J190" s="548" t="s">
        <v>504</v>
      </c>
      <c r="K190" s="548" t="s">
        <v>504</v>
      </c>
    </row>
    <row r="191" spans="1:11" x14ac:dyDescent="0.3">
      <c r="A191" t="s">
        <v>635</v>
      </c>
      <c r="D191" s="548" t="s">
        <v>504</v>
      </c>
      <c r="E191" s="548" t="s">
        <v>504</v>
      </c>
      <c r="F191" s="548" t="s">
        <v>504</v>
      </c>
      <c r="G191" s="548" t="s">
        <v>504</v>
      </c>
      <c r="H191" s="548" t="s">
        <v>504</v>
      </c>
      <c r="I191" s="548" t="s">
        <v>504</v>
      </c>
      <c r="J191" s="548" t="s">
        <v>504</v>
      </c>
      <c r="K191" s="548" t="s">
        <v>504</v>
      </c>
    </row>
    <row r="192" spans="1:11" x14ac:dyDescent="0.3">
      <c r="A192" t="s">
        <v>636</v>
      </c>
      <c r="D192" s="548" t="s">
        <v>504</v>
      </c>
      <c r="E192" s="548" t="s">
        <v>504</v>
      </c>
      <c r="F192" s="548" t="s">
        <v>504</v>
      </c>
      <c r="G192" s="548" t="s">
        <v>504</v>
      </c>
      <c r="H192" s="548" t="s">
        <v>504</v>
      </c>
      <c r="I192" s="548" t="s">
        <v>504</v>
      </c>
      <c r="J192" s="548" t="s">
        <v>504</v>
      </c>
      <c r="K192" s="548" t="s">
        <v>504</v>
      </c>
    </row>
    <row r="193" spans="1:11" x14ac:dyDescent="0.3">
      <c r="A193" t="s">
        <v>637</v>
      </c>
      <c r="D193" s="548" t="s">
        <v>504</v>
      </c>
      <c r="E193" s="548" t="s">
        <v>504</v>
      </c>
      <c r="F193" s="548" t="s">
        <v>504</v>
      </c>
      <c r="G193" s="548" t="s">
        <v>504</v>
      </c>
      <c r="H193" s="548" t="s">
        <v>504</v>
      </c>
      <c r="I193" s="548" t="s">
        <v>504</v>
      </c>
      <c r="J193" s="548" t="s">
        <v>504</v>
      </c>
      <c r="K193" s="548" t="s">
        <v>504</v>
      </c>
    </row>
    <row r="194" spans="1:11" x14ac:dyDescent="0.3">
      <c r="A194" t="s">
        <v>638</v>
      </c>
      <c r="D194" s="548" t="s">
        <v>504</v>
      </c>
      <c r="E194" s="548" t="s">
        <v>504</v>
      </c>
      <c r="F194" s="548" t="s">
        <v>504</v>
      </c>
      <c r="G194" s="548" t="s">
        <v>504</v>
      </c>
      <c r="H194" s="548" t="s">
        <v>504</v>
      </c>
      <c r="I194" s="548" t="s">
        <v>504</v>
      </c>
      <c r="J194" s="548" t="s">
        <v>504</v>
      </c>
      <c r="K194" s="548" t="s">
        <v>504</v>
      </c>
    </row>
    <row r="195" spans="1:11" x14ac:dyDescent="0.3">
      <c r="A195" t="s">
        <v>639</v>
      </c>
      <c r="D195" s="548" t="s">
        <v>504</v>
      </c>
      <c r="E195" s="548" t="s">
        <v>504</v>
      </c>
      <c r="F195" s="548" t="s">
        <v>504</v>
      </c>
      <c r="G195" s="548" t="s">
        <v>504</v>
      </c>
      <c r="H195" s="548" t="s">
        <v>504</v>
      </c>
      <c r="I195" s="548" t="s">
        <v>504</v>
      </c>
      <c r="J195" s="548" t="s">
        <v>504</v>
      </c>
      <c r="K195" s="548" t="s">
        <v>504</v>
      </c>
    </row>
    <row r="196" spans="1:11" x14ac:dyDescent="0.3">
      <c r="A196" t="s">
        <v>640</v>
      </c>
      <c r="D196" s="548" t="s">
        <v>504</v>
      </c>
      <c r="E196" s="548" t="s">
        <v>504</v>
      </c>
      <c r="F196" s="548" t="s">
        <v>504</v>
      </c>
      <c r="G196" s="548" t="s">
        <v>504</v>
      </c>
      <c r="H196" s="548" t="s">
        <v>504</v>
      </c>
      <c r="I196" s="548" t="s">
        <v>504</v>
      </c>
      <c r="J196" s="548" t="s">
        <v>504</v>
      </c>
      <c r="K196" s="548" t="s">
        <v>504</v>
      </c>
    </row>
    <row r="197" spans="1:11" x14ac:dyDescent="0.3">
      <c r="A197" t="s">
        <v>641</v>
      </c>
      <c r="D197" s="548" t="s">
        <v>504</v>
      </c>
      <c r="E197" s="548" t="s">
        <v>504</v>
      </c>
      <c r="F197" s="548" t="s">
        <v>504</v>
      </c>
      <c r="G197" s="548" t="s">
        <v>504</v>
      </c>
      <c r="H197" s="548" t="s">
        <v>504</v>
      </c>
      <c r="I197" s="548" t="s">
        <v>504</v>
      </c>
      <c r="J197" s="548" t="s">
        <v>504</v>
      </c>
      <c r="K197" s="548" t="s">
        <v>504</v>
      </c>
    </row>
    <row r="198" spans="1:11" x14ac:dyDescent="0.3">
      <c r="A198" t="s">
        <v>642</v>
      </c>
      <c r="D198" s="548" t="s">
        <v>504</v>
      </c>
      <c r="E198" s="548" t="s">
        <v>504</v>
      </c>
      <c r="F198" s="548" t="s">
        <v>504</v>
      </c>
      <c r="G198" s="548" t="s">
        <v>504</v>
      </c>
      <c r="H198" s="548" t="s">
        <v>504</v>
      </c>
      <c r="I198" s="548" t="s">
        <v>504</v>
      </c>
      <c r="J198" s="548" t="s">
        <v>504</v>
      </c>
      <c r="K198" s="548" t="s">
        <v>504</v>
      </c>
    </row>
    <row r="199" spans="1:11" x14ac:dyDescent="0.3">
      <c r="A199" t="s">
        <v>643</v>
      </c>
      <c r="D199" s="548" t="s">
        <v>504</v>
      </c>
      <c r="E199" s="548" t="s">
        <v>504</v>
      </c>
      <c r="F199" s="548" t="s">
        <v>504</v>
      </c>
      <c r="G199" s="548" t="s">
        <v>504</v>
      </c>
      <c r="H199" s="548" t="s">
        <v>504</v>
      </c>
      <c r="I199" s="548" t="s">
        <v>504</v>
      </c>
      <c r="J199" s="548" t="s">
        <v>504</v>
      </c>
      <c r="K199" s="548" t="s">
        <v>504</v>
      </c>
    </row>
    <row r="200" spans="1:11" x14ac:dyDescent="0.3">
      <c r="A200" t="s">
        <v>644</v>
      </c>
      <c r="D200" s="548" t="s">
        <v>504</v>
      </c>
      <c r="E200" s="548" t="s">
        <v>504</v>
      </c>
      <c r="F200" s="548" t="s">
        <v>504</v>
      </c>
      <c r="G200" s="548" t="s">
        <v>504</v>
      </c>
      <c r="H200" s="548" t="s">
        <v>504</v>
      </c>
      <c r="I200" s="548" t="s">
        <v>504</v>
      </c>
      <c r="J200" s="548" t="s">
        <v>504</v>
      </c>
      <c r="K200" s="548" t="s">
        <v>504</v>
      </c>
    </row>
    <row r="201" spans="1:11" x14ac:dyDescent="0.3">
      <c r="A201" t="s">
        <v>645</v>
      </c>
      <c r="D201" s="548" t="s">
        <v>504</v>
      </c>
      <c r="E201" s="548" t="s">
        <v>504</v>
      </c>
      <c r="F201" s="548" t="s">
        <v>504</v>
      </c>
      <c r="G201" s="548" t="s">
        <v>504</v>
      </c>
      <c r="H201" s="548" t="s">
        <v>504</v>
      </c>
      <c r="I201" s="548" t="s">
        <v>504</v>
      </c>
      <c r="J201" s="548" t="s">
        <v>504</v>
      </c>
      <c r="K201" s="548" t="s">
        <v>504</v>
      </c>
    </row>
    <row r="202" spans="1:11" x14ac:dyDescent="0.3">
      <c r="A202" t="s">
        <v>646</v>
      </c>
      <c r="D202" s="548" t="s">
        <v>504</v>
      </c>
      <c r="E202" s="548" t="s">
        <v>504</v>
      </c>
      <c r="F202" s="548" t="s">
        <v>504</v>
      </c>
      <c r="G202" s="548" t="s">
        <v>504</v>
      </c>
      <c r="H202" s="548" t="s">
        <v>504</v>
      </c>
      <c r="I202" s="548" t="s">
        <v>504</v>
      </c>
      <c r="J202" s="548" t="s">
        <v>504</v>
      </c>
      <c r="K202" s="548" t="s">
        <v>504</v>
      </c>
    </row>
    <row r="203" spans="1:11" x14ac:dyDescent="0.3">
      <c r="A203" t="s">
        <v>647</v>
      </c>
      <c r="D203" s="548" t="s">
        <v>504</v>
      </c>
      <c r="E203" s="548" t="s">
        <v>504</v>
      </c>
      <c r="F203" s="548" t="s">
        <v>504</v>
      </c>
      <c r="G203" s="548" t="s">
        <v>504</v>
      </c>
      <c r="H203" s="548" t="s">
        <v>504</v>
      </c>
      <c r="I203" s="548" t="s">
        <v>504</v>
      </c>
      <c r="J203" s="548" t="s">
        <v>504</v>
      </c>
      <c r="K203" s="548" t="s">
        <v>504</v>
      </c>
    </row>
    <row r="204" spans="1:11" x14ac:dyDescent="0.3">
      <c r="A204" t="s">
        <v>648</v>
      </c>
      <c r="D204" s="548" t="s">
        <v>504</v>
      </c>
      <c r="E204" s="548" t="s">
        <v>504</v>
      </c>
      <c r="F204" s="548" t="s">
        <v>504</v>
      </c>
      <c r="G204" s="548" t="s">
        <v>504</v>
      </c>
      <c r="H204" s="548" t="s">
        <v>504</v>
      </c>
      <c r="I204" s="548" t="s">
        <v>504</v>
      </c>
      <c r="J204" s="548" t="s">
        <v>504</v>
      </c>
      <c r="K204" s="548" t="s">
        <v>504</v>
      </c>
    </row>
    <row r="205" spans="1:11" x14ac:dyDescent="0.3">
      <c r="A205" t="s">
        <v>649</v>
      </c>
      <c r="D205" s="548" t="s">
        <v>504</v>
      </c>
      <c r="E205" s="548" t="s">
        <v>504</v>
      </c>
      <c r="F205" s="548" t="s">
        <v>504</v>
      </c>
      <c r="G205" s="548" t="s">
        <v>504</v>
      </c>
      <c r="H205" s="548" t="s">
        <v>504</v>
      </c>
      <c r="I205" s="548" t="s">
        <v>504</v>
      </c>
      <c r="J205" s="548" t="s">
        <v>504</v>
      </c>
      <c r="K205" s="548" t="s">
        <v>504</v>
      </c>
    </row>
    <row r="206" spans="1:11" x14ac:dyDescent="0.3">
      <c r="A206" t="s">
        <v>650</v>
      </c>
      <c r="D206" s="548" t="s">
        <v>504</v>
      </c>
      <c r="E206" s="548" t="s">
        <v>504</v>
      </c>
      <c r="F206" s="548" t="s">
        <v>504</v>
      </c>
      <c r="G206" s="548" t="s">
        <v>504</v>
      </c>
      <c r="H206" s="548" t="s">
        <v>504</v>
      </c>
      <c r="I206" s="548" t="s">
        <v>504</v>
      </c>
      <c r="J206" s="548" t="s">
        <v>504</v>
      </c>
      <c r="K206" s="548" t="s">
        <v>504</v>
      </c>
    </row>
    <row r="207" spans="1:11" x14ac:dyDescent="0.3">
      <c r="A207" t="s">
        <v>651</v>
      </c>
      <c r="D207" s="548" t="s">
        <v>504</v>
      </c>
      <c r="E207" s="548" t="s">
        <v>504</v>
      </c>
      <c r="F207" s="548" t="s">
        <v>504</v>
      </c>
      <c r="G207" s="548" t="s">
        <v>504</v>
      </c>
      <c r="H207" s="548" t="s">
        <v>504</v>
      </c>
      <c r="I207" s="548" t="s">
        <v>504</v>
      </c>
      <c r="J207" s="548" t="s">
        <v>504</v>
      </c>
      <c r="K207" s="548" t="s">
        <v>504</v>
      </c>
    </row>
    <row r="208" spans="1:11" x14ac:dyDescent="0.3">
      <c r="A208" t="s">
        <v>652</v>
      </c>
      <c r="D208" s="548" t="s">
        <v>504</v>
      </c>
      <c r="E208" s="548" t="s">
        <v>504</v>
      </c>
      <c r="F208" s="548" t="s">
        <v>504</v>
      </c>
      <c r="G208" s="548" t="s">
        <v>504</v>
      </c>
      <c r="H208" s="548" t="s">
        <v>504</v>
      </c>
      <c r="I208" s="548" t="s">
        <v>504</v>
      </c>
      <c r="J208" s="548" t="s">
        <v>504</v>
      </c>
      <c r="K208" s="548" t="s">
        <v>504</v>
      </c>
    </row>
    <row r="209" spans="1:11" x14ac:dyDescent="0.3">
      <c r="A209" t="s">
        <v>653</v>
      </c>
      <c r="D209" s="548" t="s">
        <v>504</v>
      </c>
      <c r="E209" s="548" t="s">
        <v>504</v>
      </c>
      <c r="F209" s="548" t="s">
        <v>504</v>
      </c>
      <c r="G209" s="548" t="s">
        <v>504</v>
      </c>
      <c r="H209" s="548" t="s">
        <v>504</v>
      </c>
      <c r="I209" s="548" t="s">
        <v>504</v>
      </c>
      <c r="J209" s="548" t="s">
        <v>504</v>
      </c>
      <c r="K209" s="548" t="s">
        <v>504</v>
      </c>
    </row>
    <row r="210" spans="1:11" x14ac:dyDescent="0.3">
      <c r="A210" t="s">
        <v>654</v>
      </c>
      <c r="D210" s="548" t="s">
        <v>504</v>
      </c>
      <c r="E210" s="548" t="s">
        <v>504</v>
      </c>
      <c r="F210" s="548" t="s">
        <v>504</v>
      </c>
      <c r="G210" s="548" t="s">
        <v>504</v>
      </c>
      <c r="H210" s="548" t="s">
        <v>504</v>
      </c>
      <c r="I210" s="548" t="s">
        <v>504</v>
      </c>
      <c r="J210" s="548" t="s">
        <v>504</v>
      </c>
      <c r="K210" s="548" t="s">
        <v>504</v>
      </c>
    </row>
    <row r="211" spans="1:11" x14ac:dyDescent="0.3">
      <c r="A211" t="s">
        <v>655</v>
      </c>
      <c r="D211" s="548" t="s">
        <v>504</v>
      </c>
      <c r="E211" s="548" t="s">
        <v>504</v>
      </c>
      <c r="F211" s="548" t="s">
        <v>504</v>
      </c>
      <c r="G211" s="548" t="s">
        <v>504</v>
      </c>
      <c r="H211" s="548" t="s">
        <v>504</v>
      </c>
      <c r="I211" s="548" t="s">
        <v>504</v>
      </c>
      <c r="J211" s="548" t="s">
        <v>504</v>
      </c>
      <c r="K211" s="548" t="s">
        <v>504</v>
      </c>
    </row>
    <row r="212" spans="1:11" x14ac:dyDescent="0.3">
      <c r="A212" t="s">
        <v>656</v>
      </c>
      <c r="D212" s="548" t="s">
        <v>504</v>
      </c>
      <c r="E212" s="548" t="s">
        <v>504</v>
      </c>
      <c r="F212" s="548" t="s">
        <v>504</v>
      </c>
      <c r="G212" s="548" t="s">
        <v>504</v>
      </c>
      <c r="H212" s="548" t="s">
        <v>504</v>
      </c>
      <c r="I212" s="548" t="s">
        <v>504</v>
      </c>
      <c r="J212" s="548" t="s">
        <v>504</v>
      </c>
      <c r="K212" s="548" t="s">
        <v>504</v>
      </c>
    </row>
    <row r="213" spans="1:11" x14ac:dyDescent="0.3">
      <c r="A213" t="s">
        <v>657</v>
      </c>
      <c r="D213" s="548" t="s">
        <v>504</v>
      </c>
      <c r="E213" s="548" t="s">
        <v>504</v>
      </c>
      <c r="F213" s="548" t="s">
        <v>504</v>
      </c>
      <c r="G213" s="548" t="s">
        <v>504</v>
      </c>
      <c r="H213" s="548" t="s">
        <v>504</v>
      </c>
      <c r="I213" s="548" t="s">
        <v>504</v>
      </c>
      <c r="J213" s="548" t="s">
        <v>504</v>
      </c>
      <c r="K213" s="548" t="s">
        <v>504</v>
      </c>
    </row>
    <row r="214" spans="1:11" x14ac:dyDescent="0.3">
      <c r="A214" t="s">
        <v>658</v>
      </c>
      <c r="D214" s="548" t="s">
        <v>504</v>
      </c>
      <c r="E214" s="548" t="s">
        <v>504</v>
      </c>
      <c r="F214" s="548" t="s">
        <v>504</v>
      </c>
      <c r="G214" s="548" t="s">
        <v>504</v>
      </c>
      <c r="H214" s="548" t="s">
        <v>504</v>
      </c>
      <c r="I214" s="548" t="s">
        <v>504</v>
      </c>
      <c r="J214" s="548" t="s">
        <v>504</v>
      </c>
      <c r="K214" s="548" t="s">
        <v>504</v>
      </c>
    </row>
    <row r="215" spans="1:11" x14ac:dyDescent="0.3">
      <c r="A215" t="s">
        <v>659</v>
      </c>
      <c r="D215" s="548" t="s">
        <v>504</v>
      </c>
      <c r="E215" s="548" t="s">
        <v>504</v>
      </c>
      <c r="F215" s="548" t="s">
        <v>504</v>
      </c>
      <c r="G215" s="548" t="s">
        <v>504</v>
      </c>
      <c r="H215" s="548" t="s">
        <v>504</v>
      </c>
      <c r="I215" s="548" t="s">
        <v>504</v>
      </c>
      <c r="J215" s="548" t="s">
        <v>504</v>
      </c>
      <c r="K215" s="548" t="s">
        <v>504</v>
      </c>
    </row>
    <row r="216" spans="1:11" x14ac:dyDescent="0.3">
      <c r="A216" t="s">
        <v>660</v>
      </c>
      <c r="D216" s="548" t="s">
        <v>504</v>
      </c>
      <c r="E216" s="548" t="s">
        <v>504</v>
      </c>
      <c r="F216" s="548" t="s">
        <v>504</v>
      </c>
      <c r="G216" s="548" t="s">
        <v>504</v>
      </c>
      <c r="H216" s="548" t="s">
        <v>504</v>
      </c>
      <c r="I216" s="548" t="s">
        <v>504</v>
      </c>
      <c r="J216" s="548" t="s">
        <v>504</v>
      </c>
      <c r="K216" s="548" t="s">
        <v>504</v>
      </c>
    </row>
    <row r="217" spans="1:11" x14ac:dyDescent="0.3">
      <c r="A217" t="s">
        <v>661</v>
      </c>
      <c r="D217" s="548" t="s">
        <v>504</v>
      </c>
      <c r="E217" s="548" t="s">
        <v>504</v>
      </c>
      <c r="F217" s="548" t="s">
        <v>504</v>
      </c>
      <c r="G217" s="548" t="s">
        <v>504</v>
      </c>
      <c r="H217" s="548" t="s">
        <v>504</v>
      </c>
      <c r="I217" s="548" t="s">
        <v>504</v>
      </c>
      <c r="J217" s="548" t="s">
        <v>504</v>
      </c>
      <c r="K217" s="548" t="s">
        <v>504</v>
      </c>
    </row>
    <row r="218" spans="1:11" x14ac:dyDescent="0.3">
      <c r="A218" t="s">
        <v>662</v>
      </c>
      <c r="D218" s="548" t="s">
        <v>504</v>
      </c>
      <c r="E218" s="548" t="s">
        <v>504</v>
      </c>
      <c r="F218" s="548" t="s">
        <v>504</v>
      </c>
      <c r="G218" s="548" t="s">
        <v>504</v>
      </c>
      <c r="H218" s="548" t="s">
        <v>504</v>
      </c>
      <c r="I218" s="548" t="s">
        <v>504</v>
      </c>
      <c r="J218" s="548" t="s">
        <v>504</v>
      </c>
      <c r="K218" s="548" t="s">
        <v>504</v>
      </c>
    </row>
    <row r="219" spans="1:11" x14ac:dyDescent="0.3">
      <c r="A219" t="s">
        <v>663</v>
      </c>
      <c r="D219" s="548" t="s">
        <v>504</v>
      </c>
      <c r="E219" s="548" t="s">
        <v>504</v>
      </c>
      <c r="F219" s="548" t="s">
        <v>504</v>
      </c>
      <c r="G219" s="548" t="s">
        <v>504</v>
      </c>
      <c r="H219" s="548" t="s">
        <v>504</v>
      </c>
      <c r="I219" s="548" t="s">
        <v>504</v>
      </c>
      <c r="J219" s="548" t="s">
        <v>504</v>
      </c>
      <c r="K219" s="548" t="s">
        <v>504</v>
      </c>
    </row>
    <row r="220" spans="1:11" x14ac:dyDescent="0.3">
      <c r="A220" t="s">
        <v>664</v>
      </c>
      <c r="D220" s="548" t="s">
        <v>504</v>
      </c>
      <c r="E220" s="548" t="s">
        <v>504</v>
      </c>
      <c r="F220" s="548" t="s">
        <v>504</v>
      </c>
      <c r="G220" s="548" t="s">
        <v>504</v>
      </c>
      <c r="H220" s="548" t="s">
        <v>504</v>
      </c>
      <c r="I220" s="548" t="s">
        <v>504</v>
      </c>
      <c r="J220" s="548" t="s">
        <v>504</v>
      </c>
      <c r="K220" s="548" t="s">
        <v>504</v>
      </c>
    </row>
    <row r="221" spans="1:11" x14ac:dyDescent="0.3">
      <c r="A221" t="s">
        <v>665</v>
      </c>
      <c r="D221" s="548" t="s">
        <v>504</v>
      </c>
      <c r="E221" s="548" t="s">
        <v>504</v>
      </c>
      <c r="F221" s="548" t="s">
        <v>504</v>
      </c>
      <c r="G221" s="548" t="s">
        <v>504</v>
      </c>
      <c r="H221" s="548" t="s">
        <v>504</v>
      </c>
      <c r="I221" s="548" t="s">
        <v>504</v>
      </c>
      <c r="J221" s="548" t="s">
        <v>504</v>
      </c>
      <c r="K221" s="548" t="s">
        <v>504</v>
      </c>
    </row>
    <row r="222" spans="1:11" x14ac:dyDescent="0.3">
      <c r="A222" t="s">
        <v>666</v>
      </c>
      <c r="D222" s="548" t="s">
        <v>504</v>
      </c>
      <c r="E222" s="548" t="s">
        <v>504</v>
      </c>
      <c r="F222" s="548" t="s">
        <v>504</v>
      </c>
      <c r="G222" s="548" t="s">
        <v>504</v>
      </c>
      <c r="H222" s="548" t="s">
        <v>504</v>
      </c>
      <c r="I222" s="548" t="s">
        <v>504</v>
      </c>
      <c r="J222" s="548" t="s">
        <v>504</v>
      </c>
      <c r="K222" s="548" t="s">
        <v>504</v>
      </c>
    </row>
    <row r="223" spans="1:11" x14ac:dyDescent="0.3">
      <c r="A223" t="s">
        <v>667</v>
      </c>
      <c r="D223" s="548" t="s">
        <v>504</v>
      </c>
      <c r="E223" s="548" t="s">
        <v>504</v>
      </c>
      <c r="F223" s="548" t="s">
        <v>504</v>
      </c>
      <c r="G223" s="548" t="s">
        <v>504</v>
      </c>
      <c r="H223" s="548" t="s">
        <v>504</v>
      </c>
      <c r="I223" s="548" t="s">
        <v>504</v>
      </c>
      <c r="J223" s="548" t="s">
        <v>504</v>
      </c>
      <c r="K223" s="548" t="s">
        <v>504</v>
      </c>
    </row>
    <row r="224" spans="1:11" x14ac:dyDescent="0.3">
      <c r="A224" t="s">
        <v>668</v>
      </c>
      <c r="D224" s="548" t="s">
        <v>504</v>
      </c>
      <c r="E224" s="548" t="s">
        <v>504</v>
      </c>
      <c r="F224" s="548" t="s">
        <v>504</v>
      </c>
      <c r="G224" s="548" t="s">
        <v>504</v>
      </c>
      <c r="H224" s="548" t="s">
        <v>504</v>
      </c>
      <c r="I224" s="548" t="s">
        <v>504</v>
      </c>
      <c r="J224" s="548" t="s">
        <v>504</v>
      </c>
      <c r="K224" s="548" t="s">
        <v>504</v>
      </c>
    </row>
    <row r="225" spans="1:11" x14ac:dyDescent="0.3">
      <c r="A225" t="s">
        <v>669</v>
      </c>
      <c r="D225" s="548" t="s">
        <v>504</v>
      </c>
      <c r="E225" s="548" t="s">
        <v>504</v>
      </c>
      <c r="F225" s="548" t="s">
        <v>504</v>
      </c>
      <c r="G225" s="548" t="s">
        <v>504</v>
      </c>
      <c r="H225" s="548" t="s">
        <v>504</v>
      </c>
      <c r="I225" s="548" t="s">
        <v>504</v>
      </c>
      <c r="J225" s="548" t="s">
        <v>504</v>
      </c>
      <c r="K225" s="548" t="s">
        <v>504</v>
      </c>
    </row>
    <row r="226" spans="1:11" x14ac:dyDescent="0.3">
      <c r="A226" t="s">
        <v>670</v>
      </c>
      <c r="D226" s="548" t="s">
        <v>504</v>
      </c>
      <c r="E226" s="548" t="s">
        <v>504</v>
      </c>
      <c r="F226" s="548" t="s">
        <v>504</v>
      </c>
      <c r="G226" s="548" t="s">
        <v>504</v>
      </c>
      <c r="H226" s="548" t="s">
        <v>504</v>
      </c>
      <c r="I226" s="548" t="s">
        <v>504</v>
      </c>
      <c r="J226" s="548" t="s">
        <v>504</v>
      </c>
      <c r="K226" s="548" t="s">
        <v>504</v>
      </c>
    </row>
    <row r="227" spans="1:11" x14ac:dyDescent="0.3">
      <c r="A227" t="s">
        <v>671</v>
      </c>
      <c r="D227" s="548" t="s">
        <v>504</v>
      </c>
      <c r="E227" s="548" t="s">
        <v>504</v>
      </c>
      <c r="F227" s="548" t="s">
        <v>504</v>
      </c>
      <c r="G227" s="548" t="s">
        <v>504</v>
      </c>
      <c r="H227" s="548" t="s">
        <v>504</v>
      </c>
      <c r="I227" s="548" t="s">
        <v>504</v>
      </c>
      <c r="J227" s="548" t="s">
        <v>504</v>
      </c>
      <c r="K227" s="548" t="s">
        <v>504</v>
      </c>
    </row>
    <row r="228" spans="1:11" x14ac:dyDescent="0.3">
      <c r="A228" t="s">
        <v>672</v>
      </c>
      <c r="D228" s="548" t="s">
        <v>504</v>
      </c>
      <c r="E228" s="548" t="s">
        <v>504</v>
      </c>
      <c r="F228" s="548" t="s">
        <v>504</v>
      </c>
      <c r="G228" s="548" t="s">
        <v>504</v>
      </c>
      <c r="H228" s="548" t="s">
        <v>504</v>
      </c>
      <c r="I228" s="548" t="s">
        <v>504</v>
      </c>
      <c r="J228" s="548" t="s">
        <v>504</v>
      </c>
      <c r="K228" s="548" t="s">
        <v>504</v>
      </c>
    </row>
    <row r="229" spans="1:11" x14ac:dyDescent="0.3">
      <c r="A229" t="s">
        <v>673</v>
      </c>
      <c r="D229" s="548" t="s">
        <v>504</v>
      </c>
      <c r="E229" s="548" t="s">
        <v>504</v>
      </c>
      <c r="F229" s="548" t="s">
        <v>504</v>
      </c>
      <c r="G229" s="548" t="s">
        <v>504</v>
      </c>
      <c r="H229" s="548" t="s">
        <v>504</v>
      </c>
      <c r="I229" s="548" t="s">
        <v>504</v>
      </c>
      <c r="J229" s="548" t="s">
        <v>504</v>
      </c>
      <c r="K229" s="548" t="s">
        <v>504</v>
      </c>
    </row>
    <row r="230" spans="1:11" x14ac:dyDescent="0.3">
      <c r="A230" t="s">
        <v>674</v>
      </c>
      <c r="D230" s="548" t="s">
        <v>504</v>
      </c>
      <c r="E230" s="548" t="s">
        <v>504</v>
      </c>
      <c r="F230" s="548" t="s">
        <v>504</v>
      </c>
      <c r="G230" s="548" t="s">
        <v>504</v>
      </c>
      <c r="H230" s="548" t="s">
        <v>504</v>
      </c>
      <c r="I230" s="548" t="s">
        <v>504</v>
      </c>
      <c r="J230" s="548" t="s">
        <v>504</v>
      </c>
      <c r="K230" s="548" t="s">
        <v>504</v>
      </c>
    </row>
    <row r="231" spans="1:11" x14ac:dyDescent="0.3">
      <c r="A231" t="s">
        <v>675</v>
      </c>
      <c r="D231" s="548" t="s">
        <v>504</v>
      </c>
      <c r="E231" s="548" t="s">
        <v>504</v>
      </c>
      <c r="F231" s="548" t="s">
        <v>504</v>
      </c>
      <c r="G231" s="548" t="s">
        <v>504</v>
      </c>
      <c r="H231" s="548" t="s">
        <v>504</v>
      </c>
      <c r="I231" s="548" t="s">
        <v>504</v>
      </c>
      <c r="J231" s="548" t="s">
        <v>504</v>
      </c>
      <c r="K231" s="548" t="s">
        <v>504</v>
      </c>
    </row>
    <row r="232" spans="1:11" x14ac:dyDescent="0.3">
      <c r="A232" t="s">
        <v>676</v>
      </c>
      <c r="D232" s="548" t="s">
        <v>504</v>
      </c>
      <c r="E232" s="548" t="s">
        <v>504</v>
      </c>
      <c r="F232" s="548" t="s">
        <v>504</v>
      </c>
      <c r="G232" s="548" t="s">
        <v>504</v>
      </c>
      <c r="H232" s="548" t="s">
        <v>504</v>
      </c>
      <c r="I232" s="548" t="s">
        <v>504</v>
      </c>
      <c r="J232" s="548" t="s">
        <v>504</v>
      </c>
      <c r="K232" s="548" t="s">
        <v>504</v>
      </c>
    </row>
    <row r="233" spans="1:11" x14ac:dyDescent="0.3">
      <c r="A233" t="s">
        <v>677</v>
      </c>
      <c r="D233" s="548" t="s">
        <v>504</v>
      </c>
      <c r="E233" s="548" t="s">
        <v>504</v>
      </c>
      <c r="F233" s="548" t="s">
        <v>504</v>
      </c>
      <c r="G233" s="548" t="s">
        <v>504</v>
      </c>
      <c r="H233" s="548" t="s">
        <v>504</v>
      </c>
      <c r="I233" s="548" t="s">
        <v>504</v>
      </c>
      <c r="J233" s="548" t="s">
        <v>504</v>
      </c>
      <c r="K233" s="548" t="s">
        <v>504</v>
      </c>
    </row>
    <row r="234" spans="1:11" x14ac:dyDescent="0.3">
      <c r="A234" t="s">
        <v>678</v>
      </c>
      <c r="D234" s="548" t="s">
        <v>504</v>
      </c>
      <c r="E234" s="548" t="s">
        <v>504</v>
      </c>
      <c r="F234" s="548" t="s">
        <v>504</v>
      </c>
      <c r="G234" s="548" t="s">
        <v>504</v>
      </c>
      <c r="H234" s="548" t="s">
        <v>504</v>
      </c>
      <c r="I234" s="548" t="s">
        <v>504</v>
      </c>
      <c r="J234" s="548" t="s">
        <v>504</v>
      </c>
      <c r="K234" s="548" t="s">
        <v>504</v>
      </c>
    </row>
    <row r="235" spans="1:11" x14ac:dyDescent="0.3">
      <c r="A235" t="s">
        <v>679</v>
      </c>
      <c r="D235" s="548" t="s">
        <v>504</v>
      </c>
      <c r="E235" s="548" t="s">
        <v>504</v>
      </c>
      <c r="F235" s="548" t="s">
        <v>504</v>
      </c>
      <c r="G235" s="548" t="s">
        <v>504</v>
      </c>
      <c r="H235" s="548" t="s">
        <v>504</v>
      </c>
      <c r="I235" s="548" t="s">
        <v>504</v>
      </c>
      <c r="J235" s="548" t="s">
        <v>504</v>
      </c>
      <c r="K235" s="548" t="s">
        <v>504</v>
      </c>
    </row>
    <row r="236" spans="1:11" x14ac:dyDescent="0.3">
      <c r="A236" t="s">
        <v>680</v>
      </c>
      <c r="D236" s="548" t="s">
        <v>504</v>
      </c>
      <c r="E236" s="548" t="s">
        <v>504</v>
      </c>
      <c r="F236" s="548" t="s">
        <v>504</v>
      </c>
      <c r="G236" s="548" t="s">
        <v>504</v>
      </c>
      <c r="H236" s="548" t="s">
        <v>504</v>
      </c>
      <c r="I236" s="548" t="s">
        <v>504</v>
      </c>
      <c r="J236" s="548" t="s">
        <v>504</v>
      </c>
      <c r="K236" s="548" t="s">
        <v>504</v>
      </c>
    </row>
    <row r="237" spans="1:11" x14ac:dyDescent="0.3">
      <c r="A237" t="s">
        <v>681</v>
      </c>
      <c r="D237" s="548" t="s">
        <v>504</v>
      </c>
      <c r="E237" s="548" t="s">
        <v>504</v>
      </c>
      <c r="F237" s="548" t="s">
        <v>504</v>
      </c>
      <c r="G237" s="548" t="s">
        <v>504</v>
      </c>
      <c r="H237" s="548" t="s">
        <v>504</v>
      </c>
      <c r="I237" s="548" t="s">
        <v>504</v>
      </c>
      <c r="J237" s="548" t="s">
        <v>504</v>
      </c>
      <c r="K237" s="548" t="s">
        <v>504</v>
      </c>
    </row>
    <row r="238" spans="1:11" x14ac:dyDescent="0.3">
      <c r="A238" t="s">
        <v>682</v>
      </c>
      <c r="D238" s="548" t="s">
        <v>504</v>
      </c>
      <c r="E238" s="548" t="s">
        <v>504</v>
      </c>
      <c r="F238" s="548" t="s">
        <v>504</v>
      </c>
      <c r="G238" s="548" t="s">
        <v>504</v>
      </c>
      <c r="H238" s="548" t="s">
        <v>504</v>
      </c>
      <c r="I238" s="548" t="s">
        <v>504</v>
      </c>
      <c r="J238" s="548" t="s">
        <v>504</v>
      </c>
      <c r="K238" s="548" t="s">
        <v>504</v>
      </c>
    </row>
    <row r="239" spans="1:11" x14ac:dyDescent="0.3">
      <c r="A239" t="s">
        <v>683</v>
      </c>
      <c r="D239" s="548" t="s">
        <v>504</v>
      </c>
      <c r="E239" s="548" t="s">
        <v>504</v>
      </c>
      <c r="F239" s="548" t="s">
        <v>504</v>
      </c>
      <c r="G239" s="548" t="s">
        <v>504</v>
      </c>
      <c r="H239" s="548" t="s">
        <v>504</v>
      </c>
      <c r="I239" s="548" t="s">
        <v>504</v>
      </c>
      <c r="J239" s="548" t="s">
        <v>504</v>
      </c>
      <c r="K239" s="548" t="s">
        <v>504</v>
      </c>
    </row>
    <row r="240" spans="1:11" x14ac:dyDescent="0.3">
      <c r="A240" t="s">
        <v>684</v>
      </c>
      <c r="D240" s="548" t="s">
        <v>504</v>
      </c>
      <c r="E240" s="548" t="s">
        <v>504</v>
      </c>
      <c r="F240" s="548" t="s">
        <v>504</v>
      </c>
      <c r="G240" s="548" t="s">
        <v>504</v>
      </c>
      <c r="H240" s="548" t="s">
        <v>504</v>
      </c>
      <c r="I240" s="548" t="s">
        <v>504</v>
      </c>
      <c r="J240" s="548" t="s">
        <v>504</v>
      </c>
      <c r="K240" s="548" t="s">
        <v>504</v>
      </c>
    </row>
    <row r="241" spans="1:11" x14ac:dyDescent="0.3">
      <c r="A241" t="s">
        <v>685</v>
      </c>
      <c r="D241" s="548" t="s">
        <v>504</v>
      </c>
      <c r="E241" s="548" t="s">
        <v>504</v>
      </c>
      <c r="F241" s="548" t="s">
        <v>504</v>
      </c>
      <c r="G241" s="548" t="s">
        <v>504</v>
      </c>
      <c r="H241" s="548" t="s">
        <v>504</v>
      </c>
      <c r="I241" s="548" t="s">
        <v>504</v>
      </c>
      <c r="J241" s="548" t="s">
        <v>504</v>
      </c>
      <c r="K241" s="548" t="s">
        <v>504</v>
      </c>
    </row>
    <row r="242" spans="1:11" x14ac:dyDescent="0.3">
      <c r="A242" t="s">
        <v>686</v>
      </c>
      <c r="D242" s="548" t="s">
        <v>504</v>
      </c>
      <c r="E242" s="548" t="s">
        <v>504</v>
      </c>
      <c r="F242" s="548" t="s">
        <v>504</v>
      </c>
      <c r="G242" s="548" t="s">
        <v>504</v>
      </c>
      <c r="H242" s="548" t="s">
        <v>504</v>
      </c>
      <c r="I242" s="548" t="s">
        <v>504</v>
      </c>
      <c r="J242" s="548" t="s">
        <v>504</v>
      </c>
      <c r="K242" s="548" t="s">
        <v>504</v>
      </c>
    </row>
    <row r="243" spans="1:11" x14ac:dyDescent="0.3">
      <c r="A243" t="s">
        <v>687</v>
      </c>
      <c r="D243" s="548" t="s">
        <v>504</v>
      </c>
      <c r="E243" s="548" t="s">
        <v>504</v>
      </c>
      <c r="F243" s="548" t="s">
        <v>504</v>
      </c>
      <c r="G243" s="548" t="s">
        <v>504</v>
      </c>
      <c r="H243" s="548" t="s">
        <v>504</v>
      </c>
      <c r="I243" s="548" t="s">
        <v>504</v>
      </c>
      <c r="J243" s="548" t="s">
        <v>504</v>
      </c>
      <c r="K243" s="548" t="s">
        <v>504</v>
      </c>
    </row>
    <row r="244" spans="1:11" x14ac:dyDescent="0.3">
      <c r="A244" t="s">
        <v>688</v>
      </c>
      <c r="D244" s="548" t="s">
        <v>504</v>
      </c>
      <c r="E244" s="548" t="s">
        <v>504</v>
      </c>
      <c r="F244" s="548" t="s">
        <v>504</v>
      </c>
      <c r="G244" s="548" t="s">
        <v>504</v>
      </c>
      <c r="H244" s="548" t="s">
        <v>504</v>
      </c>
      <c r="I244" s="548" t="s">
        <v>504</v>
      </c>
      <c r="J244" s="548" t="s">
        <v>504</v>
      </c>
      <c r="K244" s="548" t="s">
        <v>504</v>
      </c>
    </row>
    <row r="245" spans="1:11" x14ac:dyDescent="0.3">
      <c r="A245" t="s">
        <v>689</v>
      </c>
      <c r="D245" s="548" t="s">
        <v>504</v>
      </c>
      <c r="E245" s="548" t="s">
        <v>504</v>
      </c>
      <c r="F245" s="548" t="s">
        <v>504</v>
      </c>
      <c r="G245" s="548" t="s">
        <v>504</v>
      </c>
      <c r="H245" s="548" t="s">
        <v>504</v>
      </c>
      <c r="I245" s="548" t="s">
        <v>504</v>
      </c>
      <c r="J245" s="548" t="s">
        <v>504</v>
      </c>
      <c r="K245" s="548" t="s">
        <v>504</v>
      </c>
    </row>
    <row r="246" spans="1:11" x14ac:dyDescent="0.3">
      <c r="A246" t="s">
        <v>690</v>
      </c>
      <c r="D246" s="548" t="s">
        <v>504</v>
      </c>
      <c r="E246" s="548" t="s">
        <v>504</v>
      </c>
      <c r="F246" s="548" t="s">
        <v>504</v>
      </c>
      <c r="G246" s="548" t="s">
        <v>504</v>
      </c>
      <c r="H246" s="548" t="s">
        <v>504</v>
      </c>
      <c r="I246" s="548" t="s">
        <v>504</v>
      </c>
      <c r="J246" s="548" t="s">
        <v>504</v>
      </c>
      <c r="K246" s="548" t="s">
        <v>504</v>
      </c>
    </row>
    <row r="247" spans="1:11" x14ac:dyDescent="0.3">
      <c r="A247" t="s">
        <v>691</v>
      </c>
      <c r="D247" s="548" t="s">
        <v>504</v>
      </c>
      <c r="E247" s="548" t="s">
        <v>504</v>
      </c>
      <c r="F247" s="548" t="s">
        <v>504</v>
      </c>
      <c r="G247" s="548" t="s">
        <v>504</v>
      </c>
      <c r="H247" s="548" t="s">
        <v>504</v>
      </c>
      <c r="I247" s="548" t="s">
        <v>504</v>
      </c>
      <c r="J247" s="548" t="s">
        <v>504</v>
      </c>
      <c r="K247" s="548" t="s">
        <v>504</v>
      </c>
    </row>
    <row r="248" spans="1:11" x14ac:dyDescent="0.3">
      <c r="A248" t="s">
        <v>692</v>
      </c>
      <c r="D248" s="548" t="s">
        <v>504</v>
      </c>
      <c r="E248" s="548" t="s">
        <v>504</v>
      </c>
      <c r="F248" s="548" t="s">
        <v>504</v>
      </c>
      <c r="G248" s="548" t="s">
        <v>504</v>
      </c>
      <c r="H248" s="548" t="s">
        <v>504</v>
      </c>
      <c r="I248" s="548" t="s">
        <v>504</v>
      </c>
      <c r="J248" s="548" t="s">
        <v>504</v>
      </c>
      <c r="K248" s="548" t="s">
        <v>504</v>
      </c>
    </row>
    <row r="249" spans="1:11" x14ac:dyDescent="0.3">
      <c r="A249" t="s">
        <v>693</v>
      </c>
      <c r="D249" s="548" t="s">
        <v>504</v>
      </c>
      <c r="E249" s="548" t="s">
        <v>504</v>
      </c>
      <c r="F249" s="548" t="s">
        <v>504</v>
      </c>
      <c r="G249" s="548" t="s">
        <v>504</v>
      </c>
      <c r="H249" s="548" t="s">
        <v>504</v>
      </c>
      <c r="I249" s="548" t="s">
        <v>504</v>
      </c>
      <c r="J249" s="548" t="s">
        <v>504</v>
      </c>
      <c r="K249" s="548" t="s">
        <v>504</v>
      </c>
    </row>
    <row r="250" spans="1:11" x14ac:dyDescent="0.3">
      <c r="A250" t="s">
        <v>694</v>
      </c>
      <c r="D250" s="548" t="s">
        <v>504</v>
      </c>
      <c r="E250" s="548" t="s">
        <v>504</v>
      </c>
      <c r="F250" s="548" t="s">
        <v>504</v>
      </c>
      <c r="G250" s="548" t="s">
        <v>504</v>
      </c>
      <c r="H250" s="548" t="s">
        <v>504</v>
      </c>
      <c r="I250" s="548" t="s">
        <v>504</v>
      </c>
      <c r="J250" s="548" t="s">
        <v>504</v>
      </c>
      <c r="K250" s="548" t="s">
        <v>504</v>
      </c>
    </row>
    <row r="251" spans="1:11" x14ac:dyDescent="0.3">
      <c r="A251" t="s">
        <v>695</v>
      </c>
      <c r="D251" s="548" t="s">
        <v>504</v>
      </c>
      <c r="E251" s="548" t="s">
        <v>504</v>
      </c>
      <c r="F251" s="548" t="s">
        <v>504</v>
      </c>
      <c r="G251" s="548" t="s">
        <v>504</v>
      </c>
      <c r="H251" s="548" t="s">
        <v>504</v>
      </c>
      <c r="I251" s="548" t="s">
        <v>504</v>
      </c>
      <c r="J251" s="548" t="s">
        <v>504</v>
      </c>
      <c r="K251" s="548" t="s">
        <v>504</v>
      </c>
    </row>
    <row r="252" spans="1:11" x14ac:dyDescent="0.3">
      <c r="A252" t="s">
        <v>696</v>
      </c>
      <c r="D252" s="548" t="s">
        <v>504</v>
      </c>
      <c r="E252" s="548" t="s">
        <v>504</v>
      </c>
      <c r="F252" s="548" t="s">
        <v>504</v>
      </c>
      <c r="G252" s="548" t="s">
        <v>504</v>
      </c>
      <c r="H252" s="548" t="s">
        <v>504</v>
      </c>
      <c r="I252" s="548" t="s">
        <v>504</v>
      </c>
      <c r="J252" s="548" t="s">
        <v>504</v>
      </c>
      <c r="K252" s="548" t="s">
        <v>504</v>
      </c>
    </row>
    <row r="253" spans="1:11" x14ac:dyDescent="0.3">
      <c r="A253" t="s">
        <v>697</v>
      </c>
      <c r="D253" s="548" t="s">
        <v>504</v>
      </c>
      <c r="E253" s="548" t="s">
        <v>504</v>
      </c>
      <c r="F253" s="548" t="s">
        <v>504</v>
      </c>
      <c r="G253" s="548" t="s">
        <v>504</v>
      </c>
      <c r="H253" s="548" t="s">
        <v>504</v>
      </c>
      <c r="I253" s="548" t="s">
        <v>504</v>
      </c>
      <c r="J253" s="548" t="s">
        <v>504</v>
      </c>
      <c r="K253" s="548" t="s">
        <v>504</v>
      </c>
    </row>
    <row r="254" spans="1:11" x14ac:dyDescent="0.3">
      <c r="A254" t="s">
        <v>698</v>
      </c>
      <c r="D254" s="549" t="s">
        <v>504</v>
      </c>
      <c r="E254" s="549" t="s">
        <v>504</v>
      </c>
      <c r="F254" s="549" t="s">
        <v>504</v>
      </c>
      <c r="G254" s="549" t="s">
        <v>504</v>
      </c>
      <c r="H254" s="549" t="s">
        <v>504</v>
      </c>
      <c r="I254" s="549" t="s">
        <v>504</v>
      </c>
      <c r="J254" s="549" t="s">
        <v>504</v>
      </c>
      <c r="K254" s="549" t="s">
        <v>504</v>
      </c>
    </row>
    <row r="255" spans="1:11" x14ac:dyDescent="0.3">
      <c r="A255" t="s">
        <v>699</v>
      </c>
      <c r="D255" s="549" t="s">
        <v>504</v>
      </c>
      <c r="E255" s="549" t="s">
        <v>504</v>
      </c>
      <c r="F255" s="549" t="s">
        <v>504</v>
      </c>
      <c r="G255" s="549" t="s">
        <v>504</v>
      </c>
      <c r="H255" s="549" t="s">
        <v>504</v>
      </c>
      <c r="I255" s="549" t="s">
        <v>504</v>
      </c>
      <c r="J255" s="549" t="s">
        <v>504</v>
      </c>
      <c r="K255" s="549" t="s">
        <v>504</v>
      </c>
    </row>
    <row r="256" spans="1:11" x14ac:dyDescent="0.3">
      <c r="A256" t="s">
        <v>700</v>
      </c>
      <c r="D256" s="549" t="s">
        <v>504</v>
      </c>
      <c r="E256" s="549" t="s">
        <v>504</v>
      </c>
      <c r="F256" s="549" t="s">
        <v>504</v>
      </c>
      <c r="G256" s="549" t="s">
        <v>504</v>
      </c>
      <c r="H256" s="549" t="s">
        <v>504</v>
      </c>
      <c r="I256" s="549" t="s">
        <v>504</v>
      </c>
      <c r="J256" s="549" t="s">
        <v>504</v>
      </c>
      <c r="K256" s="549" t="s">
        <v>504</v>
      </c>
    </row>
    <row r="257" spans="1:11" x14ac:dyDescent="0.3">
      <c r="A257" t="s">
        <v>701</v>
      </c>
      <c r="D257" s="549" t="s">
        <v>504</v>
      </c>
      <c r="E257" s="549" t="s">
        <v>504</v>
      </c>
      <c r="F257" s="549" t="s">
        <v>504</v>
      </c>
      <c r="G257" s="549" t="s">
        <v>504</v>
      </c>
      <c r="H257" s="549" t="s">
        <v>504</v>
      </c>
      <c r="I257" s="549" t="s">
        <v>504</v>
      </c>
      <c r="J257" s="549" t="s">
        <v>504</v>
      </c>
      <c r="K257" s="549" t="s">
        <v>504</v>
      </c>
    </row>
    <row r="258" spans="1:11" x14ac:dyDescent="0.3">
      <c r="A258" t="s">
        <v>702</v>
      </c>
      <c r="D258" s="549" t="s">
        <v>504</v>
      </c>
      <c r="E258" s="549" t="s">
        <v>504</v>
      </c>
      <c r="F258" s="549" t="s">
        <v>504</v>
      </c>
      <c r="G258" s="549" t="s">
        <v>504</v>
      </c>
      <c r="H258" s="549" t="s">
        <v>504</v>
      </c>
      <c r="I258" s="549" t="s">
        <v>504</v>
      </c>
      <c r="J258" s="549" t="s">
        <v>504</v>
      </c>
      <c r="K258" s="549" t="s">
        <v>504</v>
      </c>
    </row>
    <row r="259" spans="1:11" x14ac:dyDescent="0.3">
      <c r="A259" t="s">
        <v>703</v>
      </c>
      <c r="D259" s="549" t="s">
        <v>504</v>
      </c>
      <c r="E259" s="549" t="s">
        <v>504</v>
      </c>
      <c r="F259" s="549" t="s">
        <v>504</v>
      </c>
      <c r="G259" s="549" t="s">
        <v>504</v>
      </c>
      <c r="H259" s="549" t="s">
        <v>504</v>
      </c>
      <c r="I259" s="549" t="s">
        <v>504</v>
      </c>
      <c r="J259" s="549" t="s">
        <v>504</v>
      </c>
      <c r="K259" s="549" t="s">
        <v>504</v>
      </c>
    </row>
    <row r="260" spans="1:11" x14ac:dyDescent="0.3">
      <c r="A260" t="s">
        <v>704</v>
      </c>
      <c r="D260" s="549" t="s">
        <v>504</v>
      </c>
      <c r="E260" s="549" t="s">
        <v>504</v>
      </c>
      <c r="F260" s="549" t="s">
        <v>504</v>
      </c>
      <c r="G260" s="549" t="s">
        <v>504</v>
      </c>
      <c r="H260" s="549" t="s">
        <v>504</v>
      </c>
      <c r="I260" s="549" t="s">
        <v>504</v>
      </c>
      <c r="J260" s="549" t="s">
        <v>504</v>
      </c>
      <c r="K260" s="549" t="s">
        <v>504</v>
      </c>
    </row>
    <row r="261" spans="1:11" x14ac:dyDescent="0.3">
      <c r="A261" t="s">
        <v>705</v>
      </c>
      <c r="D261" s="549" t="s">
        <v>504</v>
      </c>
      <c r="E261" s="549" t="s">
        <v>504</v>
      </c>
      <c r="F261" s="549" t="s">
        <v>504</v>
      </c>
      <c r="G261" s="549" t="s">
        <v>504</v>
      </c>
      <c r="H261" s="549" t="s">
        <v>504</v>
      </c>
      <c r="I261" s="549" t="s">
        <v>504</v>
      </c>
      <c r="J261" s="549" t="s">
        <v>504</v>
      </c>
      <c r="K261" s="549" t="s">
        <v>504</v>
      </c>
    </row>
    <row r="262" spans="1:11" x14ac:dyDescent="0.3">
      <c r="A262" t="s">
        <v>706</v>
      </c>
      <c r="D262" s="549" t="s">
        <v>504</v>
      </c>
      <c r="E262" s="549" t="s">
        <v>504</v>
      </c>
      <c r="F262" s="549" t="s">
        <v>504</v>
      </c>
      <c r="G262" s="549" t="s">
        <v>504</v>
      </c>
      <c r="H262" s="549" t="s">
        <v>504</v>
      </c>
      <c r="I262" s="549" t="s">
        <v>504</v>
      </c>
      <c r="J262" s="549" t="s">
        <v>504</v>
      </c>
      <c r="K262" s="549" t="s">
        <v>504</v>
      </c>
    </row>
    <row r="263" spans="1:11" x14ac:dyDescent="0.3">
      <c r="A263" t="s">
        <v>707</v>
      </c>
      <c r="D263" s="550" t="s">
        <v>504</v>
      </c>
    </row>
    <row r="264" spans="1:11" x14ac:dyDescent="0.3">
      <c r="A264" t="s">
        <v>708</v>
      </c>
      <c r="D264" s="551">
        <v>1</v>
      </c>
    </row>
    <row r="265" spans="1:11" x14ac:dyDescent="0.3">
      <c r="A265" t="s">
        <v>709</v>
      </c>
      <c r="D265" s="551">
        <v>2</v>
      </c>
    </row>
    <row r="266" spans="1:11" x14ac:dyDescent="0.3">
      <c r="A266" t="s">
        <v>710</v>
      </c>
      <c r="D266" s="552" t="s">
        <v>711</v>
      </c>
    </row>
    <row r="267" spans="1:11" x14ac:dyDescent="0.3">
      <c r="A267" t="s">
        <v>712</v>
      </c>
      <c r="D267" s="543">
        <v>2016</v>
      </c>
    </row>
    <row r="268" spans="1:11" x14ac:dyDescent="0.3">
      <c r="A268" t="s">
        <v>713</v>
      </c>
      <c r="D268" s="543">
        <v>1</v>
      </c>
      <c r="E268" s="543">
        <v>1</v>
      </c>
      <c r="F268" s="543">
        <v>1</v>
      </c>
      <c r="G268" s="543">
        <v>1</v>
      </c>
      <c r="H268" s="543">
        <v>1</v>
      </c>
      <c r="I268" s="543">
        <v>1</v>
      </c>
      <c r="J268" s="543">
        <v>1</v>
      </c>
      <c r="K268" s="543">
        <v>1</v>
      </c>
    </row>
    <row r="269" spans="1:11" x14ac:dyDescent="0.3">
      <c r="A269" t="s">
        <v>714</v>
      </c>
      <c r="D269" s="543">
        <v>1</v>
      </c>
      <c r="E269" s="543">
        <v>1</v>
      </c>
      <c r="F269" s="543">
        <v>1</v>
      </c>
      <c r="G269" s="543">
        <v>1</v>
      </c>
      <c r="H269" s="543">
        <v>1</v>
      </c>
      <c r="I269" s="543">
        <v>1</v>
      </c>
      <c r="J269" s="543">
        <v>1</v>
      </c>
      <c r="K269" s="543">
        <v>1</v>
      </c>
    </row>
    <row r="270" spans="1:11" x14ac:dyDescent="0.3">
      <c r="A270" t="s">
        <v>715</v>
      </c>
      <c r="D270" s="543">
        <v>1</v>
      </c>
      <c r="E270" s="543">
        <v>1</v>
      </c>
      <c r="F270" s="543">
        <v>1</v>
      </c>
      <c r="G270" s="543">
        <v>1</v>
      </c>
      <c r="H270" s="543">
        <v>1</v>
      </c>
      <c r="I270" s="543">
        <v>1</v>
      </c>
      <c r="J270" s="543">
        <v>1</v>
      </c>
      <c r="K270" s="543">
        <v>1</v>
      </c>
    </row>
    <row r="271" spans="1:11" x14ac:dyDescent="0.3">
      <c r="A271" t="s">
        <v>716</v>
      </c>
      <c r="D271" s="543">
        <v>1</v>
      </c>
      <c r="E271" s="543">
        <v>1</v>
      </c>
      <c r="F271" s="543">
        <v>1</v>
      </c>
      <c r="G271" s="543">
        <v>1</v>
      </c>
      <c r="H271" s="543">
        <v>1</v>
      </c>
      <c r="I271" s="543">
        <v>1</v>
      </c>
      <c r="J271" s="543">
        <v>1</v>
      </c>
      <c r="K271" s="543">
        <v>1</v>
      </c>
    </row>
    <row r="272" spans="1:11" x14ac:dyDescent="0.3">
      <c r="A272" t="s">
        <v>717</v>
      </c>
      <c r="D272" s="543">
        <v>1</v>
      </c>
      <c r="E272" s="543">
        <v>1</v>
      </c>
      <c r="F272" s="543">
        <v>1</v>
      </c>
      <c r="G272" s="543">
        <v>1</v>
      </c>
      <c r="H272" s="543">
        <v>1</v>
      </c>
      <c r="I272" s="543">
        <v>1</v>
      </c>
      <c r="J272" s="543">
        <v>1</v>
      </c>
      <c r="K272" s="543">
        <v>1</v>
      </c>
    </row>
    <row r="273" spans="1:11" x14ac:dyDescent="0.3">
      <c r="A273" t="s">
        <v>718</v>
      </c>
      <c r="D273" s="543">
        <v>1</v>
      </c>
      <c r="E273" s="543">
        <v>1</v>
      </c>
      <c r="F273" s="543">
        <v>1</v>
      </c>
      <c r="G273" s="543">
        <v>1</v>
      </c>
      <c r="H273" s="543">
        <v>1</v>
      </c>
      <c r="I273" s="543">
        <v>1</v>
      </c>
      <c r="J273" s="543">
        <v>1</v>
      </c>
      <c r="K273" s="543">
        <v>1</v>
      </c>
    </row>
    <row r="274" spans="1:11" x14ac:dyDescent="0.3">
      <c r="A274" t="s">
        <v>719</v>
      </c>
      <c r="D274" s="545" t="s">
        <v>504</v>
      </c>
      <c r="E274" s="546" t="s">
        <v>504</v>
      </c>
      <c r="F274" s="546" t="s">
        <v>504</v>
      </c>
      <c r="G274" s="546" t="s">
        <v>504</v>
      </c>
      <c r="H274" s="547" t="s">
        <v>504</v>
      </c>
    </row>
    <row r="275" spans="1:11" x14ac:dyDescent="0.3">
      <c r="A275" t="s">
        <v>720</v>
      </c>
      <c r="D275" s="548" t="s">
        <v>504</v>
      </c>
      <c r="E275" s="548" t="s">
        <v>504</v>
      </c>
      <c r="F275" s="548" t="s">
        <v>504</v>
      </c>
      <c r="G275" s="548" t="s">
        <v>504</v>
      </c>
      <c r="H275" s="548" t="s">
        <v>504</v>
      </c>
      <c r="I275" s="548" t="s">
        <v>504</v>
      </c>
      <c r="J275" s="548" t="s">
        <v>504</v>
      </c>
      <c r="K275" s="548" t="s">
        <v>504</v>
      </c>
    </row>
    <row r="276" spans="1:11" x14ac:dyDescent="0.3">
      <c r="A276" t="s">
        <v>721</v>
      </c>
      <c r="D276" s="548" t="s">
        <v>504</v>
      </c>
      <c r="E276" s="548" t="s">
        <v>504</v>
      </c>
      <c r="F276" s="548" t="s">
        <v>504</v>
      </c>
      <c r="G276" s="548" t="s">
        <v>504</v>
      </c>
      <c r="H276" s="548" t="s">
        <v>504</v>
      </c>
      <c r="I276" s="548" t="s">
        <v>504</v>
      </c>
      <c r="J276" s="548" t="s">
        <v>504</v>
      </c>
      <c r="K276" s="548" t="s">
        <v>504</v>
      </c>
    </row>
    <row r="277" spans="1:11" x14ac:dyDescent="0.3">
      <c r="A277" t="s">
        <v>722</v>
      </c>
      <c r="D277" s="548" t="s">
        <v>504</v>
      </c>
      <c r="E277" s="548" t="s">
        <v>504</v>
      </c>
      <c r="F277" s="548" t="s">
        <v>504</v>
      </c>
      <c r="G277" s="548" t="s">
        <v>504</v>
      </c>
      <c r="H277" s="548" t="s">
        <v>504</v>
      </c>
      <c r="I277" s="548" t="s">
        <v>504</v>
      </c>
      <c r="J277" s="548" t="s">
        <v>504</v>
      </c>
      <c r="K277" s="548" t="s">
        <v>504</v>
      </c>
    </row>
    <row r="278" spans="1:11" x14ac:dyDescent="0.3">
      <c r="A278" t="s">
        <v>723</v>
      </c>
      <c r="D278" s="548" t="s">
        <v>504</v>
      </c>
      <c r="E278" s="548" t="s">
        <v>504</v>
      </c>
      <c r="F278" s="548" t="s">
        <v>504</v>
      </c>
      <c r="G278" s="548" t="s">
        <v>504</v>
      </c>
      <c r="H278" s="548" t="s">
        <v>504</v>
      </c>
      <c r="I278" s="548" t="s">
        <v>504</v>
      </c>
      <c r="J278" s="548" t="s">
        <v>504</v>
      </c>
      <c r="K278" s="548" t="s">
        <v>504</v>
      </c>
    </row>
    <row r="279" spans="1:11" x14ac:dyDescent="0.3">
      <c r="A279" t="s">
        <v>724</v>
      </c>
      <c r="D279" s="548" t="s">
        <v>504</v>
      </c>
      <c r="E279" s="548" t="s">
        <v>504</v>
      </c>
      <c r="F279" s="548" t="s">
        <v>504</v>
      </c>
      <c r="G279" s="548" t="s">
        <v>504</v>
      </c>
      <c r="H279" s="548" t="s">
        <v>504</v>
      </c>
      <c r="I279" s="548" t="s">
        <v>504</v>
      </c>
      <c r="J279" s="548" t="s">
        <v>504</v>
      </c>
      <c r="K279" s="548" t="s">
        <v>504</v>
      </c>
    </row>
    <row r="280" spans="1:11" x14ac:dyDescent="0.3">
      <c r="A280" t="s">
        <v>725</v>
      </c>
      <c r="D280" s="548" t="s">
        <v>504</v>
      </c>
      <c r="E280" s="548" t="s">
        <v>504</v>
      </c>
      <c r="F280" s="548" t="s">
        <v>504</v>
      </c>
      <c r="G280" s="548" t="s">
        <v>504</v>
      </c>
      <c r="H280" s="548" t="s">
        <v>504</v>
      </c>
      <c r="I280" s="548" t="s">
        <v>504</v>
      </c>
      <c r="J280" s="548" t="s">
        <v>504</v>
      </c>
      <c r="K280" s="548" t="s">
        <v>504</v>
      </c>
    </row>
    <row r="281" spans="1:11" x14ac:dyDescent="0.3">
      <c r="A281" t="s">
        <v>726</v>
      </c>
      <c r="D281" s="548" t="s">
        <v>504</v>
      </c>
      <c r="E281" s="548" t="s">
        <v>504</v>
      </c>
      <c r="F281" s="548" t="s">
        <v>504</v>
      </c>
      <c r="G281" s="548" t="s">
        <v>504</v>
      </c>
      <c r="H281" s="548" t="s">
        <v>504</v>
      </c>
      <c r="I281" s="548" t="s">
        <v>504</v>
      </c>
      <c r="J281" s="548" t="s">
        <v>504</v>
      </c>
      <c r="K281" s="548" t="s">
        <v>504</v>
      </c>
    </row>
    <row r="282" spans="1:11" x14ac:dyDescent="0.3">
      <c r="A282" t="s">
        <v>727</v>
      </c>
      <c r="D282" s="548" t="s">
        <v>504</v>
      </c>
      <c r="E282" s="548" t="s">
        <v>504</v>
      </c>
      <c r="F282" s="548" t="s">
        <v>504</v>
      </c>
      <c r="G282" s="548" t="s">
        <v>504</v>
      </c>
      <c r="H282" s="548" t="s">
        <v>504</v>
      </c>
      <c r="I282" s="548" t="s">
        <v>504</v>
      </c>
      <c r="J282" s="548" t="s">
        <v>504</v>
      </c>
      <c r="K282" s="548" t="s">
        <v>504</v>
      </c>
    </row>
    <row r="283" spans="1:11" x14ac:dyDescent="0.3">
      <c r="A283" t="s">
        <v>728</v>
      </c>
      <c r="D283" s="548" t="s">
        <v>504</v>
      </c>
      <c r="E283" s="548" t="s">
        <v>504</v>
      </c>
      <c r="F283" s="548" t="s">
        <v>504</v>
      </c>
      <c r="G283" s="548" t="s">
        <v>504</v>
      </c>
      <c r="H283" s="548" t="s">
        <v>504</v>
      </c>
      <c r="I283" s="548" t="s">
        <v>504</v>
      </c>
      <c r="J283" s="548" t="s">
        <v>504</v>
      </c>
      <c r="K283" s="548" t="s">
        <v>504</v>
      </c>
    </row>
    <row r="284" spans="1:11" x14ac:dyDescent="0.3">
      <c r="A284" t="s">
        <v>729</v>
      </c>
      <c r="D284" s="548" t="s">
        <v>504</v>
      </c>
      <c r="E284" s="548" t="s">
        <v>504</v>
      </c>
      <c r="F284" s="548" t="s">
        <v>504</v>
      </c>
      <c r="G284" s="548" t="s">
        <v>504</v>
      </c>
      <c r="H284" s="548" t="s">
        <v>504</v>
      </c>
      <c r="I284" s="548" t="s">
        <v>504</v>
      </c>
      <c r="J284" s="548" t="s">
        <v>504</v>
      </c>
      <c r="K284" s="548" t="s">
        <v>504</v>
      </c>
    </row>
    <row r="285" spans="1:11" x14ac:dyDescent="0.3">
      <c r="A285" t="s">
        <v>730</v>
      </c>
      <c r="D285" s="548" t="s">
        <v>504</v>
      </c>
      <c r="E285" s="548" t="s">
        <v>504</v>
      </c>
      <c r="F285" s="548" t="s">
        <v>504</v>
      </c>
      <c r="G285" s="548" t="s">
        <v>504</v>
      </c>
      <c r="H285" s="548" t="s">
        <v>504</v>
      </c>
      <c r="I285" s="548" t="s">
        <v>504</v>
      </c>
      <c r="J285" s="548" t="s">
        <v>504</v>
      </c>
      <c r="K285" s="548" t="s">
        <v>504</v>
      </c>
    </row>
    <row r="286" spans="1:11" x14ac:dyDescent="0.3">
      <c r="A286" t="s">
        <v>731</v>
      </c>
      <c r="D286" s="548" t="s">
        <v>504</v>
      </c>
      <c r="E286" s="548" t="s">
        <v>504</v>
      </c>
      <c r="F286" s="548" t="s">
        <v>504</v>
      </c>
      <c r="G286" s="548" t="s">
        <v>504</v>
      </c>
      <c r="H286" s="548" t="s">
        <v>504</v>
      </c>
      <c r="I286" s="548" t="s">
        <v>504</v>
      </c>
      <c r="J286" s="548" t="s">
        <v>504</v>
      </c>
      <c r="K286" s="548" t="s">
        <v>504</v>
      </c>
    </row>
    <row r="287" spans="1:11" x14ac:dyDescent="0.3">
      <c r="A287" t="s">
        <v>732</v>
      </c>
      <c r="D287" s="548" t="s">
        <v>504</v>
      </c>
      <c r="E287" s="548" t="s">
        <v>504</v>
      </c>
      <c r="F287" s="548" t="s">
        <v>504</v>
      </c>
      <c r="G287" s="548" t="s">
        <v>504</v>
      </c>
      <c r="H287" s="548" t="s">
        <v>504</v>
      </c>
      <c r="I287" s="548" t="s">
        <v>504</v>
      </c>
      <c r="J287" s="548" t="s">
        <v>504</v>
      </c>
      <c r="K287" s="548" t="s">
        <v>504</v>
      </c>
    </row>
    <row r="288" spans="1:11" x14ac:dyDescent="0.3">
      <c r="A288" t="s">
        <v>733</v>
      </c>
      <c r="D288" s="548" t="s">
        <v>504</v>
      </c>
      <c r="E288" s="548" t="s">
        <v>504</v>
      </c>
      <c r="F288" s="548" t="s">
        <v>504</v>
      </c>
      <c r="G288" s="548" t="s">
        <v>504</v>
      </c>
      <c r="H288" s="548" t="s">
        <v>504</v>
      </c>
      <c r="I288" s="548" t="s">
        <v>504</v>
      </c>
      <c r="J288" s="548" t="s">
        <v>504</v>
      </c>
      <c r="K288" s="548" t="s">
        <v>504</v>
      </c>
    </row>
    <row r="289" spans="1:11" x14ac:dyDescent="0.3">
      <c r="A289" t="s">
        <v>734</v>
      </c>
      <c r="D289" s="548" t="s">
        <v>504</v>
      </c>
      <c r="E289" s="548" t="s">
        <v>504</v>
      </c>
      <c r="F289" s="548" t="s">
        <v>504</v>
      </c>
      <c r="G289" s="548" t="s">
        <v>504</v>
      </c>
      <c r="H289" s="548" t="s">
        <v>504</v>
      </c>
      <c r="I289" s="548" t="s">
        <v>504</v>
      </c>
      <c r="J289" s="548" t="s">
        <v>504</v>
      </c>
      <c r="K289" s="548" t="s">
        <v>504</v>
      </c>
    </row>
    <row r="290" spans="1:11" x14ac:dyDescent="0.3">
      <c r="A290" t="s">
        <v>735</v>
      </c>
      <c r="D290" s="548" t="s">
        <v>504</v>
      </c>
      <c r="E290" s="548" t="s">
        <v>504</v>
      </c>
      <c r="F290" s="548" t="s">
        <v>504</v>
      </c>
      <c r="G290" s="548" t="s">
        <v>504</v>
      </c>
      <c r="H290" s="548" t="s">
        <v>504</v>
      </c>
      <c r="I290" s="548" t="s">
        <v>504</v>
      </c>
      <c r="J290" s="548" t="s">
        <v>504</v>
      </c>
      <c r="K290" s="548" t="s">
        <v>504</v>
      </c>
    </row>
    <row r="291" spans="1:11" x14ac:dyDescent="0.3">
      <c r="A291" t="s">
        <v>736</v>
      </c>
      <c r="D291" s="548" t="s">
        <v>504</v>
      </c>
      <c r="E291" s="548" t="s">
        <v>504</v>
      </c>
      <c r="F291" s="548" t="s">
        <v>504</v>
      </c>
      <c r="G291" s="548" t="s">
        <v>504</v>
      </c>
      <c r="H291" s="548" t="s">
        <v>504</v>
      </c>
      <c r="I291" s="548" t="s">
        <v>504</v>
      </c>
      <c r="J291" s="548" t="s">
        <v>504</v>
      </c>
      <c r="K291" s="548" t="s">
        <v>504</v>
      </c>
    </row>
    <row r="292" spans="1:11" x14ac:dyDescent="0.3">
      <c r="A292" t="s">
        <v>737</v>
      </c>
      <c r="D292" s="548" t="s">
        <v>504</v>
      </c>
      <c r="E292" s="548" t="s">
        <v>504</v>
      </c>
      <c r="F292" s="548" t="s">
        <v>504</v>
      </c>
      <c r="G292" s="548" t="s">
        <v>504</v>
      </c>
      <c r="H292" s="548" t="s">
        <v>504</v>
      </c>
      <c r="I292" s="548" t="s">
        <v>504</v>
      </c>
      <c r="J292" s="548" t="s">
        <v>504</v>
      </c>
      <c r="K292" s="548" t="s">
        <v>504</v>
      </c>
    </row>
    <row r="293" spans="1:11" x14ac:dyDescent="0.3">
      <c r="A293" t="s">
        <v>738</v>
      </c>
      <c r="D293" s="548" t="s">
        <v>504</v>
      </c>
      <c r="E293" s="548" t="s">
        <v>504</v>
      </c>
      <c r="F293" s="548" t="s">
        <v>504</v>
      </c>
      <c r="G293" s="548" t="s">
        <v>504</v>
      </c>
      <c r="H293" s="548" t="s">
        <v>504</v>
      </c>
      <c r="I293" s="548" t="s">
        <v>504</v>
      </c>
      <c r="J293" s="548" t="s">
        <v>504</v>
      </c>
      <c r="K293" s="548" t="s">
        <v>504</v>
      </c>
    </row>
    <row r="294" spans="1:11" x14ac:dyDescent="0.3">
      <c r="A294" t="s">
        <v>739</v>
      </c>
      <c r="D294" s="548" t="s">
        <v>504</v>
      </c>
      <c r="E294" s="548" t="s">
        <v>504</v>
      </c>
      <c r="F294" s="548" t="s">
        <v>504</v>
      </c>
      <c r="G294" s="548" t="s">
        <v>504</v>
      </c>
      <c r="H294" s="548" t="s">
        <v>504</v>
      </c>
      <c r="I294" s="548" t="s">
        <v>504</v>
      </c>
      <c r="J294" s="548" t="s">
        <v>504</v>
      </c>
      <c r="K294" s="548" t="s">
        <v>504</v>
      </c>
    </row>
    <row r="295" spans="1:11" x14ac:dyDescent="0.3">
      <c r="A295" t="s">
        <v>740</v>
      </c>
      <c r="D295" s="548" t="s">
        <v>504</v>
      </c>
      <c r="E295" s="548" t="s">
        <v>504</v>
      </c>
      <c r="F295" s="548" t="s">
        <v>504</v>
      </c>
      <c r="G295" s="548" t="s">
        <v>504</v>
      </c>
      <c r="H295" s="548" t="s">
        <v>504</v>
      </c>
      <c r="I295" s="548" t="s">
        <v>504</v>
      </c>
      <c r="J295" s="548" t="s">
        <v>504</v>
      </c>
      <c r="K295" s="548" t="s">
        <v>504</v>
      </c>
    </row>
    <row r="296" spans="1:11" x14ac:dyDescent="0.3">
      <c r="A296" t="s">
        <v>741</v>
      </c>
      <c r="D296" s="548" t="s">
        <v>504</v>
      </c>
      <c r="E296" s="548" t="s">
        <v>504</v>
      </c>
      <c r="F296" s="548" t="s">
        <v>504</v>
      </c>
      <c r="G296" s="548" t="s">
        <v>504</v>
      </c>
      <c r="H296" s="548" t="s">
        <v>504</v>
      </c>
      <c r="I296" s="548" t="s">
        <v>504</v>
      </c>
      <c r="J296" s="548" t="s">
        <v>504</v>
      </c>
      <c r="K296" s="548" t="s">
        <v>504</v>
      </c>
    </row>
    <row r="297" spans="1:11" x14ac:dyDescent="0.3">
      <c r="A297" t="s">
        <v>742</v>
      </c>
      <c r="D297" s="548" t="s">
        <v>504</v>
      </c>
      <c r="E297" s="548" t="s">
        <v>504</v>
      </c>
      <c r="F297" s="548" t="s">
        <v>504</v>
      </c>
      <c r="G297" s="548" t="s">
        <v>504</v>
      </c>
      <c r="H297" s="548" t="s">
        <v>504</v>
      </c>
      <c r="I297" s="548" t="s">
        <v>504</v>
      </c>
      <c r="J297" s="548" t="s">
        <v>504</v>
      </c>
      <c r="K297" s="548" t="s">
        <v>504</v>
      </c>
    </row>
    <row r="298" spans="1:11" x14ac:dyDescent="0.3">
      <c r="A298" t="s">
        <v>743</v>
      </c>
      <c r="D298" s="548" t="s">
        <v>504</v>
      </c>
      <c r="E298" s="548" t="s">
        <v>504</v>
      </c>
      <c r="F298" s="548" t="s">
        <v>504</v>
      </c>
      <c r="G298" s="548" t="s">
        <v>504</v>
      </c>
      <c r="H298" s="548" t="s">
        <v>504</v>
      </c>
      <c r="I298" s="548" t="s">
        <v>504</v>
      </c>
      <c r="J298" s="548" t="s">
        <v>504</v>
      </c>
      <c r="K298" s="548" t="s">
        <v>504</v>
      </c>
    </row>
    <row r="299" spans="1:11" x14ac:dyDescent="0.3">
      <c r="A299" t="s">
        <v>744</v>
      </c>
      <c r="D299" s="548" t="s">
        <v>504</v>
      </c>
      <c r="E299" s="548" t="s">
        <v>504</v>
      </c>
      <c r="F299" s="548" t="s">
        <v>504</v>
      </c>
      <c r="G299" s="548" t="s">
        <v>504</v>
      </c>
      <c r="H299" s="548" t="s">
        <v>504</v>
      </c>
      <c r="I299" s="548" t="s">
        <v>504</v>
      </c>
      <c r="J299" s="548" t="s">
        <v>504</v>
      </c>
      <c r="K299" s="548" t="s">
        <v>504</v>
      </c>
    </row>
    <row r="300" spans="1:11" x14ac:dyDescent="0.3">
      <c r="A300" t="s">
        <v>745</v>
      </c>
      <c r="D300" s="548" t="s">
        <v>504</v>
      </c>
      <c r="E300" s="548" t="s">
        <v>504</v>
      </c>
      <c r="F300" s="548" t="s">
        <v>504</v>
      </c>
      <c r="G300" s="548" t="s">
        <v>504</v>
      </c>
      <c r="H300" s="548" t="s">
        <v>504</v>
      </c>
      <c r="I300" s="548" t="s">
        <v>504</v>
      </c>
      <c r="J300" s="548" t="s">
        <v>504</v>
      </c>
      <c r="K300" s="548" t="s">
        <v>504</v>
      </c>
    </row>
    <row r="301" spans="1:11" x14ac:dyDescent="0.3">
      <c r="A301" t="s">
        <v>746</v>
      </c>
      <c r="D301" s="548" t="s">
        <v>504</v>
      </c>
      <c r="E301" s="548" t="s">
        <v>504</v>
      </c>
      <c r="F301" s="548" t="s">
        <v>504</v>
      </c>
      <c r="G301" s="548" t="s">
        <v>504</v>
      </c>
      <c r="H301" s="548" t="s">
        <v>504</v>
      </c>
      <c r="I301" s="548" t="s">
        <v>504</v>
      </c>
      <c r="J301" s="548" t="s">
        <v>504</v>
      </c>
      <c r="K301" s="548" t="s">
        <v>504</v>
      </c>
    </row>
    <row r="302" spans="1:11" x14ac:dyDescent="0.3">
      <c r="A302" t="s">
        <v>747</v>
      </c>
      <c r="D302" s="548" t="s">
        <v>504</v>
      </c>
      <c r="E302" s="548" t="s">
        <v>504</v>
      </c>
      <c r="F302" s="548" t="s">
        <v>504</v>
      </c>
      <c r="G302" s="548" t="s">
        <v>504</v>
      </c>
      <c r="H302" s="548" t="s">
        <v>504</v>
      </c>
      <c r="I302" s="548" t="s">
        <v>504</v>
      </c>
      <c r="J302" s="548" t="s">
        <v>504</v>
      </c>
      <c r="K302" s="548" t="s">
        <v>504</v>
      </c>
    </row>
    <row r="303" spans="1:11" x14ac:dyDescent="0.3">
      <c r="A303" t="s">
        <v>748</v>
      </c>
      <c r="D303" s="548" t="s">
        <v>504</v>
      </c>
      <c r="E303" s="548" t="s">
        <v>504</v>
      </c>
      <c r="F303" s="548" t="s">
        <v>504</v>
      </c>
      <c r="G303" s="548" t="s">
        <v>504</v>
      </c>
      <c r="H303" s="548" t="s">
        <v>504</v>
      </c>
      <c r="I303" s="548" t="s">
        <v>504</v>
      </c>
      <c r="J303" s="548" t="s">
        <v>504</v>
      </c>
      <c r="K303" s="548" t="s">
        <v>504</v>
      </c>
    </row>
    <row r="304" spans="1:11" x14ac:dyDescent="0.3">
      <c r="A304" t="s">
        <v>749</v>
      </c>
      <c r="D304" s="548" t="s">
        <v>504</v>
      </c>
      <c r="E304" s="548" t="s">
        <v>504</v>
      </c>
      <c r="F304" s="548" t="s">
        <v>504</v>
      </c>
      <c r="G304" s="548" t="s">
        <v>504</v>
      </c>
      <c r="H304" s="548" t="s">
        <v>504</v>
      </c>
      <c r="I304" s="548" t="s">
        <v>504</v>
      </c>
      <c r="J304" s="548" t="s">
        <v>504</v>
      </c>
      <c r="K304" s="548" t="s">
        <v>504</v>
      </c>
    </row>
    <row r="305" spans="1:11" x14ac:dyDescent="0.3">
      <c r="A305" t="s">
        <v>750</v>
      </c>
      <c r="D305" s="548" t="s">
        <v>504</v>
      </c>
      <c r="E305" s="548" t="s">
        <v>504</v>
      </c>
      <c r="F305" s="548" t="s">
        <v>504</v>
      </c>
      <c r="G305" s="548" t="s">
        <v>504</v>
      </c>
      <c r="H305" s="548" t="s">
        <v>504</v>
      </c>
      <c r="I305" s="548" t="s">
        <v>504</v>
      </c>
      <c r="J305" s="548" t="s">
        <v>504</v>
      </c>
      <c r="K305" s="548" t="s">
        <v>504</v>
      </c>
    </row>
    <row r="306" spans="1:11" x14ac:dyDescent="0.3">
      <c r="A306" t="s">
        <v>751</v>
      </c>
      <c r="D306" s="548" t="s">
        <v>504</v>
      </c>
      <c r="E306" s="548" t="s">
        <v>504</v>
      </c>
      <c r="F306" s="548" t="s">
        <v>504</v>
      </c>
      <c r="G306" s="548" t="s">
        <v>504</v>
      </c>
      <c r="H306" s="548" t="s">
        <v>504</v>
      </c>
      <c r="I306" s="548" t="s">
        <v>504</v>
      </c>
      <c r="J306" s="548" t="s">
        <v>504</v>
      </c>
      <c r="K306" s="548" t="s">
        <v>504</v>
      </c>
    </row>
    <row r="307" spans="1:11" x14ac:dyDescent="0.3">
      <c r="A307" t="s">
        <v>752</v>
      </c>
      <c r="D307" s="548" t="s">
        <v>504</v>
      </c>
      <c r="E307" s="548" t="s">
        <v>504</v>
      </c>
      <c r="F307" s="548" t="s">
        <v>504</v>
      </c>
      <c r="G307" s="548" t="s">
        <v>504</v>
      </c>
      <c r="H307" s="548" t="s">
        <v>504</v>
      </c>
      <c r="I307" s="548" t="s">
        <v>504</v>
      </c>
      <c r="J307" s="548" t="s">
        <v>504</v>
      </c>
      <c r="K307" s="548" t="s">
        <v>504</v>
      </c>
    </row>
    <row r="308" spans="1:11" x14ac:dyDescent="0.3">
      <c r="A308" t="s">
        <v>753</v>
      </c>
      <c r="D308" s="548" t="s">
        <v>504</v>
      </c>
      <c r="E308" s="548" t="s">
        <v>504</v>
      </c>
      <c r="F308" s="548" t="s">
        <v>504</v>
      </c>
      <c r="G308" s="548" t="s">
        <v>504</v>
      </c>
      <c r="H308" s="548" t="s">
        <v>504</v>
      </c>
      <c r="I308" s="548" t="s">
        <v>504</v>
      </c>
      <c r="J308" s="548" t="s">
        <v>504</v>
      </c>
      <c r="K308" s="548" t="s">
        <v>504</v>
      </c>
    </row>
    <row r="309" spans="1:11" x14ac:dyDescent="0.3">
      <c r="A309" t="s">
        <v>754</v>
      </c>
      <c r="D309" s="548" t="s">
        <v>504</v>
      </c>
      <c r="E309" s="548" t="s">
        <v>504</v>
      </c>
      <c r="F309" s="548" t="s">
        <v>504</v>
      </c>
      <c r="G309" s="548" t="s">
        <v>504</v>
      </c>
      <c r="H309" s="548" t="s">
        <v>504</v>
      </c>
      <c r="I309" s="548" t="s">
        <v>504</v>
      </c>
      <c r="J309" s="548" t="s">
        <v>504</v>
      </c>
      <c r="K309" s="548" t="s">
        <v>504</v>
      </c>
    </row>
    <row r="310" spans="1:11" x14ac:dyDescent="0.3">
      <c r="A310" t="s">
        <v>755</v>
      </c>
      <c r="D310" s="548" t="s">
        <v>504</v>
      </c>
      <c r="E310" s="548" t="s">
        <v>504</v>
      </c>
      <c r="F310" s="548" t="s">
        <v>504</v>
      </c>
      <c r="G310" s="548" t="s">
        <v>504</v>
      </c>
      <c r="H310" s="548" t="s">
        <v>504</v>
      </c>
      <c r="I310" s="548" t="s">
        <v>504</v>
      </c>
      <c r="J310" s="548" t="s">
        <v>504</v>
      </c>
      <c r="K310" s="548" t="s">
        <v>504</v>
      </c>
    </row>
    <row r="311" spans="1:11" x14ac:dyDescent="0.3">
      <c r="A311" t="s">
        <v>756</v>
      </c>
      <c r="D311" s="548" t="s">
        <v>504</v>
      </c>
      <c r="E311" s="548" t="s">
        <v>504</v>
      </c>
      <c r="F311" s="548" t="s">
        <v>504</v>
      </c>
      <c r="G311" s="548" t="s">
        <v>504</v>
      </c>
      <c r="H311" s="548" t="s">
        <v>504</v>
      </c>
      <c r="I311" s="548" t="s">
        <v>504</v>
      </c>
      <c r="J311" s="548" t="s">
        <v>504</v>
      </c>
      <c r="K311" s="548" t="s">
        <v>504</v>
      </c>
    </row>
    <row r="312" spans="1:11" x14ac:dyDescent="0.3">
      <c r="A312" t="s">
        <v>757</v>
      </c>
      <c r="D312" s="548" t="s">
        <v>504</v>
      </c>
      <c r="E312" s="548" t="s">
        <v>504</v>
      </c>
      <c r="F312" s="548" t="s">
        <v>504</v>
      </c>
      <c r="G312" s="548" t="s">
        <v>504</v>
      </c>
      <c r="H312" s="548" t="s">
        <v>504</v>
      </c>
      <c r="I312" s="548" t="s">
        <v>504</v>
      </c>
      <c r="J312" s="548" t="s">
        <v>504</v>
      </c>
      <c r="K312" s="548" t="s">
        <v>504</v>
      </c>
    </row>
    <row r="313" spans="1:11" x14ac:dyDescent="0.3">
      <c r="A313" t="s">
        <v>758</v>
      </c>
      <c r="D313" s="548" t="s">
        <v>504</v>
      </c>
      <c r="E313" s="548" t="s">
        <v>504</v>
      </c>
      <c r="F313" s="548" t="s">
        <v>504</v>
      </c>
      <c r="G313" s="548" t="s">
        <v>504</v>
      </c>
      <c r="H313" s="548" t="s">
        <v>504</v>
      </c>
      <c r="I313" s="548" t="s">
        <v>504</v>
      </c>
      <c r="J313" s="548" t="s">
        <v>504</v>
      </c>
      <c r="K313" s="548" t="s">
        <v>504</v>
      </c>
    </row>
    <row r="314" spans="1:11" x14ac:dyDescent="0.3">
      <c r="A314" t="s">
        <v>759</v>
      </c>
      <c r="D314" s="548" t="s">
        <v>504</v>
      </c>
      <c r="E314" s="548" t="s">
        <v>504</v>
      </c>
      <c r="F314" s="548" t="s">
        <v>504</v>
      </c>
      <c r="G314" s="548" t="s">
        <v>504</v>
      </c>
      <c r="H314" s="548" t="s">
        <v>504</v>
      </c>
      <c r="I314" s="548" t="s">
        <v>504</v>
      </c>
      <c r="J314" s="548" t="s">
        <v>504</v>
      </c>
      <c r="K314" s="548" t="s">
        <v>504</v>
      </c>
    </row>
    <row r="315" spans="1:11" x14ac:dyDescent="0.3">
      <c r="A315" t="s">
        <v>760</v>
      </c>
      <c r="D315" s="548" t="s">
        <v>504</v>
      </c>
      <c r="E315" s="548" t="s">
        <v>504</v>
      </c>
      <c r="F315" s="548" t="s">
        <v>504</v>
      </c>
      <c r="G315" s="548" t="s">
        <v>504</v>
      </c>
      <c r="H315" s="548" t="s">
        <v>504</v>
      </c>
      <c r="I315" s="548" t="s">
        <v>504</v>
      </c>
      <c r="J315" s="548" t="s">
        <v>504</v>
      </c>
      <c r="K315" s="548" t="s">
        <v>504</v>
      </c>
    </row>
    <row r="316" spans="1:11" x14ac:dyDescent="0.3">
      <c r="A316" t="s">
        <v>761</v>
      </c>
      <c r="D316" s="548" t="s">
        <v>504</v>
      </c>
      <c r="E316" s="548" t="s">
        <v>504</v>
      </c>
      <c r="F316" s="548" t="s">
        <v>504</v>
      </c>
      <c r="G316" s="548" t="s">
        <v>504</v>
      </c>
      <c r="H316" s="548" t="s">
        <v>504</v>
      </c>
      <c r="I316" s="548" t="s">
        <v>504</v>
      </c>
      <c r="J316" s="548" t="s">
        <v>504</v>
      </c>
      <c r="K316" s="548" t="s">
        <v>504</v>
      </c>
    </row>
    <row r="317" spans="1:11" x14ac:dyDescent="0.3">
      <c r="A317" t="s">
        <v>762</v>
      </c>
      <c r="D317" s="548" t="s">
        <v>504</v>
      </c>
      <c r="E317" s="548" t="s">
        <v>504</v>
      </c>
      <c r="F317" s="548" t="s">
        <v>504</v>
      </c>
      <c r="G317" s="548" t="s">
        <v>504</v>
      </c>
      <c r="H317" s="548" t="s">
        <v>504</v>
      </c>
      <c r="I317" s="548" t="s">
        <v>504</v>
      </c>
      <c r="J317" s="548" t="s">
        <v>504</v>
      </c>
      <c r="K317" s="548" t="s">
        <v>504</v>
      </c>
    </row>
    <row r="318" spans="1:11" x14ac:dyDescent="0.3">
      <c r="A318" t="s">
        <v>763</v>
      </c>
      <c r="D318" s="548" t="s">
        <v>504</v>
      </c>
      <c r="E318" s="548" t="s">
        <v>504</v>
      </c>
      <c r="F318" s="548" t="s">
        <v>504</v>
      </c>
      <c r="G318" s="548" t="s">
        <v>504</v>
      </c>
      <c r="H318" s="548" t="s">
        <v>504</v>
      </c>
      <c r="I318" s="548" t="s">
        <v>504</v>
      </c>
      <c r="J318" s="548" t="s">
        <v>504</v>
      </c>
      <c r="K318" s="548" t="s">
        <v>504</v>
      </c>
    </row>
    <row r="319" spans="1:11" x14ac:dyDescent="0.3">
      <c r="A319" t="s">
        <v>764</v>
      </c>
      <c r="D319" s="548" t="s">
        <v>504</v>
      </c>
      <c r="E319" s="548" t="s">
        <v>504</v>
      </c>
      <c r="F319" s="548" t="s">
        <v>504</v>
      </c>
      <c r="G319" s="548" t="s">
        <v>504</v>
      </c>
      <c r="H319" s="548" t="s">
        <v>504</v>
      </c>
      <c r="I319" s="548" t="s">
        <v>504</v>
      </c>
      <c r="J319" s="548" t="s">
        <v>504</v>
      </c>
      <c r="K319" s="548" t="s">
        <v>504</v>
      </c>
    </row>
    <row r="320" spans="1:11" x14ac:dyDescent="0.3">
      <c r="A320" t="s">
        <v>765</v>
      </c>
      <c r="D320" s="548" t="s">
        <v>504</v>
      </c>
      <c r="E320" s="548" t="s">
        <v>504</v>
      </c>
      <c r="F320" s="548" t="s">
        <v>504</v>
      </c>
      <c r="G320" s="548" t="s">
        <v>504</v>
      </c>
      <c r="H320" s="548" t="s">
        <v>504</v>
      </c>
      <c r="I320" s="548" t="s">
        <v>504</v>
      </c>
      <c r="J320" s="548" t="s">
        <v>504</v>
      </c>
      <c r="K320" s="548" t="s">
        <v>504</v>
      </c>
    </row>
    <row r="321" spans="1:11" x14ac:dyDescent="0.3">
      <c r="A321" t="s">
        <v>766</v>
      </c>
      <c r="D321" s="548" t="s">
        <v>504</v>
      </c>
      <c r="E321" s="548" t="s">
        <v>504</v>
      </c>
      <c r="F321" s="548" t="s">
        <v>504</v>
      </c>
      <c r="G321" s="548" t="s">
        <v>504</v>
      </c>
      <c r="H321" s="548" t="s">
        <v>504</v>
      </c>
      <c r="I321" s="548" t="s">
        <v>504</v>
      </c>
      <c r="J321" s="548" t="s">
        <v>504</v>
      </c>
      <c r="K321" s="548" t="s">
        <v>504</v>
      </c>
    </row>
    <row r="322" spans="1:11" x14ac:dyDescent="0.3">
      <c r="A322" t="s">
        <v>767</v>
      </c>
      <c r="D322" s="548" t="s">
        <v>504</v>
      </c>
      <c r="E322" s="548" t="s">
        <v>504</v>
      </c>
      <c r="F322" s="548" t="s">
        <v>504</v>
      </c>
      <c r="G322" s="548" t="s">
        <v>504</v>
      </c>
      <c r="H322" s="548" t="s">
        <v>504</v>
      </c>
      <c r="I322" s="548" t="s">
        <v>504</v>
      </c>
      <c r="J322" s="548" t="s">
        <v>504</v>
      </c>
      <c r="K322" s="548" t="s">
        <v>504</v>
      </c>
    </row>
    <row r="323" spans="1:11" x14ac:dyDescent="0.3">
      <c r="A323" t="s">
        <v>768</v>
      </c>
      <c r="D323" s="548" t="s">
        <v>504</v>
      </c>
      <c r="E323" s="548" t="s">
        <v>504</v>
      </c>
      <c r="F323" s="548" t="s">
        <v>504</v>
      </c>
      <c r="G323" s="548" t="s">
        <v>504</v>
      </c>
      <c r="H323" s="548" t="s">
        <v>504</v>
      </c>
      <c r="I323" s="548" t="s">
        <v>504</v>
      </c>
      <c r="J323" s="548" t="s">
        <v>504</v>
      </c>
      <c r="K323" s="548" t="s">
        <v>504</v>
      </c>
    </row>
    <row r="324" spans="1:11" x14ac:dyDescent="0.3">
      <c r="A324" t="s">
        <v>769</v>
      </c>
      <c r="D324" s="548" t="s">
        <v>504</v>
      </c>
      <c r="E324" s="548" t="s">
        <v>504</v>
      </c>
      <c r="F324" s="548" t="s">
        <v>504</v>
      </c>
      <c r="G324" s="548" t="s">
        <v>504</v>
      </c>
      <c r="H324" s="548" t="s">
        <v>504</v>
      </c>
      <c r="I324" s="548" t="s">
        <v>504</v>
      </c>
      <c r="J324" s="548" t="s">
        <v>504</v>
      </c>
      <c r="K324" s="548" t="s">
        <v>504</v>
      </c>
    </row>
    <row r="325" spans="1:11" x14ac:dyDescent="0.3">
      <c r="A325" t="s">
        <v>770</v>
      </c>
      <c r="D325" s="548" t="s">
        <v>504</v>
      </c>
      <c r="E325" s="548" t="s">
        <v>504</v>
      </c>
      <c r="F325" s="548" t="s">
        <v>504</v>
      </c>
      <c r="G325" s="548" t="s">
        <v>504</v>
      </c>
      <c r="H325" s="548" t="s">
        <v>504</v>
      </c>
      <c r="I325" s="548" t="s">
        <v>504</v>
      </c>
      <c r="J325" s="548" t="s">
        <v>504</v>
      </c>
      <c r="K325" s="548" t="s">
        <v>504</v>
      </c>
    </row>
    <row r="326" spans="1:11" x14ac:dyDescent="0.3">
      <c r="A326" t="s">
        <v>771</v>
      </c>
      <c r="D326" s="548" t="s">
        <v>504</v>
      </c>
      <c r="E326" s="548" t="s">
        <v>504</v>
      </c>
      <c r="F326" s="548" t="s">
        <v>504</v>
      </c>
      <c r="G326" s="548" t="s">
        <v>504</v>
      </c>
      <c r="H326" s="548" t="s">
        <v>504</v>
      </c>
      <c r="I326" s="548" t="s">
        <v>504</v>
      </c>
      <c r="J326" s="548" t="s">
        <v>504</v>
      </c>
      <c r="K326" s="548" t="s">
        <v>504</v>
      </c>
    </row>
    <row r="327" spans="1:11" x14ac:dyDescent="0.3">
      <c r="A327" t="s">
        <v>772</v>
      </c>
      <c r="D327" s="548" t="s">
        <v>504</v>
      </c>
      <c r="E327" s="548" t="s">
        <v>504</v>
      </c>
      <c r="F327" s="548" t="s">
        <v>504</v>
      </c>
      <c r="G327" s="548" t="s">
        <v>504</v>
      </c>
      <c r="H327" s="548" t="s">
        <v>504</v>
      </c>
      <c r="I327" s="548" t="s">
        <v>504</v>
      </c>
      <c r="J327" s="548" t="s">
        <v>504</v>
      </c>
      <c r="K327" s="548" t="s">
        <v>504</v>
      </c>
    </row>
    <row r="328" spans="1:11" x14ac:dyDescent="0.3">
      <c r="A328" t="s">
        <v>773</v>
      </c>
      <c r="D328" s="548" t="s">
        <v>504</v>
      </c>
      <c r="E328" s="548" t="s">
        <v>504</v>
      </c>
      <c r="F328" s="548" t="s">
        <v>504</v>
      </c>
      <c r="G328" s="548" t="s">
        <v>504</v>
      </c>
      <c r="H328" s="548" t="s">
        <v>504</v>
      </c>
      <c r="I328" s="548" t="s">
        <v>504</v>
      </c>
      <c r="J328" s="548" t="s">
        <v>504</v>
      </c>
      <c r="K328" s="548" t="s">
        <v>504</v>
      </c>
    </row>
    <row r="329" spans="1:11" x14ac:dyDescent="0.3">
      <c r="A329" t="s">
        <v>774</v>
      </c>
      <c r="D329" s="548" t="s">
        <v>504</v>
      </c>
      <c r="E329" s="548" t="s">
        <v>504</v>
      </c>
      <c r="F329" s="548" t="s">
        <v>504</v>
      </c>
      <c r="G329" s="548" t="s">
        <v>504</v>
      </c>
      <c r="H329" s="548" t="s">
        <v>504</v>
      </c>
      <c r="I329" s="548" t="s">
        <v>504</v>
      </c>
      <c r="J329" s="548" t="s">
        <v>504</v>
      </c>
      <c r="K329" s="548" t="s">
        <v>504</v>
      </c>
    </row>
    <row r="330" spans="1:11" x14ac:dyDescent="0.3">
      <c r="A330" t="s">
        <v>775</v>
      </c>
      <c r="D330" s="548" t="s">
        <v>504</v>
      </c>
      <c r="E330" s="548" t="s">
        <v>504</v>
      </c>
      <c r="F330" s="548" t="s">
        <v>504</v>
      </c>
      <c r="G330" s="548" t="s">
        <v>504</v>
      </c>
      <c r="H330" s="548" t="s">
        <v>504</v>
      </c>
      <c r="I330" s="548" t="s">
        <v>504</v>
      </c>
      <c r="J330" s="548" t="s">
        <v>504</v>
      </c>
      <c r="K330" s="548" t="s">
        <v>504</v>
      </c>
    </row>
    <row r="331" spans="1:11" x14ac:dyDescent="0.3">
      <c r="A331" t="s">
        <v>776</v>
      </c>
      <c r="D331" s="548" t="s">
        <v>504</v>
      </c>
      <c r="E331" s="548" t="s">
        <v>504</v>
      </c>
      <c r="F331" s="548" t="s">
        <v>504</v>
      </c>
      <c r="G331" s="548" t="s">
        <v>504</v>
      </c>
      <c r="H331" s="548" t="s">
        <v>504</v>
      </c>
      <c r="I331" s="548" t="s">
        <v>504</v>
      </c>
      <c r="J331" s="548" t="s">
        <v>504</v>
      </c>
      <c r="K331" s="548" t="s">
        <v>504</v>
      </c>
    </row>
    <row r="332" spans="1:11" x14ac:dyDescent="0.3">
      <c r="A332" t="s">
        <v>777</v>
      </c>
      <c r="D332" s="548" t="s">
        <v>504</v>
      </c>
      <c r="E332" s="548" t="s">
        <v>504</v>
      </c>
      <c r="F332" s="548" t="s">
        <v>504</v>
      </c>
      <c r="G332" s="548" t="s">
        <v>504</v>
      </c>
      <c r="H332" s="548" t="s">
        <v>504</v>
      </c>
      <c r="I332" s="548" t="s">
        <v>504</v>
      </c>
      <c r="J332" s="548" t="s">
        <v>504</v>
      </c>
      <c r="K332" s="548" t="s">
        <v>504</v>
      </c>
    </row>
    <row r="333" spans="1:11" x14ac:dyDescent="0.3">
      <c r="A333" t="s">
        <v>778</v>
      </c>
      <c r="D333" s="548" t="s">
        <v>504</v>
      </c>
      <c r="E333" s="548" t="s">
        <v>504</v>
      </c>
      <c r="F333" s="548" t="s">
        <v>504</v>
      </c>
      <c r="G333" s="548" t="s">
        <v>504</v>
      </c>
      <c r="H333" s="548" t="s">
        <v>504</v>
      </c>
      <c r="I333" s="548" t="s">
        <v>504</v>
      </c>
      <c r="J333" s="548" t="s">
        <v>504</v>
      </c>
      <c r="K333" s="548" t="s">
        <v>504</v>
      </c>
    </row>
    <row r="334" spans="1:11" x14ac:dyDescent="0.3">
      <c r="A334" t="s">
        <v>779</v>
      </c>
      <c r="D334" s="548" t="s">
        <v>504</v>
      </c>
      <c r="E334" s="548" t="s">
        <v>504</v>
      </c>
      <c r="F334" s="548" t="s">
        <v>504</v>
      </c>
      <c r="G334" s="548" t="s">
        <v>504</v>
      </c>
      <c r="H334" s="548" t="s">
        <v>504</v>
      </c>
      <c r="I334" s="548" t="s">
        <v>504</v>
      </c>
      <c r="J334" s="548" t="s">
        <v>504</v>
      </c>
      <c r="K334" s="548" t="s">
        <v>504</v>
      </c>
    </row>
    <row r="335" spans="1:11" x14ac:dyDescent="0.3">
      <c r="A335" t="s">
        <v>780</v>
      </c>
      <c r="D335" s="548" t="s">
        <v>504</v>
      </c>
      <c r="E335" s="548" t="s">
        <v>504</v>
      </c>
      <c r="F335" s="548" t="s">
        <v>504</v>
      </c>
      <c r="G335" s="548" t="s">
        <v>504</v>
      </c>
      <c r="H335" s="548" t="s">
        <v>504</v>
      </c>
      <c r="I335" s="548" t="s">
        <v>504</v>
      </c>
      <c r="J335" s="548" t="s">
        <v>504</v>
      </c>
      <c r="K335" s="548" t="s">
        <v>504</v>
      </c>
    </row>
    <row r="336" spans="1:11" x14ac:dyDescent="0.3">
      <c r="A336" t="s">
        <v>781</v>
      </c>
      <c r="D336" s="548" t="s">
        <v>504</v>
      </c>
      <c r="E336" s="548" t="s">
        <v>504</v>
      </c>
      <c r="F336" s="548" t="s">
        <v>504</v>
      </c>
      <c r="G336" s="548" t="s">
        <v>504</v>
      </c>
      <c r="H336" s="548" t="s">
        <v>504</v>
      </c>
      <c r="I336" s="548" t="s">
        <v>504</v>
      </c>
      <c r="J336" s="548" t="s">
        <v>504</v>
      </c>
      <c r="K336" s="548" t="s">
        <v>504</v>
      </c>
    </row>
    <row r="337" spans="1:11" x14ac:dyDescent="0.3">
      <c r="A337" t="s">
        <v>782</v>
      </c>
      <c r="D337" s="548" t="s">
        <v>504</v>
      </c>
      <c r="E337" s="548" t="s">
        <v>504</v>
      </c>
      <c r="F337" s="548" t="s">
        <v>504</v>
      </c>
      <c r="G337" s="548" t="s">
        <v>504</v>
      </c>
      <c r="H337" s="548" t="s">
        <v>504</v>
      </c>
      <c r="I337" s="548" t="s">
        <v>504</v>
      </c>
      <c r="J337" s="548" t="s">
        <v>504</v>
      </c>
      <c r="K337" s="548" t="s">
        <v>504</v>
      </c>
    </row>
    <row r="338" spans="1:11" x14ac:dyDescent="0.3">
      <c r="A338" t="s">
        <v>783</v>
      </c>
      <c r="D338" s="548" t="s">
        <v>504</v>
      </c>
      <c r="E338" s="548" t="s">
        <v>504</v>
      </c>
      <c r="F338" s="548" t="s">
        <v>504</v>
      </c>
      <c r="G338" s="548" t="s">
        <v>504</v>
      </c>
      <c r="H338" s="548" t="s">
        <v>504</v>
      </c>
      <c r="I338" s="548" t="s">
        <v>504</v>
      </c>
      <c r="J338" s="548" t="s">
        <v>504</v>
      </c>
      <c r="K338" s="548" t="s">
        <v>504</v>
      </c>
    </row>
    <row r="339" spans="1:11" x14ac:dyDescent="0.3">
      <c r="A339" t="s">
        <v>784</v>
      </c>
      <c r="D339" s="548" t="s">
        <v>504</v>
      </c>
      <c r="E339" s="548" t="s">
        <v>504</v>
      </c>
      <c r="F339" s="548" t="s">
        <v>504</v>
      </c>
      <c r="G339" s="548" t="s">
        <v>504</v>
      </c>
      <c r="H339" s="548" t="s">
        <v>504</v>
      </c>
      <c r="I339" s="548" t="s">
        <v>504</v>
      </c>
      <c r="J339" s="548" t="s">
        <v>504</v>
      </c>
      <c r="K339" s="548" t="s">
        <v>504</v>
      </c>
    </row>
    <row r="340" spans="1:11" x14ac:dyDescent="0.3">
      <c r="A340" t="s">
        <v>785</v>
      </c>
      <c r="D340" s="548" t="s">
        <v>504</v>
      </c>
      <c r="E340" s="548" t="s">
        <v>504</v>
      </c>
      <c r="F340" s="548" t="s">
        <v>504</v>
      </c>
      <c r="G340" s="548" t="s">
        <v>504</v>
      </c>
      <c r="H340" s="548" t="s">
        <v>504</v>
      </c>
      <c r="I340" s="548" t="s">
        <v>504</v>
      </c>
      <c r="J340" s="548" t="s">
        <v>504</v>
      </c>
      <c r="K340" s="548" t="s">
        <v>504</v>
      </c>
    </row>
    <row r="341" spans="1:11" x14ac:dyDescent="0.3">
      <c r="A341" t="s">
        <v>786</v>
      </c>
      <c r="D341" s="548" t="s">
        <v>504</v>
      </c>
      <c r="E341" s="548" t="s">
        <v>504</v>
      </c>
      <c r="F341" s="548" t="s">
        <v>504</v>
      </c>
      <c r="G341" s="548" t="s">
        <v>504</v>
      </c>
      <c r="H341" s="548" t="s">
        <v>504</v>
      </c>
      <c r="I341" s="548" t="s">
        <v>504</v>
      </c>
      <c r="J341" s="548" t="s">
        <v>504</v>
      </c>
      <c r="K341" s="548" t="s">
        <v>504</v>
      </c>
    </row>
    <row r="342" spans="1:11" x14ac:dyDescent="0.3">
      <c r="A342" t="s">
        <v>787</v>
      </c>
      <c r="D342" s="548" t="s">
        <v>504</v>
      </c>
      <c r="E342" s="548" t="s">
        <v>504</v>
      </c>
      <c r="F342" s="548" t="s">
        <v>504</v>
      </c>
      <c r="G342" s="548" t="s">
        <v>504</v>
      </c>
      <c r="H342" s="548" t="s">
        <v>504</v>
      </c>
      <c r="I342" s="548" t="s">
        <v>504</v>
      </c>
      <c r="J342" s="548" t="s">
        <v>504</v>
      </c>
      <c r="K342" s="548" t="s">
        <v>504</v>
      </c>
    </row>
    <row r="343" spans="1:11" x14ac:dyDescent="0.3">
      <c r="A343" t="s">
        <v>788</v>
      </c>
      <c r="D343" s="548" t="s">
        <v>504</v>
      </c>
      <c r="E343" s="548" t="s">
        <v>504</v>
      </c>
      <c r="F343" s="548" t="s">
        <v>504</v>
      </c>
      <c r="G343" s="548" t="s">
        <v>504</v>
      </c>
      <c r="H343" s="548" t="s">
        <v>504</v>
      </c>
      <c r="I343" s="548" t="s">
        <v>504</v>
      </c>
      <c r="J343" s="548" t="s">
        <v>504</v>
      </c>
      <c r="K343" s="548" t="s">
        <v>504</v>
      </c>
    </row>
    <row r="344" spans="1:11" x14ac:dyDescent="0.3">
      <c r="A344" t="s">
        <v>789</v>
      </c>
      <c r="D344" s="548" t="s">
        <v>504</v>
      </c>
      <c r="E344" s="548" t="s">
        <v>504</v>
      </c>
      <c r="F344" s="548" t="s">
        <v>504</v>
      </c>
      <c r="G344" s="548" t="s">
        <v>504</v>
      </c>
      <c r="H344" s="548" t="s">
        <v>504</v>
      </c>
      <c r="I344" s="548" t="s">
        <v>504</v>
      </c>
      <c r="J344" s="548" t="s">
        <v>504</v>
      </c>
      <c r="K344" s="548" t="s">
        <v>504</v>
      </c>
    </row>
    <row r="345" spans="1:11" x14ac:dyDescent="0.3">
      <c r="A345" t="s">
        <v>790</v>
      </c>
      <c r="D345" s="548" t="s">
        <v>504</v>
      </c>
      <c r="E345" s="548" t="s">
        <v>504</v>
      </c>
      <c r="F345" s="548" t="s">
        <v>504</v>
      </c>
      <c r="G345" s="548" t="s">
        <v>504</v>
      </c>
      <c r="H345" s="548" t="s">
        <v>504</v>
      </c>
      <c r="I345" s="548" t="s">
        <v>504</v>
      </c>
      <c r="J345" s="548" t="s">
        <v>504</v>
      </c>
      <c r="K345" s="548" t="s">
        <v>504</v>
      </c>
    </row>
    <row r="346" spans="1:11" x14ac:dyDescent="0.3">
      <c r="A346" t="s">
        <v>791</v>
      </c>
      <c r="D346" s="548" t="s">
        <v>504</v>
      </c>
      <c r="E346" s="548" t="s">
        <v>504</v>
      </c>
      <c r="F346" s="548" t="s">
        <v>504</v>
      </c>
      <c r="G346" s="548" t="s">
        <v>504</v>
      </c>
      <c r="H346" s="548" t="s">
        <v>504</v>
      </c>
      <c r="I346" s="548" t="s">
        <v>504</v>
      </c>
      <c r="J346" s="548" t="s">
        <v>504</v>
      </c>
      <c r="K346" s="548" t="s">
        <v>504</v>
      </c>
    </row>
    <row r="347" spans="1:11" x14ac:dyDescent="0.3">
      <c r="A347" t="s">
        <v>792</v>
      </c>
      <c r="D347" s="548" t="s">
        <v>504</v>
      </c>
      <c r="E347" s="548" t="s">
        <v>504</v>
      </c>
      <c r="F347" s="548" t="s">
        <v>504</v>
      </c>
      <c r="G347" s="548" t="s">
        <v>504</v>
      </c>
      <c r="H347" s="548" t="s">
        <v>504</v>
      </c>
      <c r="I347" s="548" t="s">
        <v>504</v>
      </c>
      <c r="J347" s="548" t="s">
        <v>504</v>
      </c>
      <c r="K347" s="548" t="s">
        <v>504</v>
      </c>
    </row>
    <row r="348" spans="1:11" x14ac:dyDescent="0.3">
      <c r="A348" t="s">
        <v>793</v>
      </c>
      <c r="D348" s="548" t="s">
        <v>504</v>
      </c>
      <c r="E348" s="548" t="s">
        <v>504</v>
      </c>
      <c r="F348" s="548" t="s">
        <v>504</v>
      </c>
      <c r="G348" s="548" t="s">
        <v>504</v>
      </c>
      <c r="H348" s="548" t="s">
        <v>504</v>
      </c>
      <c r="I348" s="548" t="s">
        <v>504</v>
      </c>
      <c r="J348" s="548" t="s">
        <v>504</v>
      </c>
      <c r="K348" s="548" t="s">
        <v>504</v>
      </c>
    </row>
    <row r="349" spans="1:11" x14ac:dyDescent="0.3">
      <c r="A349" t="s">
        <v>794</v>
      </c>
      <c r="D349" s="548" t="s">
        <v>504</v>
      </c>
      <c r="E349" s="548" t="s">
        <v>504</v>
      </c>
      <c r="F349" s="548" t="s">
        <v>504</v>
      </c>
      <c r="G349" s="548" t="s">
        <v>504</v>
      </c>
      <c r="H349" s="548" t="s">
        <v>504</v>
      </c>
      <c r="I349" s="548" t="s">
        <v>504</v>
      </c>
      <c r="J349" s="548" t="s">
        <v>504</v>
      </c>
      <c r="K349" s="548" t="s">
        <v>504</v>
      </c>
    </row>
    <row r="350" spans="1:11" x14ac:dyDescent="0.3">
      <c r="A350" t="s">
        <v>795</v>
      </c>
      <c r="D350" s="548" t="s">
        <v>504</v>
      </c>
      <c r="E350" s="548" t="s">
        <v>504</v>
      </c>
      <c r="F350" s="548" t="s">
        <v>504</v>
      </c>
      <c r="G350" s="548" t="s">
        <v>504</v>
      </c>
      <c r="H350" s="548" t="s">
        <v>504</v>
      </c>
      <c r="I350" s="548" t="s">
        <v>504</v>
      </c>
      <c r="J350" s="548" t="s">
        <v>504</v>
      </c>
      <c r="K350" s="548" t="s">
        <v>504</v>
      </c>
    </row>
    <row r="351" spans="1:11" x14ac:dyDescent="0.3">
      <c r="A351" t="s">
        <v>796</v>
      </c>
      <c r="D351" s="548" t="s">
        <v>504</v>
      </c>
      <c r="E351" s="548" t="s">
        <v>504</v>
      </c>
      <c r="F351" s="548" t="s">
        <v>504</v>
      </c>
      <c r="G351" s="548" t="s">
        <v>504</v>
      </c>
      <c r="H351" s="548" t="s">
        <v>504</v>
      </c>
      <c r="I351" s="548" t="s">
        <v>504</v>
      </c>
      <c r="J351" s="548" t="s">
        <v>504</v>
      </c>
      <c r="K351" s="548" t="s">
        <v>504</v>
      </c>
    </row>
    <row r="352" spans="1:11" x14ac:dyDescent="0.3">
      <c r="A352" t="s">
        <v>797</v>
      </c>
      <c r="D352" s="548" t="s">
        <v>504</v>
      </c>
      <c r="E352" s="548" t="s">
        <v>504</v>
      </c>
      <c r="F352" s="548" t="s">
        <v>504</v>
      </c>
      <c r="G352" s="548" t="s">
        <v>504</v>
      </c>
      <c r="H352" s="548" t="s">
        <v>504</v>
      </c>
      <c r="I352" s="548" t="s">
        <v>504</v>
      </c>
      <c r="J352" s="548" t="s">
        <v>504</v>
      </c>
      <c r="K352" s="548" t="s">
        <v>504</v>
      </c>
    </row>
    <row r="353" spans="1:11" x14ac:dyDescent="0.3">
      <c r="A353" t="s">
        <v>798</v>
      </c>
      <c r="D353" s="548" t="s">
        <v>504</v>
      </c>
      <c r="E353" s="548" t="s">
        <v>504</v>
      </c>
      <c r="F353" s="548" t="s">
        <v>504</v>
      </c>
      <c r="G353" s="548" t="s">
        <v>504</v>
      </c>
      <c r="H353" s="548" t="s">
        <v>504</v>
      </c>
      <c r="I353" s="548" t="s">
        <v>504</v>
      </c>
      <c r="J353" s="548" t="s">
        <v>504</v>
      </c>
      <c r="K353" s="548" t="s">
        <v>504</v>
      </c>
    </row>
    <row r="354" spans="1:11" x14ac:dyDescent="0.3">
      <c r="A354" t="s">
        <v>799</v>
      </c>
      <c r="D354" s="545" t="s">
        <v>504</v>
      </c>
      <c r="E354" s="546" t="s">
        <v>504</v>
      </c>
      <c r="F354" s="546" t="s">
        <v>504</v>
      </c>
      <c r="G354" s="546" t="s">
        <v>504</v>
      </c>
      <c r="H354" s="547" t="s">
        <v>504</v>
      </c>
    </row>
    <row r="355" spans="1:11" x14ac:dyDescent="0.3">
      <c r="A355" t="s">
        <v>800</v>
      </c>
      <c r="D355" s="548" t="s">
        <v>504</v>
      </c>
      <c r="E355" s="548" t="s">
        <v>504</v>
      </c>
      <c r="F355" s="548" t="s">
        <v>504</v>
      </c>
      <c r="G355" s="548" t="s">
        <v>504</v>
      </c>
      <c r="H355" s="548" t="s">
        <v>504</v>
      </c>
      <c r="I355" s="548" t="s">
        <v>504</v>
      </c>
      <c r="J355" s="548" t="s">
        <v>504</v>
      </c>
      <c r="K355" s="548" t="s">
        <v>504</v>
      </c>
    </row>
    <row r="356" spans="1:11" x14ac:dyDescent="0.3">
      <c r="A356" t="s">
        <v>801</v>
      </c>
      <c r="D356" s="548" t="s">
        <v>504</v>
      </c>
      <c r="E356" s="548" t="s">
        <v>504</v>
      </c>
      <c r="F356" s="548" t="s">
        <v>504</v>
      </c>
      <c r="G356" s="548" t="s">
        <v>504</v>
      </c>
      <c r="H356" s="548" t="s">
        <v>504</v>
      </c>
      <c r="I356" s="548" t="s">
        <v>504</v>
      </c>
      <c r="J356" s="548" t="s">
        <v>504</v>
      </c>
      <c r="K356" s="548" t="s">
        <v>504</v>
      </c>
    </row>
    <row r="357" spans="1:11" x14ac:dyDescent="0.3">
      <c r="A357" t="s">
        <v>802</v>
      </c>
      <c r="D357" s="548" t="s">
        <v>504</v>
      </c>
      <c r="E357" s="548" t="s">
        <v>504</v>
      </c>
      <c r="F357" s="548" t="s">
        <v>504</v>
      </c>
      <c r="G357" s="548" t="s">
        <v>504</v>
      </c>
      <c r="H357" s="548" t="s">
        <v>504</v>
      </c>
      <c r="I357" s="548" t="s">
        <v>504</v>
      </c>
      <c r="J357" s="548" t="s">
        <v>504</v>
      </c>
      <c r="K357" s="548" t="s">
        <v>504</v>
      </c>
    </row>
    <row r="358" spans="1:11" x14ac:dyDescent="0.3">
      <c r="A358" t="s">
        <v>803</v>
      </c>
      <c r="D358" s="548" t="s">
        <v>504</v>
      </c>
      <c r="E358" s="548" t="s">
        <v>504</v>
      </c>
      <c r="F358" s="548" t="s">
        <v>504</v>
      </c>
      <c r="G358" s="548" t="s">
        <v>504</v>
      </c>
      <c r="H358" s="548" t="s">
        <v>504</v>
      </c>
      <c r="I358" s="548" t="s">
        <v>504</v>
      </c>
      <c r="J358" s="548" t="s">
        <v>504</v>
      </c>
      <c r="K358" s="548" t="s">
        <v>504</v>
      </c>
    </row>
    <row r="359" spans="1:11" x14ac:dyDescent="0.3">
      <c r="A359" t="s">
        <v>804</v>
      </c>
      <c r="D359" s="548" t="s">
        <v>504</v>
      </c>
      <c r="E359" s="548" t="s">
        <v>504</v>
      </c>
      <c r="F359" s="548" t="s">
        <v>504</v>
      </c>
      <c r="G359" s="548" t="s">
        <v>504</v>
      </c>
      <c r="H359" s="548" t="s">
        <v>504</v>
      </c>
      <c r="I359" s="548" t="s">
        <v>504</v>
      </c>
      <c r="J359" s="548" t="s">
        <v>504</v>
      </c>
      <c r="K359" s="548" t="s">
        <v>504</v>
      </c>
    </row>
    <row r="360" spans="1:11" x14ac:dyDescent="0.3">
      <c r="A360" t="s">
        <v>805</v>
      </c>
      <c r="D360" s="548" t="s">
        <v>504</v>
      </c>
      <c r="E360" s="548" t="s">
        <v>504</v>
      </c>
      <c r="F360" s="548" t="s">
        <v>504</v>
      </c>
      <c r="G360" s="548" t="s">
        <v>504</v>
      </c>
      <c r="H360" s="548" t="s">
        <v>504</v>
      </c>
      <c r="I360" s="548" t="s">
        <v>504</v>
      </c>
      <c r="J360" s="548" t="s">
        <v>504</v>
      </c>
      <c r="K360" s="548" t="s">
        <v>504</v>
      </c>
    </row>
    <row r="361" spans="1:11" x14ac:dyDescent="0.3">
      <c r="A361" t="s">
        <v>806</v>
      </c>
      <c r="D361" s="548" t="s">
        <v>504</v>
      </c>
      <c r="E361" s="548" t="s">
        <v>504</v>
      </c>
      <c r="F361" s="548" t="s">
        <v>504</v>
      </c>
      <c r="G361" s="548" t="s">
        <v>504</v>
      </c>
      <c r="H361" s="548" t="s">
        <v>504</v>
      </c>
      <c r="I361" s="548" t="s">
        <v>504</v>
      </c>
      <c r="J361" s="548" t="s">
        <v>504</v>
      </c>
      <c r="K361" s="548" t="s">
        <v>504</v>
      </c>
    </row>
    <row r="362" spans="1:11" x14ac:dyDescent="0.3">
      <c r="A362" t="s">
        <v>807</v>
      </c>
      <c r="D362" s="548" t="s">
        <v>504</v>
      </c>
      <c r="E362" s="548" t="s">
        <v>504</v>
      </c>
      <c r="F362" s="548" t="s">
        <v>504</v>
      </c>
      <c r="G362" s="548" t="s">
        <v>504</v>
      </c>
      <c r="H362" s="548" t="s">
        <v>504</v>
      </c>
      <c r="I362" s="548" t="s">
        <v>504</v>
      </c>
      <c r="J362" s="548" t="s">
        <v>504</v>
      </c>
      <c r="K362" s="548" t="s">
        <v>504</v>
      </c>
    </row>
    <row r="363" spans="1:11" x14ac:dyDescent="0.3">
      <c r="A363" t="s">
        <v>808</v>
      </c>
      <c r="D363" s="548" t="s">
        <v>504</v>
      </c>
      <c r="E363" s="548" t="s">
        <v>504</v>
      </c>
      <c r="F363" s="548" t="s">
        <v>504</v>
      </c>
      <c r="G363" s="548" t="s">
        <v>504</v>
      </c>
      <c r="H363" s="548" t="s">
        <v>504</v>
      </c>
      <c r="I363" s="548" t="s">
        <v>504</v>
      </c>
      <c r="J363" s="548" t="s">
        <v>504</v>
      </c>
      <c r="K363" s="548" t="s">
        <v>504</v>
      </c>
    </row>
    <row r="364" spans="1:11" x14ac:dyDescent="0.3">
      <c r="A364" t="s">
        <v>809</v>
      </c>
      <c r="D364" s="548" t="s">
        <v>504</v>
      </c>
      <c r="E364" s="548" t="s">
        <v>504</v>
      </c>
      <c r="F364" s="548" t="s">
        <v>504</v>
      </c>
      <c r="G364" s="548" t="s">
        <v>504</v>
      </c>
      <c r="H364" s="548" t="s">
        <v>504</v>
      </c>
      <c r="I364" s="548" t="s">
        <v>504</v>
      </c>
      <c r="J364" s="548" t="s">
        <v>504</v>
      </c>
      <c r="K364" s="548" t="s">
        <v>504</v>
      </c>
    </row>
    <row r="365" spans="1:11" x14ac:dyDescent="0.3">
      <c r="A365" t="s">
        <v>810</v>
      </c>
      <c r="D365" s="548" t="s">
        <v>504</v>
      </c>
      <c r="E365" s="548" t="s">
        <v>504</v>
      </c>
      <c r="F365" s="548" t="s">
        <v>504</v>
      </c>
      <c r="G365" s="548" t="s">
        <v>504</v>
      </c>
      <c r="H365" s="548" t="s">
        <v>504</v>
      </c>
      <c r="I365" s="548" t="s">
        <v>504</v>
      </c>
      <c r="J365" s="548" t="s">
        <v>504</v>
      </c>
      <c r="K365" s="548" t="s">
        <v>504</v>
      </c>
    </row>
    <row r="366" spans="1:11" x14ac:dyDescent="0.3">
      <c r="A366" t="s">
        <v>811</v>
      </c>
      <c r="D366" s="548" t="s">
        <v>504</v>
      </c>
      <c r="E366" s="548" t="s">
        <v>504</v>
      </c>
      <c r="F366" s="548" t="s">
        <v>504</v>
      </c>
      <c r="G366" s="548" t="s">
        <v>504</v>
      </c>
      <c r="H366" s="548" t="s">
        <v>504</v>
      </c>
      <c r="I366" s="548" t="s">
        <v>504</v>
      </c>
      <c r="J366" s="548" t="s">
        <v>504</v>
      </c>
      <c r="K366" s="548" t="s">
        <v>504</v>
      </c>
    </row>
    <row r="367" spans="1:11" x14ac:dyDescent="0.3">
      <c r="A367" t="s">
        <v>812</v>
      </c>
      <c r="D367" s="548" t="s">
        <v>504</v>
      </c>
      <c r="E367" s="548" t="s">
        <v>504</v>
      </c>
      <c r="F367" s="548" t="s">
        <v>504</v>
      </c>
      <c r="G367" s="548" t="s">
        <v>504</v>
      </c>
      <c r="H367" s="548" t="s">
        <v>504</v>
      </c>
      <c r="I367" s="548" t="s">
        <v>504</v>
      </c>
      <c r="J367" s="548" t="s">
        <v>504</v>
      </c>
      <c r="K367" s="548" t="s">
        <v>504</v>
      </c>
    </row>
    <row r="368" spans="1:11" x14ac:dyDescent="0.3">
      <c r="A368" t="s">
        <v>813</v>
      </c>
      <c r="D368" s="548" t="s">
        <v>504</v>
      </c>
      <c r="E368" s="548" t="s">
        <v>504</v>
      </c>
      <c r="F368" s="548" t="s">
        <v>504</v>
      </c>
      <c r="G368" s="548" t="s">
        <v>504</v>
      </c>
      <c r="H368" s="548" t="s">
        <v>504</v>
      </c>
      <c r="I368" s="548" t="s">
        <v>504</v>
      </c>
      <c r="J368" s="548" t="s">
        <v>504</v>
      </c>
      <c r="K368" s="548" t="s">
        <v>504</v>
      </c>
    </row>
    <row r="369" spans="1:11" x14ac:dyDescent="0.3">
      <c r="A369" t="s">
        <v>814</v>
      </c>
      <c r="D369" s="548" t="s">
        <v>504</v>
      </c>
      <c r="E369" s="548" t="s">
        <v>504</v>
      </c>
      <c r="F369" s="548" t="s">
        <v>504</v>
      </c>
      <c r="G369" s="548" t="s">
        <v>504</v>
      </c>
      <c r="H369" s="548" t="s">
        <v>504</v>
      </c>
      <c r="I369" s="548" t="s">
        <v>504</v>
      </c>
      <c r="J369" s="548" t="s">
        <v>504</v>
      </c>
      <c r="K369" s="548" t="s">
        <v>504</v>
      </c>
    </row>
    <row r="370" spans="1:11" x14ac:dyDescent="0.3">
      <c r="A370" t="s">
        <v>815</v>
      </c>
      <c r="D370" s="548" t="s">
        <v>504</v>
      </c>
      <c r="E370" s="548" t="s">
        <v>504</v>
      </c>
      <c r="F370" s="548" t="s">
        <v>504</v>
      </c>
      <c r="G370" s="548" t="s">
        <v>504</v>
      </c>
      <c r="H370" s="548" t="s">
        <v>504</v>
      </c>
      <c r="I370" s="548" t="s">
        <v>504</v>
      </c>
      <c r="J370" s="548" t="s">
        <v>504</v>
      </c>
      <c r="K370" s="548" t="s">
        <v>504</v>
      </c>
    </row>
    <row r="371" spans="1:11" x14ac:dyDescent="0.3">
      <c r="A371" t="s">
        <v>816</v>
      </c>
      <c r="D371" s="548" t="s">
        <v>504</v>
      </c>
      <c r="E371" s="548" t="s">
        <v>504</v>
      </c>
      <c r="F371" s="548" t="s">
        <v>504</v>
      </c>
      <c r="G371" s="548" t="s">
        <v>504</v>
      </c>
      <c r="H371" s="548" t="s">
        <v>504</v>
      </c>
      <c r="I371" s="548" t="s">
        <v>504</v>
      </c>
      <c r="J371" s="548" t="s">
        <v>504</v>
      </c>
      <c r="K371" s="548" t="s">
        <v>504</v>
      </c>
    </row>
    <row r="372" spans="1:11" x14ac:dyDescent="0.3">
      <c r="A372" t="s">
        <v>817</v>
      </c>
      <c r="D372" s="548" t="s">
        <v>504</v>
      </c>
      <c r="E372" s="548" t="s">
        <v>504</v>
      </c>
      <c r="F372" s="548" t="s">
        <v>504</v>
      </c>
      <c r="G372" s="548" t="s">
        <v>504</v>
      </c>
      <c r="H372" s="548" t="s">
        <v>504</v>
      </c>
      <c r="I372" s="548" t="s">
        <v>504</v>
      </c>
      <c r="J372" s="548" t="s">
        <v>504</v>
      </c>
      <c r="K372" s="548" t="s">
        <v>504</v>
      </c>
    </row>
    <row r="373" spans="1:11" x14ac:dyDescent="0.3">
      <c r="A373" t="s">
        <v>818</v>
      </c>
      <c r="D373" s="548" t="s">
        <v>504</v>
      </c>
      <c r="E373" s="548" t="s">
        <v>504</v>
      </c>
      <c r="F373" s="548" t="s">
        <v>504</v>
      </c>
      <c r="G373" s="548" t="s">
        <v>504</v>
      </c>
      <c r="H373" s="548" t="s">
        <v>504</v>
      </c>
      <c r="I373" s="548" t="s">
        <v>504</v>
      </c>
      <c r="J373" s="548" t="s">
        <v>504</v>
      </c>
      <c r="K373" s="548" t="s">
        <v>504</v>
      </c>
    </row>
    <row r="374" spans="1:11" x14ac:dyDescent="0.3">
      <c r="A374" t="s">
        <v>819</v>
      </c>
      <c r="D374" s="548" t="s">
        <v>504</v>
      </c>
      <c r="E374" s="548" t="s">
        <v>504</v>
      </c>
      <c r="F374" s="548" t="s">
        <v>504</v>
      </c>
      <c r="G374" s="548" t="s">
        <v>504</v>
      </c>
      <c r="H374" s="548" t="s">
        <v>504</v>
      </c>
      <c r="I374" s="548" t="s">
        <v>504</v>
      </c>
      <c r="J374" s="548" t="s">
        <v>504</v>
      </c>
      <c r="K374" s="548" t="s">
        <v>504</v>
      </c>
    </row>
    <row r="375" spans="1:11" x14ac:dyDescent="0.3">
      <c r="A375" t="s">
        <v>820</v>
      </c>
      <c r="D375" s="548" t="s">
        <v>504</v>
      </c>
      <c r="E375" s="548" t="s">
        <v>504</v>
      </c>
      <c r="F375" s="548" t="s">
        <v>504</v>
      </c>
      <c r="G375" s="548" t="s">
        <v>504</v>
      </c>
      <c r="H375" s="548" t="s">
        <v>504</v>
      </c>
      <c r="I375" s="548" t="s">
        <v>504</v>
      </c>
      <c r="J375" s="548" t="s">
        <v>504</v>
      </c>
      <c r="K375" s="548" t="s">
        <v>504</v>
      </c>
    </row>
    <row r="376" spans="1:11" x14ac:dyDescent="0.3">
      <c r="A376" t="s">
        <v>821</v>
      </c>
      <c r="D376" s="548" t="s">
        <v>504</v>
      </c>
      <c r="E376" s="548" t="s">
        <v>504</v>
      </c>
      <c r="F376" s="548" t="s">
        <v>504</v>
      </c>
      <c r="G376" s="548" t="s">
        <v>504</v>
      </c>
      <c r="H376" s="548" t="s">
        <v>504</v>
      </c>
      <c r="I376" s="548" t="s">
        <v>504</v>
      </c>
      <c r="J376" s="548" t="s">
        <v>504</v>
      </c>
      <c r="K376" s="548" t="s">
        <v>504</v>
      </c>
    </row>
    <row r="377" spans="1:11" x14ac:dyDescent="0.3">
      <c r="A377" t="s">
        <v>822</v>
      </c>
      <c r="D377" s="548" t="s">
        <v>504</v>
      </c>
      <c r="E377" s="548" t="s">
        <v>504</v>
      </c>
      <c r="F377" s="548" t="s">
        <v>504</v>
      </c>
      <c r="G377" s="548" t="s">
        <v>504</v>
      </c>
      <c r="H377" s="548" t="s">
        <v>504</v>
      </c>
      <c r="I377" s="548" t="s">
        <v>504</v>
      </c>
      <c r="J377" s="548" t="s">
        <v>504</v>
      </c>
      <c r="K377" s="548" t="s">
        <v>504</v>
      </c>
    </row>
    <row r="378" spans="1:11" x14ac:dyDescent="0.3">
      <c r="A378" t="s">
        <v>823</v>
      </c>
      <c r="D378" s="548" t="s">
        <v>504</v>
      </c>
      <c r="E378" s="548" t="s">
        <v>504</v>
      </c>
      <c r="F378" s="548" t="s">
        <v>504</v>
      </c>
      <c r="G378" s="548" t="s">
        <v>504</v>
      </c>
      <c r="H378" s="548" t="s">
        <v>504</v>
      </c>
      <c r="I378" s="548" t="s">
        <v>504</v>
      </c>
      <c r="J378" s="548" t="s">
        <v>504</v>
      </c>
      <c r="K378" s="548" t="s">
        <v>504</v>
      </c>
    </row>
    <row r="379" spans="1:11" x14ac:dyDescent="0.3">
      <c r="A379" t="s">
        <v>824</v>
      </c>
      <c r="D379" s="548" t="s">
        <v>504</v>
      </c>
      <c r="E379" s="548" t="s">
        <v>504</v>
      </c>
      <c r="F379" s="548" t="s">
        <v>504</v>
      </c>
      <c r="G379" s="548" t="s">
        <v>504</v>
      </c>
      <c r="H379" s="548" t="s">
        <v>504</v>
      </c>
      <c r="I379" s="548" t="s">
        <v>504</v>
      </c>
      <c r="J379" s="548" t="s">
        <v>504</v>
      </c>
      <c r="K379" s="548" t="s">
        <v>504</v>
      </c>
    </row>
    <row r="380" spans="1:11" x14ac:dyDescent="0.3">
      <c r="A380" t="s">
        <v>825</v>
      </c>
      <c r="D380" s="548" t="s">
        <v>504</v>
      </c>
      <c r="E380" s="548" t="s">
        <v>504</v>
      </c>
      <c r="F380" s="548" t="s">
        <v>504</v>
      </c>
      <c r="G380" s="548" t="s">
        <v>504</v>
      </c>
      <c r="H380" s="548" t="s">
        <v>504</v>
      </c>
      <c r="I380" s="548" t="s">
        <v>504</v>
      </c>
      <c r="J380" s="548" t="s">
        <v>504</v>
      </c>
      <c r="K380" s="548" t="s">
        <v>504</v>
      </c>
    </row>
    <row r="381" spans="1:11" x14ac:dyDescent="0.3">
      <c r="A381" t="s">
        <v>826</v>
      </c>
      <c r="D381" s="548" t="s">
        <v>504</v>
      </c>
      <c r="E381" s="548" t="s">
        <v>504</v>
      </c>
      <c r="F381" s="548" t="s">
        <v>504</v>
      </c>
      <c r="G381" s="548" t="s">
        <v>504</v>
      </c>
      <c r="H381" s="548" t="s">
        <v>504</v>
      </c>
      <c r="I381" s="548" t="s">
        <v>504</v>
      </c>
      <c r="J381" s="548" t="s">
        <v>504</v>
      </c>
      <c r="K381" s="548" t="s">
        <v>504</v>
      </c>
    </row>
    <row r="382" spans="1:11" x14ac:dyDescent="0.3">
      <c r="A382" t="s">
        <v>827</v>
      </c>
      <c r="D382" s="548" t="s">
        <v>504</v>
      </c>
      <c r="E382" s="548" t="s">
        <v>504</v>
      </c>
      <c r="F382" s="548" t="s">
        <v>504</v>
      </c>
      <c r="G382" s="548" t="s">
        <v>504</v>
      </c>
      <c r="H382" s="548" t="s">
        <v>504</v>
      </c>
      <c r="I382" s="548" t="s">
        <v>504</v>
      </c>
      <c r="J382" s="548" t="s">
        <v>504</v>
      </c>
      <c r="K382" s="548" t="s">
        <v>504</v>
      </c>
    </row>
    <row r="383" spans="1:11" x14ac:dyDescent="0.3">
      <c r="A383" t="s">
        <v>828</v>
      </c>
      <c r="D383" s="548" t="s">
        <v>504</v>
      </c>
      <c r="E383" s="548" t="s">
        <v>504</v>
      </c>
      <c r="F383" s="548" t="s">
        <v>504</v>
      </c>
      <c r="G383" s="548" t="s">
        <v>504</v>
      </c>
      <c r="H383" s="548" t="s">
        <v>504</v>
      </c>
      <c r="I383" s="548" t="s">
        <v>504</v>
      </c>
      <c r="J383" s="548" t="s">
        <v>504</v>
      </c>
      <c r="K383" s="548" t="s">
        <v>504</v>
      </c>
    </row>
    <row r="384" spans="1:11" x14ac:dyDescent="0.3">
      <c r="A384" t="s">
        <v>829</v>
      </c>
      <c r="D384" s="548" t="s">
        <v>504</v>
      </c>
      <c r="E384" s="548" t="s">
        <v>504</v>
      </c>
      <c r="F384" s="548" t="s">
        <v>504</v>
      </c>
      <c r="G384" s="548" t="s">
        <v>504</v>
      </c>
      <c r="H384" s="548" t="s">
        <v>504</v>
      </c>
      <c r="I384" s="548" t="s">
        <v>504</v>
      </c>
      <c r="J384" s="548" t="s">
        <v>504</v>
      </c>
      <c r="K384" s="548" t="s">
        <v>504</v>
      </c>
    </row>
    <row r="385" spans="1:11" x14ac:dyDescent="0.3">
      <c r="A385" t="s">
        <v>830</v>
      </c>
      <c r="D385" s="548" t="s">
        <v>504</v>
      </c>
      <c r="E385" s="548" t="s">
        <v>504</v>
      </c>
      <c r="F385" s="548" t="s">
        <v>504</v>
      </c>
      <c r="G385" s="548" t="s">
        <v>504</v>
      </c>
      <c r="H385" s="548" t="s">
        <v>504</v>
      </c>
      <c r="I385" s="548" t="s">
        <v>504</v>
      </c>
      <c r="J385" s="548" t="s">
        <v>504</v>
      </c>
      <c r="K385" s="548" t="s">
        <v>504</v>
      </c>
    </row>
    <row r="386" spans="1:11" x14ac:dyDescent="0.3">
      <c r="A386" t="s">
        <v>831</v>
      </c>
      <c r="D386" s="548" t="s">
        <v>504</v>
      </c>
      <c r="E386" s="548" t="s">
        <v>504</v>
      </c>
      <c r="F386" s="548" t="s">
        <v>504</v>
      </c>
      <c r="G386" s="548" t="s">
        <v>504</v>
      </c>
      <c r="H386" s="548" t="s">
        <v>504</v>
      </c>
      <c r="I386" s="548" t="s">
        <v>504</v>
      </c>
      <c r="J386" s="548" t="s">
        <v>504</v>
      </c>
      <c r="K386" s="548" t="s">
        <v>504</v>
      </c>
    </row>
    <row r="387" spans="1:11" x14ac:dyDescent="0.3">
      <c r="A387" t="s">
        <v>832</v>
      </c>
      <c r="D387" s="548" t="s">
        <v>504</v>
      </c>
      <c r="E387" s="548" t="s">
        <v>504</v>
      </c>
      <c r="F387" s="548" t="s">
        <v>504</v>
      </c>
      <c r="G387" s="548" t="s">
        <v>504</v>
      </c>
      <c r="H387" s="548" t="s">
        <v>504</v>
      </c>
      <c r="I387" s="548" t="s">
        <v>504</v>
      </c>
      <c r="J387" s="548" t="s">
        <v>504</v>
      </c>
      <c r="K387" s="548" t="s">
        <v>504</v>
      </c>
    </row>
    <row r="388" spans="1:11" x14ac:dyDescent="0.3">
      <c r="A388" t="s">
        <v>833</v>
      </c>
      <c r="D388" s="548" t="s">
        <v>504</v>
      </c>
      <c r="E388" s="548" t="s">
        <v>504</v>
      </c>
      <c r="F388" s="548" t="s">
        <v>504</v>
      </c>
      <c r="G388" s="548" t="s">
        <v>504</v>
      </c>
      <c r="H388" s="548" t="s">
        <v>504</v>
      </c>
      <c r="I388" s="548" t="s">
        <v>504</v>
      </c>
      <c r="J388" s="548" t="s">
        <v>504</v>
      </c>
      <c r="K388" s="548" t="s">
        <v>504</v>
      </c>
    </row>
    <row r="389" spans="1:11" x14ac:dyDescent="0.3">
      <c r="A389" t="s">
        <v>834</v>
      </c>
      <c r="D389" s="548" t="s">
        <v>504</v>
      </c>
      <c r="E389" s="548" t="s">
        <v>504</v>
      </c>
      <c r="F389" s="548" t="s">
        <v>504</v>
      </c>
      <c r="G389" s="548" t="s">
        <v>504</v>
      </c>
      <c r="H389" s="548" t="s">
        <v>504</v>
      </c>
      <c r="I389" s="548" t="s">
        <v>504</v>
      </c>
      <c r="J389" s="548" t="s">
        <v>504</v>
      </c>
      <c r="K389" s="548" t="s">
        <v>504</v>
      </c>
    </row>
    <row r="390" spans="1:11" x14ac:dyDescent="0.3">
      <c r="A390" t="s">
        <v>835</v>
      </c>
      <c r="D390" s="548" t="s">
        <v>504</v>
      </c>
      <c r="E390" s="548" t="s">
        <v>504</v>
      </c>
      <c r="F390" s="548" t="s">
        <v>504</v>
      </c>
      <c r="G390" s="548" t="s">
        <v>504</v>
      </c>
      <c r="H390" s="548" t="s">
        <v>504</v>
      </c>
      <c r="I390" s="548" t="s">
        <v>504</v>
      </c>
      <c r="J390" s="548" t="s">
        <v>504</v>
      </c>
      <c r="K390" s="548" t="s">
        <v>504</v>
      </c>
    </row>
    <row r="391" spans="1:11" x14ac:dyDescent="0.3">
      <c r="A391" t="s">
        <v>836</v>
      </c>
      <c r="D391" s="548" t="s">
        <v>504</v>
      </c>
      <c r="E391" s="548" t="s">
        <v>504</v>
      </c>
      <c r="F391" s="548" t="s">
        <v>504</v>
      </c>
      <c r="G391" s="548" t="s">
        <v>504</v>
      </c>
      <c r="H391" s="548" t="s">
        <v>504</v>
      </c>
      <c r="I391" s="548" t="s">
        <v>504</v>
      </c>
      <c r="J391" s="548" t="s">
        <v>504</v>
      </c>
      <c r="K391" s="548" t="s">
        <v>504</v>
      </c>
    </row>
    <row r="392" spans="1:11" x14ac:dyDescent="0.3">
      <c r="A392" t="s">
        <v>837</v>
      </c>
      <c r="D392" s="548" t="s">
        <v>504</v>
      </c>
      <c r="E392" s="548" t="s">
        <v>504</v>
      </c>
      <c r="F392" s="548" t="s">
        <v>504</v>
      </c>
      <c r="G392" s="548" t="s">
        <v>504</v>
      </c>
      <c r="H392" s="548" t="s">
        <v>504</v>
      </c>
      <c r="I392" s="548" t="s">
        <v>504</v>
      </c>
      <c r="J392" s="548" t="s">
        <v>504</v>
      </c>
      <c r="K392" s="548" t="s">
        <v>504</v>
      </c>
    </row>
    <row r="393" spans="1:11" x14ac:dyDescent="0.3">
      <c r="A393" t="s">
        <v>838</v>
      </c>
      <c r="D393" s="548" t="s">
        <v>504</v>
      </c>
      <c r="E393" s="548" t="s">
        <v>504</v>
      </c>
      <c r="F393" s="548" t="s">
        <v>504</v>
      </c>
      <c r="G393" s="548" t="s">
        <v>504</v>
      </c>
      <c r="H393" s="548" t="s">
        <v>504</v>
      </c>
      <c r="I393" s="548" t="s">
        <v>504</v>
      </c>
      <c r="J393" s="548" t="s">
        <v>504</v>
      </c>
      <c r="K393" s="548" t="s">
        <v>504</v>
      </c>
    </row>
    <row r="394" spans="1:11" x14ac:dyDescent="0.3">
      <c r="A394" t="s">
        <v>839</v>
      </c>
      <c r="D394" s="548" t="s">
        <v>504</v>
      </c>
      <c r="E394" s="548" t="s">
        <v>504</v>
      </c>
      <c r="F394" s="548" t="s">
        <v>504</v>
      </c>
      <c r="G394" s="548" t="s">
        <v>504</v>
      </c>
      <c r="H394" s="548" t="s">
        <v>504</v>
      </c>
      <c r="I394" s="548" t="s">
        <v>504</v>
      </c>
      <c r="J394" s="548" t="s">
        <v>504</v>
      </c>
      <c r="K394" s="548" t="s">
        <v>504</v>
      </c>
    </row>
    <row r="395" spans="1:11" x14ac:dyDescent="0.3">
      <c r="A395" t="s">
        <v>840</v>
      </c>
      <c r="D395" s="548" t="s">
        <v>504</v>
      </c>
      <c r="E395" s="548" t="s">
        <v>504</v>
      </c>
      <c r="F395" s="548" t="s">
        <v>504</v>
      </c>
      <c r="G395" s="548" t="s">
        <v>504</v>
      </c>
      <c r="H395" s="548" t="s">
        <v>504</v>
      </c>
      <c r="I395" s="548" t="s">
        <v>504</v>
      </c>
      <c r="J395" s="548" t="s">
        <v>504</v>
      </c>
      <c r="K395" s="548" t="s">
        <v>504</v>
      </c>
    </row>
    <row r="396" spans="1:11" x14ac:dyDescent="0.3">
      <c r="A396" t="s">
        <v>841</v>
      </c>
      <c r="D396" s="548" t="s">
        <v>504</v>
      </c>
      <c r="E396" s="548" t="s">
        <v>504</v>
      </c>
      <c r="F396" s="548" t="s">
        <v>504</v>
      </c>
      <c r="G396" s="548" t="s">
        <v>504</v>
      </c>
      <c r="H396" s="548" t="s">
        <v>504</v>
      </c>
      <c r="I396" s="548" t="s">
        <v>504</v>
      </c>
      <c r="J396" s="548" t="s">
        <v>504</v>
      </c>
      <c r="K396" s="548" t="s">
        <v>504</v>
      </c>
    </row>
    <row r="397" spans="1:11" x14ac:dyDescent="0.3">
      <c r="A397" t="s">
        <v>842</v>
      </c>
      <c r="D397" s="548" t="s">
        <v>504</v>
      </c>
      <c r="E397" s="548" t="s">
        <v>504</v>
      </c>
      <c r="F397" s="548" t="s">
        <v>504</v>
      </c>
      <c r="G397" s="548" t="s">
        <v>504</v>
      </c>
      <c r="H397" s="548" t="s">
        <v>504</v>
      </c>
      <c r="I397" s="548" t="s">
        <v>504</v>
      </c>
      <c r="J397" s="548" t="s">
        <v>504</v>
      </c>
      <c r="K397" s="548" t="s">
        <v>504</v>
      </c>
    </row>
    <row r="398" spans="1:11" x14ac:dyDescent="0.3">
      <c r="A398" t="s">
        <v>843</v>
      </c>
      <c r="D398" s="548" t="s">
        <v>504</v>
      </c>
      <c r="E398" s="548" t="s">
        <v>504</v>
      </c>
      <c r="F398" s="548" t="s">
        <v>504</v>
      </c>
      <c r="G398" s="548" t="s">
        <v>504</v>
      </c>
      <c r="H398" s="548" t="s">
        <v>504</v>
      </c>
      <c r="I398" s="548" t="s">
        <v>504</v>
      </c>
      <c r="J398" s="548" t="s">
        <v>504</v>
      </c>
      <c r="K398" s="548" t="s">
        <v>504</v>
      </c>
    </row>
    <row r="399" spans="1:11" x14ac:dyDescent="0.3">
      <c r="A399" t="s">
        <v>844</v>
      </c>
      <c r="D399" s="548" t="s">
        <v>504</v>
      </c>
      <c r="E399" s="548" t="s">
        <v>504</v>
      </c>
      <c r="F399" s="548" t="s">
        <v>504</v>
      </c>
      <c r="G399" s="548" t="s">
        <v>504</v>
      </c>
      <c r="H399" s="548" t="s">
        <v>504</v>
      </c>
      <c r="I399" s="548" t="s">
        <v>504</v>
      </c>
      <c r="J399" s="548" t="s">
        <v>504</v>
      </c>
      <c r="K399" s="548" t="s">
        <v>504</v>
      </c>
    </row>
    <row r="400" spans="1:11" x14ac:dyDescent="0.3">
      <c r="A400" t="s">
        <v>845</v>
      </c>
      <c r="D400" s="548" t="s">
        <v>504</v>
      </c>
      <c r="E400" s="548" t="s">
        <v>504</v>
      </c>
      <c r="F400" s="548" t="s">
        <v>504</v>
      </c>
      <c r="G400" s="548" t="s">
        <v>504</v>
      </c>
      <c r="H400" s="548" t="s">
        <v>504</v>
      </c>
      <c r="I400" s="548" t="s">
        <v>504</v>
      </c>
      <c r="J400" s="548" t="s">
        <v>504</v>
      </c>
      <c r="K400" s="548" t="s">
        <v>504</v>
      </c>
    </row>
    <row r="401" spans="1:11" x14ac:dyDescent="0.3">
      <c r="A401" t="s">
        <v>846</v>
      </c>
      <c r="D401" s="548" t="s">
        <v>504</v>
      </c>
      <c r="E401" s="548" t="s">
        <v>504</v>
      </c>
      <c r="F401" s="548" t="s">
        <v>504</v>
      </c>
      <c r="G401" s="548" t="s">
        <v>504</v>
      </c>
      <c r="H401" s="548" t="s">
        <v>504</v>
      </c>
      <c r="I401" s="548" t="s">
        <v>504</v>
      </c>
      <c r="J401" s="548" t="s">
        <v>504</v>
      </c>
      <c r="K401" s="548" t="s">
        <v>504</v>
      </c>
    </row>
    <row r="402" spans="1:11" x14ac:dyDescent="0.3">
      <c r="A402" t="s">
        <v>847</v>
      </c>
      <c r="D402" s="548" t="s">
        <v>504</v>
      </c>
      <c r="E402" s="548" t="s">
        <v>504</v>
      </c>
      <c r="F402" s="548" t="s">
        <v>504</v>
      </c>
      <c r="G402" s="548" t="s">
        <v>504</v>
      </c>
      <c r="H402" s="548" t="s">
        <v>504</v>
      </c>
      <c r="I402" s="548" t="s">
        <v>504</v>
      </c>
      <c r="J402" s="548" t="s">
        <v>504</v>
      </c>
      <c r="K402" s="548" t="s">
        <v>504</v>
      </c>
    </row>
    <row r="403" spans="1:11" x14ac:dyDescent="0.3">
      <c r="A403" t="s">
        <v>848</v>
      </c>
      <c r="D403" s="548" t="s">
        <v>504</v>
      </c>
      <c r="E403" s="548" t="s">
        <v>504</v>
      </c>
      <c r="F403" s="548" t="s">
        <v>504</v>
      </c>
      <c r="G403" s="548" t="s">
        <v>504</v>
      </c>
      <c r="H403" s="548" t="s">
        <v>504</v>
      </c>
      <c r="I403" s="548" t="s">
        <v>504</v>
      </c>
      <c r="J403" s="548" t="s">
        <v>504</v>
      </c>
      <c r="K403" s="548" t="s">
        <v>504</v>
      </c>
    </row>
    <row r="404" spans="1:11" x14ac:dyDescent="0.3">
      <c r="A404" t="s">
        <v>849</v>
      </c>
      <c r="D404" s="548" t="s">
        <v>504</v>
      </c>
      <c r="E404" s="548" t="s">
        <v>504</v>
      </c>
      <c r="F404" s="548" t="s">
        <v>504</v>
      </c>
      <c r="G404" s="548" t="s">
        <v>504</v>
      </c>
      <c r="H404" s="548" t="s">
        <v>504</v>
      </c>
      <c r="I404" s="548" t="s">
        <v>504</v>
      </c>
      <c r="J404" s="548" t="s">
        <v>504</v>
      </c>
      <c r="K404" s="548" t="s">
        <v>504</v>
      </c>
    </row>
    <row r="405" spans="1:11" x14ac:dyDescent="0.3">
      <c r="A405" t="s">
        <v>850</v>
      </c>
      <c r="D405" s="548" t="s">
        <v>504</v>
      </c>
      <c r="E405" s="548" t="s">
        <v>504</v>
      </c>
      <c r="F405" s="548" t="s">
        <v>504</v>
      </c>
      <c r="G405" s="548" t="s">
        <v>504</v>
      </c>
      <c r="H405" s="548" t="s">
        <v>504</v>
      </c>
      <c r="I405" s="548" t="s">
        <v>504</v>
      </c>
      <c r="J405" s="548" t="s">
        <v>504</v>
      </c>
      <c r="K405" s="548" t="s">
        <v>504</v>
      </c>
    </row>
    <row r="406" spans="1:11" x14ac:dyDescent="0.3">
      <c r="A406" t="s">
        <v>851</v>
      </c>
      <c r="D406" s="548" t="s">
        <v>504</v>
      </c>
      <c r="E406" s="548" t="s">
        <v>504</v>
      </c>
      <c r="F406" s="548" t="s">
        <v>504</v>
      </c>
      <c r="G406" s="548" t="s">
        <v>504</v>
      </c>
      <c r="H406" s="548" t="s">
        <v>504</v>
      </c>
      <c r="I406" s="548" t="s">
        <v>504</v>
      </c>
      <c r="J406" s="548" t="s">
        <v>504</v>
      </c>
      <c r="K406" s="548" t="s">
        <v>504</v>
      </c>
    </row>
    <row r="407" spans="1:11" x14ac:dyDescent="0.3">
      <c r="A407" t="s">
        <v>852</v>
      </c>
      <c r="D407" s="548" t="s">
        <v>504</v>
      </c>
      <c r="E407" s="548" t="s">
        <v>504</v>
      </c>
      <c r="F407" s="548" t="s">
        <v>504</v>
      </c>
      <c r="G407" s="548" t="s">
        <v>504</v>
      </c>
      <c r="H407" s="548" t="s">
        <v>504</v>
      </c>
      <c r="I407" s="548" t="s">
        <v>504</v>
      </c>
      <c r="J407" s="548" t="s">
        <v>504</v>
      </c>
      <c r="K407" s="548" t="s">
        <v>504</v>
      </c>
    </row>
    <row r="408" spans="1:11" x14ac:dyDescent="0.3">
      <c r="A408" t="s">
        <v>853</v>
      </c>
      <c r="D408" s="548" t="s">
        <v>504</v>
      </c>
      <c r="E408" s="548" t="s">
        <v>504</v>
      </c>
      <c r="F408" s="548" t="s">
        <v>504</v>
      </c>
      <c r="G408" s="548" t="s">
        <v>504</v>
      </c>
      <c r="H408" s="548" t="s">
        <v>504</v>
      </c>
      <c r="I408" s="548" t="s">
        <v>504</v>
      </c>
      <c r="J408" s="548" t="s">
        <v>504</v>
      </c>
      <c r="K408" s="548" t="s">
        <v>504</v>
      </c>
    </row>
    <row r="409" spans="1:11" x14ac:dyDescent="0.3">
      <c r="A409" t="s">
        <v>854</v>
      </c>
      <c r="D409" s="548" t="s">
        <v>504</v>
      </c>
      <c r="E409" s="548" t="s">
        <v>504</v>
      </c>
      <c r="F409" s="548" t="s">
        <v>504</v>
      </c>
      <c r="G409" s="548" t="s">
        <v>504</v>
      </c>
      <c r="H409" s="548" t="s">
        <v>504</v>
      </c>
      <c r="I409" s="548" t="s">
        <v>504</v>
      </c>
      <c r="J409" s="548" t="s">
        <v>504</v>
      </c>
      <c r="K409" s="548" t="s">
        <v>504</v>
      </c>
    </row>
    <row r="410" spans="1:11" x14ac:dyDescent="0.3">
      <c r="A410" t="s">
        <v>855</v>
      </c>
      <c r="D410" s="548" t="s">
        <v>504</v>
      </c>
      <c r="E410" s="548" t="s">
        <v>504</v>
      </c>
      <c r="F410" s="548" t="s">
        <v>504</v>
      </c>
      <c r="G410" s="548" t="s">
        <v>504</v>
      </c>
      <c r="H410" s="548" t="s">
        <v>504</v>
      </c>
      <c r="I410" s="548" t="s">
        <v>504</v>
      </c>
      <c r="J410" s="548" t="s">
        <v>504</v>
      </c>
      <c r="K410" s="548" t="s">
        <v>504</v>
      </c>
    </row>
    <row r="411" spans="1:11" x14ac:dyDescent="0.3">
      <c r="A411" t="s">
        <v>856</v>
      </c>
      <c r="D411" s="548" t="s">
        <v>504</v>
      </c>
      <c r="E411" s="548" t="s">
        <v>504</v>
      </c>
      <c r="F411" s="548" t="s">
        <v>504</v>
      </c>
      <c r="G411" s="548" t="s">
        <v>504</v>
      </c>
      <c r="H411" s="548" t="s">
        <v>504</v>
      </c>
      <c r="I411" s="548" t="s">
        <v>504</v>
      </c>
      <c r="J411" s="548" t="s">
        <v>504</v>
      </c>
      <c r="K411" s="548" t="s">
        <v>504</v>
      </c>
    </row>
    <row r="412" spans="1:11" x14ac:dyDescent="0.3">
      <c r="A412" t="s">
        <v>857</v>
      </c>
      <c r="D412" s="548" t="s">
        <v>504</v>
      </c>
      <c r="E412" s="548" t="s">
        <v>504</v>
      </c>
      <c r="F412" s="548" t="s">
        <v>504</v>
      </c>
      <c r="G412" s="548" t="s">
        <v>504</v>
      </c>
      <c r="H412" s="548" t="s">
        <v>504</v>
      </c>
      <c r="I412" s="548" t="s">
        <v>504</v>
      </c>
      <c r="J412" s="548" t="s">
        <v>504</v>
      </c>
      <c r="K412" s="548" t="s">
        <v>504</v>
      </c>
    </row>
    <row r="413" spans="1:11" x14ac:dyDescent="0.3">
      <c r="A413" t="s">
        <v>858</v>
      </c>
      <c r="D413" s="548" t="s">
        <v>504</v>
      </c>
      <c r="E413" s="548" t="s">
        <v>504</v>
      </c>
      <c r="F413" s="548" t="s">
        <v>504</v>
      </c>
      <c r="G413" s="548" t="s">
        <v>504</v>
      </c>
      <c r="H413" s="548" t="s">
        <v>504</v>
      </c>
      <c r="I413" s="548" t="s">
        <v>504</v>
      </c>
      <c r="J413" s="548" t="s">
        <v>504</v>
      </c>
      <c r="K413" s="548" t="s">
        <v>504</v>
      </c>
    </row>
    <row r="414" spans="1:11" x14ac:dyDescent="0.3">
      <c r="A414" t="s">
        <v>859</v>
      </c>
      <c r="D414" s="548" t="s">
        <v>504</v>
      </c>
      <c r="E414" s="548" t="s">
        <v>504</v>
      </c>
      <c r="F414" s="548" t="s">
        <v>504</v>
      </c>
      <c r="G414" s="548" t="s">
        <v>504</v>
      </c>
      <c r="H414" s="548" t="s">
        <v>504</v>
      </c>
      <c r="I414" s="548" t="s">
        <v>504</v>
      </c>
      <c r="J414" s="548" t="s">
        <v>504</v>
      </c>
      <c r="K414" s="548" t="s">
        <v>504</v>
      </c>
    </row>
    <row r="415" spans="1:11" x14ac:dyDescent="0.3">
      <c r="A415" t="s">
        <v>860</v>
      </c>
      <c r="D415" s="548" t="s">
        <v>504</v>
      </c>
      <c r="E415" s="548" t="s">
        <v>504</v>
      </c>
      <c r="F415" s="548" t="s">
        <v>504</v>
      </c>
      <c r="G415" s="548" t="s">
        <v>504</v>
      </c>
      <c r="H415" s="548" t="s">
        <v>504</v>
      </c>
      <c r="I415" s="548" t="s">
        <v>504</v>
      </c>
      <c r="J415" s="548" t="s">
        <v>504</v>
      </c>
      <c r="K415" s="548" t="s">
        <v>504</v>
      </c>
    </row>
    <row r="416" spans="1:11" x14ac:dyDescent="0.3">
      <c r="A416" t="s">
        <v>861</v>
      </c>
      <c r="D416" s="548" t="s">
        <v>504</v>
      </c>
      <c r="E416" s="548" t="s">
        <v>504</v>
      </c>
      <c r="F416" s="548" t="s">
        <v>504</v>
      </c>
      <c r="G416" s="548" t="s">
        <v>504</v>
      </c>
      <c r="H416" s="548" t="s">
        <v>504</v>
      </c>
      <c r="I416" s="548" t="s">
        <v>504</v>
      </c>
      <c r="J416" s="548" t="s">
        <v>504</v>
      </c>
      <c r="K416" s="548" t="s">
        <v>504</v>
      </c>
    </row>
    <row r="417" spans="1:11" x14ac:dyDescent="0.3">
      <c r="A417" t="s">
        <v>862</v>
      </c>
      <c r="D417" s="548" t="s">
        <v>504</v>
      </c>
      <c r="E417" s="548" t="s">
        <v>504</v>
      </c>
      <c r="F417" s="548" t="s">
        <v>504</v>
      </c>
      <c r="G417" s="548" t="s">
        <v>504</v>
      </c>
      <c r="H417" s="548" t="s">
        <v>504</v>
      </c>
      <c r="I417" s="548" t="s">
        <v>504</v>
      </c>
      <c r="J417" s="548" t="s">
        <v>504</v>
      </c>
      <c r="K417" s="548" t="s">
        <v>504</v>
      </c>
    </row>
    <row r="418" spans="1:11" x14ac:dyDescent="0.3">
      <c r="A418" t="s">
        <v>863</v>
      </c>
      <c r="D418" s="548" t="s">
        <v>504</v>
      </c>
      <c r="E418" s="548" t="s">
        <v>504</v>
      </c>
      <c r="F418" s="548" t="s">
        <v>504</v>
      </c>
      <c r="G418" s="548" t="s">
        <v>504</v>
      </c>
      <c r="H418" s="548" t="s">
        <v>504</v>
      </c>
      <c r="I418" s="548" t="s">
        <v>504</v>
      </c>
      <c r="J418" s="548" t="s">
        <v>504</v>
      </c>
      <c r="K418" s="548" t="s">
        <v>504</v>
      </c>
    </row>
    <row r="419" spans="1:11" x14ac:dyDescent="0.3">
      <c r="A419" t="s">
        <v>864</v>
      </c>
      <c r="D419" s="548" t="s">
        <v>504</v>
      </c>
      <c r="E419" s="548" t="s">
        <v>504</v>
      </c>
      <c r="F419" s="548" t="s">
        <v>504</v>
      </c>
      <c r="G419" s="548" t="s">
        <v>504</v>
      </c>
      <c r="H419" s="548" t="s">
        <v>504</v>
      </c>
      <c r="I419" s="548" t="s">
        <v>504</v>
      </c>
      <c r="J419" s="548" t="s">
        <v>504</v>
      </c>
      <c r="K419" s="548" t="s">
        <v>504</v>
      </c>
    </row>
    <row r="420" spans="1:11" x14ac:dyDescent="0.3">
      <c r="A420" t="s">
        <v>865</v>
      </c>
      <c r="D420" s="548" t="s">
        <v>504</v>
      </c>
      <c r="E420" s="548" t="s">
        <v>504</v>
      </c>
      <c r="F420" s="548" t="s">
        <v>504</v>
      </c>
      <c r="G420" s="548" t="s">
        <v>504</v>
      </c>
      <c r="H420" s="548" t="s">
        <v>504</v>
      </c>
      <c r="I420" s="548" t="s">
        <v>504</v>
      </c>
      <c r="J420" s="548" t="s">
        <v>504</v>
      </c>
      <c r="K420" s="548" t="s">
        <v>504</v>
      </c>
    </row>
    <row r="421" spans="1:11" x14ac:dyDescent="0.3">
      <c r="A421" t="s">
        <v>866</v>
      </c>
      <c r="D421" s="548" t="s">
        <v>504</v>
      </c>
      <c r="E421" s="548" t="s">
        <v>504</v>
      </c>
      <c r="F421" s="548" t="s">
        <v>504</v>
      </c>
      <c r="G421" s="548" t="s">
        <v>504</v>
      </c>
      <c r="H421" s="548" t="s">
        <v>504</v>
      </c>
      <c r="I421" s="548" t="s">
        <v>504</v>
      </c>
      <c r="J421" s="548" t="s">
        <v>504</v>
      </c>
      <c r="K421" s="548" t="s">
        <v>504</v>
      </c>
    </row>
    <row r="422" spans="1:11" x14ac:dyDescent="0.3">
      <c r="A422" t="s">
        <v>867</v>
      </c>
      <c r="D422" s="548" t="s">
        <v>504</v>
      </c>
      <c r="E422" s="548" t="s">
        <v>504</v>
      </c>
      <c r="F422" s="548" t="s">
        <v>504</v>
      </c>
      <c r="G422" s="548" t="s">
        <v>504</v>
      </c>
      <c r="H422" s="548" t="s">
        <v>504</v>
      </c>
      <c r="I422" s="548" t="s">
        <v>504</v>
      </c>
      <c r="J422" s="548" t="s">
        <v>504</v>
      </c>
      <c r="K422" s="548" t="s">
        <v>504</v>
      </c>
    </row>
    <row r="423" spans="1:11" x14ac:dyDescent="0.3">
      <c r="A423" t="s">
        <v>868</v>
      </c>
      <c r="D423" s="548" t="s">
        <v>504</v>
      </c>
      <c r="E423" s="548" t="s">
        <v>504</v>
      </c>
      <c r="F423" s="548" t="s">
        <v>504</v>
      </c>
      <c r="G423" s="548" t="s">
        <v>504</v>
      </c>
      <c r="H423" s="548" t="s">
        <v>504</v>
      </c>
      <c r="I423" s="548" t="s">
        <v>504</v>
      </c>
      <c r="J423" s="548" t="s">
        <v>504</v>
      </c>
      <c r="K423" s="548" t="s">
        <v>504</v>
      </c>
    </row>
    <row r="424" spans="1:11" x14ac:dyDescent="0.3">
      <c r="A424" t="s">
        <v>869</v>
      </c>
      <c r="D424" s="548" t="s">
        <v>504</v>
      </c>
      <c r="E424" s="548" t="s">
        <v>504</v>
      </c>
      <c r="F424" s="548" t="s">
        <v>504</v>
      </c>
      <c r="G424" s="548" t="s">
        <v>504</v>
      </c>
      <c r="H424" s="548" t="s">
        <v>504</v>
      </c>
      <c r="I424" s="548" t="s">
        <v>504</v>
      </c>
      <c r="J424" s="548" t="s">
        <v>504</v>
      </c>
      <c r="K424" s="548" t="s">
        <v>504</v>
      </c>
    </row>
    <row r="425" spans="1:11" x14ac:dyDescent="0.3">
      <c r="A425" t="s">
        <v>870</v>
      </c>
      <c r="D425" s="548" t="s">
        <v>504</v>
      </c>
      <c r="E425" s="548" t="s">
        <v>504</v>
      </c>
      <c r="F425" s="548" t="s">
        <v>504</v>
      </c>
      <c r="G425" s="548" t="s">
        <v>504</v>
      </c>
      <c r="H425" s="548" t="s">
        <v>504</v>
      </c>
      <c r="I425" s="548" t="s">
        <v>504</v>
      </c>
      <c r="J425" s="548" t="s">
        <v>504</v>
      </c>
      <c r="K425" s="548" t="s">
        <v>504</v>
      </c>
    </row>
    <row r="426" spans="1:11" x14ac:dyDescent="0.3">
      <c r="A426" t="s">
        <v>871</v>
      </c>
      <c r="D426" s="548" t="s">
        <v>504</v>
      </c>
      <c r="E426" s="548" t="s">
        <v>504</v>
      </c>
      <c r="F426" s="548" t="s">
        <v>504</v>
      </c>
      <c r="G426" s="548" t="s">
        <v>504</v>
      </c>
      <c r="H426" s="548" t="s">
        <v>504</v>
      </c>
      <c r="I426" s="548" t="s">
        <v>504</v>
      </c>
      <c r="J426" s="548" t="s">
        <v>504</v>
      </c>
      <c r="K426" s="548" t="s">
        <v>504</v>
      </c>
    </row>
    <row r="427" spans="1:11" x14ac:dyDescent="0.3">
      <c r="A427" t="s">
        <v>872</v>
      </c>
      <c r="D427" s="548" t="s">
        <v>504</v>
      </c>
      <c r="E427" s="548" t="s">
        <v>504</v>
      </c>
      <c r="F427" s="548" t="s">
        <v>504</v>
      </c>
      <c r="G427" s="548" t="s">
        <v>504</v>
      </c>
      <c r="H427" s="548" t="s">
        <v>504</v>
      </c>
      <c r="I427" s="548" t="s">
        <v>504</v>
      </c>
      <c r="J427" s="548" t="s">
        <v>504</v>
      </c>
      <c r="K427" s="548" t="s">
        <v>504</v>
      </c>
    </row>
    <row r="428" spans="1:11" x14ac:dyDescent="0.3">
      <c r="A428" t="s">
        <v>873</v>
      </c>
      <c r="D428" s="548" t="s">
        <v>504</v>
      </c>
      <c r="E428" s="548" t="s">
        <v>504</v>
      </c>
      <c r="F428" s="548" t="s">
        <v>504</v>
      </c>
      <c r="G428" s="548" t="s">
        <v>504</v>
      </c>
      <c r="H428" s="548" t="s">
        <v>504</v>
      </c>
      <c r="I428" s="548" t="s">
        <v>504</v>
      </c>
      <c r="J428" s="548" t="s">
        <v>504</v>
      </c>
      <c r="K428" s="548" t="s">
        <v>504</v>
      </c>
    </row>
    <row r="429" spans="1:11" x14ac:dyDescent="0.3">
      <c r="A429" t="s">
        <v>874</v>
      </c>
      <c r="D429" s="548" t="s">
        <v>504</v>
      </c>
      <c r="E429" s="548" t="s">
        <v>504</v>
      </c>
      <c r="F429" s="548" t="s">
        <v>504</v>
      </c>
      <c r="G429" s="548" t="s">
        <v>504</v>
      </c>
      <c r="H429" s="548" t="s">
        <v>504</v>
      </c>
      <c r="I429" s="548" t="s">
        <v>504</v>
      </c>
      <c r="J429" s="548" t="s">
        <v>504</v>
      </c>
      <c r="K429" s="548" t="s">
        <v>504</v>
      </c>
    </row>
    <row r="430" spans="1:11" x14ac:dyDescent="0.3">
      <c r="A430" t="s">
        <v>875</v>
      </c>
      <c r="D430" s="548" t="s">
        <v>504</v>
      </c>
      <c r="E430" s="548" t="s">
        <v>504</v>
      </c>
      <c r="F430" s="548" t="s">
        <v>504</v>
      </c>
      <c r="G430" s="548" t="s">
        <v>504</v>
      </c>
      <c r="H430" s="548" t="s">
        <v>504</v>
      </c>
      <c r="I430" s="548" t="s">
        <v>504</v>
      </c>
      <c r="J430" s="548" t="s">
        <v>504</v>
      </c>
      <c r="K430" s="548" t="s">
        <v>504</v>
      </c>
    </row>
    <row r="431" spans="1:11" x14ac:dyDescent="0.3">
      <c r="A431" t="s">
        <v>876</v>
      </c>
      <c r="D431" s="548" t="s">
        <v>504</v>
      </c>
      <c r="E431" s="548" t="s">
        <v>504</v>
      </c>
      <c r="F431" s="548" t="s">
        <v>504</v>
      </c>
      <c r="G431" s="548" t="s">
        <v>504</v>
      </c>
      <c r="H431" s="548" t="s">
        <v>504</v>
      </c>
      <c r="I431" s="548" t="s">
        <v>504</v>
      </c>
      <c r="J431" s="548" t="s">
        <v>504</v>
      </c>
      <c r="K431" s="548" t="s">
        <v>504</v>
      </c>
    </row>
    <row r="432" spans="1:11" x14ac:dyDescent="0.3">
      <c r="A432" t="s">
        <v>877</v>
      </c>
      <c r="D432" s="548" t="s">
        <v>504</v>
      </c>
      <c r="E432" s="548" t="s">
        <v>504</v>
      </c>
      <c r="F432" s="548" t="s">
        <v>504</v>
      </c>
      <c r="G432" s="548" t="s">
        <v>504</v>
      </c>
      <c r="H432" s="548" t="s">
        <v>504</v>
      </c>
      <c r="I432" s="548" t="s">
        <v>504</v>
      </c>
      <c r="J432" s="548" t="s">
        <v>504</v>
      </c>
      <c r="K432" s="548" t="s">
        <v>504</v>
      </c>
    </row>
    <row r="433" spans="1:11" x14ac:dyDescent="0.3">
      <c r="A433" t="s">
        <v>878</v>
      </c>
      <c r="D433" s="548" t="s">
        <v>504</v>
      </c>
      <c r="E433" s="548" t="s">
        <v>504</v>
      </c>
      <c r="F433" s="548" t="s">
        <v>504</v>
      </c>
      <c r="G433" s="548" t="s">
        <v>504</v>
      </c>
      <c r="H433" s="548" t="s">
        <v>504</v>
      </c>
      <c r="I433" s="548" t="s">
        <v>504</v>
      </c>
      <c r="J433" s="548" t="s">
        <v>504</v>
      </c>
      <c r="K433" s="548" t="s">
        <v>504</v>
      </c>
    </row>
    <row r="434" spans="1:11" x14ac:dyDescent="0.3">
      <c r="A434" t="s">
        <v>879</v>
      </c>
      <c r="D434" s="549" t="s">
        <v>504</v>
      </c>
      <c r="E434" s="549" t="s">
        <v>504</v>
      </c>
      <c r="F434" s="549" t="s">
        <v>504</v>
      </c>
      <c r="G434" s="549" t="s">
        <v>504</v>
      </c>
      <c r="H434" s="549" t="s">
        <v>504</v>
      </c>
      <c r="I434" s="549" t="s">
        <v>504</v>
      </c>
      <c r="J434" s="549" t="s">
        <v>504</v>
      </c>
      <c r="K434" s="549" t="s">
        <v>504</v>
      </c>
    </row>
    <row r="435" spans="1:11" x14ac:dyDescent="0.3">
      <c r="A435" t="s">
        <v>880</v>
      </c>
      <c r="D435" s="549" t="s">
        <v>504</v>
      </c>
      <c r="E435" s="549" t="s">
        <v>504</v>
      </c>
      <c r="F435" s="549" t="s">
        <v>504</v>
      </c>
      <c r="G435" s="549" t="s">
        <v>504</v>
      </c>
      <c r="H435" s="549" t="s">
        <v>504</v>
      </c>
      <c r="I435" s="549" t="s">
        <v>504</v>
      </c>
      <c r="J435" s="549" t="s">
        <v>504</v>
      </c>
      <c r="K435" s="549" t="s">
        <v>504</v>
      </c>
    </row>
    <row r="436" spans="1:11" x14ac:dyDescent="0.3">
      <c r="A436" t="s">
        <v>881</v>
      </c>
      <c r="D436" s="549" t="s">
        <v>504</v>
      </c>
      <c r="E436" s="549" t="s">
        <v>504</v>
      </c>
      <c r="F436" s="549" t="s">
        <v>504</v>
      </c>
      <c r="G436" s="549" t="s">
        <v>504</v>
      </c>
      <c r="H436" s="549" t="s">
        <v>504</v>
      </c>
      <c r="I436" s="549" t="s">
        <v>504</v>
      </c>
      <c r="J436" s="549" t="s">
        <v>504</v>
      </c>
      <c r="K436" s="549" t="s">
        <v>504</v>
      </c>
    </row>
    <row r="437" spans="1:11" x14ac:dyDescent="0.3">
      <c r="A437" t="s">
        <v>882</v>
      </c>
      <c r="D437" s="549" t="s">
        <v>504</v>
      </c>
      <c r="E437" s="549" t="s">
        <v>504</v>
      </c>
      <c r="F437" s="549" t="s">
        <v>504</v>
      </c>
      <c r="G437" s="549" t="s">
        <v>504</v>
      </c>
      <c r="H437" s="549" t="s">
        <v>504</v>
      </c>
      <c r="I437" s="549" t="s">
        <v>504</v>
      </c>
      <c r="J437" s="549" t="s">
        <v>504</v>
      </c>
      <c r="K437" s="549" t="s">
        <v>504</v>
      </c>
    </row>
    <row r="438" spans="1:11" x14ac:dyDescent="0.3">
      <c r="A438" t="s">
        <v>883</v>
      </c>
      <c r="D438" s="549" t="s">
        <v>504</v>
      </c>
      <c r="E438" s="549" t="s">
        <v>504</v>
      </c>
      <c r="F438" s="549" t="s">
        <v>504</v>
      </c>
      <c r="G438" s="549" t="s">
        <v>504</v>
      </c>
      <c r="H438" s="549" t="s">
        <v>504</v>
      </c>
      <c r="I438" s="549" t="s">
        <v>504</v>
      </c>
      <c r="J438" s="549" t="s">
        <v>504</v>
      </c>
      <c r="K438" s="549" t="s">
        <v>504</v>
      </c>
    </row>
    <row r="439" spans="1:11" x14ac:dyDescent="0.3">
      <c r="A439" t="s">
        <v>884</v>
      </c>
      <c r="D439" s="549" t="s">
        <v>504</v>
      </c>
      <c r="E439" s="549" t="s">
        <v>504</v>
      </c>
      <c r="F439" s="549" t="s">
        <v>504</v>
      </c>
      <c r="G439" s="549" t="s">
        <v>504</v>
      </c>
      <c r="H439" s="549" t="s">
        <v>504</v>
      </c>
      <c r="I439" s="549" t="s">
        <v>504</v>
      </c>
      <c r="J439" s="549" t="s">
        <v>504</v>
      </c>
      <c r="K439" s="549" t="s">
        <v>504</v>
      </c>
    </row>
    <row r="440" spans="1:11" x14ac:dyDescent="0.3">
      <c r="A440" t="s">
        <v>885</v>
      </c>
      <c r="D440" s="549" t="s">
        <v>504</v>
      </c>
      <c r="E440" s="549" t="s">
        <v>504</v>
      </c>
      <c r="F440" s="549" t="s">
        <v>504</v>
      </c>
      <c r="G440" s="549" t="s">
        <v>504</v>
      </c>
      <c r="H440" s="549" t="s">
        <v>504</v>
      </c>
      <c r="I440" s="549" t="s">
        <v>504</v>
      </c>
      <c r="J440" s="549" t="s">
        <v>504</v>
      </c>
      <c r="K440" s="549" t="s">
        <v>504</v>
      </c>
    </row>
    <row r="441" spans="1:11" x14ac:dyDescent="0.3">
      <c r="A441" t="s">
        <v>886</v>
      </c>
      <c r="D441" s="549" t="s">
        <v>504</v>
      </c>
      <c r="E441" s="549" t="s">
        <v>504</v>
      </c>
      <c r="F441" s="549" t="s">
        <v>504</v>
      </c>
      <c r="G441" s="549" t="s">
        <v>504</v>
      </c>
      <c r="H441" s="549" t="s">
        <v>504</v>
      </c>
      <c r="I441" s="549" t="s">
        <v>504</v>
      </c>
      <c r="J441" s="549" t="s">
        <v>504</v>
      </c>
      <c r="K441" s="549" t="s">
        <v>504</v>
      </c>
    </row>
    <row r="442" spans="1:11" x14ac:dyDescent="0.3">
      <c r="A442" t="s">
        <v>887</v>
      </c>
      <c r="D442" s="548" t="s">
        <v>504</v>
      </c>
      <c r="E442" s="548" t="s">
        <v>504</v>
      </c>
      <c r="F442" s="548" t="s">
        <v>504</v>
      </c>
      <c r="G442" s="548" t="s">
        <v>504</v>
      </c>
      <c r="H442" s="548" t="s">
        <v>504</v>
      </c>
      <c r="I442" s="548" t="s">
        <v>504</v>
      </c>
      <c r="J442" s="548" t="s">
        <v>504</v>
      </c>
      <c r="K442" s="548" t="s">
        <v>504</v>
      </c>
    </row>
    <row r="443" spans="1:11" x14ac:dyDescent="0.3">
      <c r="A443" t="s">
        <v>888</v>
      </c>
      <c r="D443" s="548" t="s">
        <v>504</v>
      </c>
      <c r="E443" s="548" t="s">
        <v>504</v>
      </c>
      <c r="F443" s="548" t="s">
        <v>504</v>
      </c>
      <c r="G443" s="548" t="s">
        <v>504</v>
      </c>
      <c r="H443" s="548" t="s">
        <v>504</v>
      </c>
      <c r="I443" s="548" t="s">
        <v>504</v>
      </c>
      <c r="J443" s="548" t="s">
        <v>504</v>
      </c>
      <c r="K443" s="548" t="s">
        <v>504</v>
      </c>
    </row>
    <row r="444" spans="1:11" x14ac:dyDescent="0.3">
      <c r="A444" t="s">
        <v>889</v>
      </c>
      <c r="D444" s="548" t="s">
        <v>504</v>
      </c>
      <c r="E444" s="548" t="s">
        <v>504</v>
      </c>
      <c r="F444" s="548" t="s">
        <v>504</v>
      </c>
      <c r="G444" s="548" t="s">
        <v>504</v>
      </c>
      <c r="H444" s="548" t="s">
        <v>504</v>
      </c>
      <c r="I444" s="548" t="s">
        <v>504</v>
      </c>
      <c r="J444" s="548" t="s">
        <v>504</v>
      </c>
      <c r="K444" s="548" t="s">
        <v>504</v>
      </c>
    </row>
    <row r="445" spans="1:11" x14ac:dyDescent="0.3">
      <c r="A445" t="s">
        <v>890</v>
      </c>
      <c r="D445" s="548" t="s">
        <v>504</v>
      </c>
      <c r="E445" s="548" t="s">
        <v>504</v>
      </c>
      <c r="F445" s="548" t="s">
        <v>504</v>
      </c>
      <c r="G445" s="548" t="s">
        <v>504</v>
      </c>
      <c r="H445" s="548" t="s">
        <v>504</v>
      </c>
      <c r="I445" s="548" t="s">
        <v>504</v>
      </c>
      <c r="J445" s="548" t="s">
        <v>504</v>
      </c>
      <c r="K445" s="548" t="s">
        <v>504</v>
      </c>
    </row>
    <row r="446" spans="1:11" x14ac:dyDescent="0.3">
      <c r="A446" t="s">
        <v>891</v>
      </c>
      <c r="D446" s="548" t="s">
        <v>504</v>
      </c>
      <c r="E446" s="548" t="s">
        <v>504</v>
      </c>
      <c r="F446" s="548" t="s">
        <v>504</v>
      </c>
      <c r="G446" s="548" t="s">
        <v>504</v>
      </c>
      <c r="H446" s="548" t="s">
        <v>504</v>
      </c>
      <c r="I446" s="548" t="s">
        <v>504</v>
      </c>
      <c r="J446" s="548" t="s">
        <v>504</v>
      </c>
      <c r="K446" s="548" t="s">
        <v>504</v>
      </c>
    </row>
    <row r="447" spans="1:11" x14ac:dyDescent="0.3">
      <c r="A447" t="s">
        <v>892</v>
      </c>
      <c r="D447" s="548" t="s">
        <v>504</v>
      </c>
      <c r="E447" s="548" t="s">
        <v>504</v>
      </c>
      <c r="F447" s="548" t="s">
        <v>504</v>
      </c>
      <c r="G447" s="548" t="s">
        <v>504</v>
      </c>
      <c r="H447" s="548" t="s">
        <v>504</v>
      </c>
      <c r="I447" s="548" t="s">
        <v>504</v>
      </c>
      <c r="J447" s="548" t="s">
        <v>504</v>
      </c>
      <c r="K447" s="548" t="s">
        <v>504</v>
      </c>
    </row>
    <row r="448" spans="1:11" x14ac:dyDescent="0.3">
      <c r="A448" t="s">
        <v>893</v>
      </c>
      <c r="D448" s="548" t="s">
        <v>504</v>
      </c>
      <c r="E448" s="548" t="s">
        <v>504</v>
      </c>
      <c r="F448" s="548" t="s">
        <v>504</v>
      </c>
      <c r="G448" s="548" t="s">
        <v>504</v>
      </c>
      <c r="H448" s="548" t="s">
        <v>504</v>
      </c>
      <c r="I448" s="548" t="s">
        <v>504</v>
      </c>
      <c r="J448" s="548" t="s">
        <v>504</v>
      </c>
      <c r="K448" s="548" t="s">
        <v>504</v>
      </c>
    </row>
    <row r="449" spans="1:11" x14ac:dyDescent="0.3">
      <c r="A449" t="s">
        <v>894</v>
      </c>
      <c r="D449" s="548" t="s">
        <v>504</v>
      </c>
      <c r="E449" s="548" t="s">
        <v>504</v>
      </c>
      <c r="F449" s="548" t="s">
        <v>504</v>
      </c>
      <c r="G449" s="548" t="s">
        <v>504</v>
      </c>
      <c r="H449" s="548" t="s">
        <v>504</v>
      </c>
      <c r="I449" s="548" t="s">
        <v>504</v>
      </c>
      <c r="J449" s="548" t="s">
        <v>504</v>
      </c>
      <c r="K449" s="548" t="s">
        <v>504</v>
      </c>
    </row>
    <row r="450" spans="1:11" x14ac:dyDescent="0.3">
      <c r="A450" t="s">
        <v>895</v>
      </c>
      <c r="D450" s="548" t="s">
        <v>504</v>
      </c>
      <c r="E450" s="548" t="s">
        <v>504</v>
      </c>
      <c r="F450" s="548" t="s">
        <v>504</v>
      </c>
      <c r="G450" s="548" t="s">
        <v>504</v>
      </c>
      <c r="H450" s="548" t="s">
        <v>504</v>
      </c>
      <c r="I450" s="548" t="s">
        <v>504</v>
      </c>
      <c r="J450" s="548" t="s">
        <v>504</v>
      </c>
      <c r="K450" s="548" t="s">
        <v>504</v>
      </c>
    </row>
    <row r="451" spans="1:11" x14ac:dyDescent="0.3">
      <c r="A451" t="s">
        <v>896</v>
      </c>
      <c r="D451" s="548" t="s">
        <v>504</v>
      </c>
      <c r="E451" s="548" t="s">
        <v>504</v>
      </c>
      <c r="F451" s="548" t="s">
        <v>504</v>
      </c>
      <c r="G451" s="548" t="s">
        <v>504</v>
      </c>
      <c r="H451" s="548" t="s">
        <v>504</v>
      </c>
      <c r="I451" s="548" t="s">
        <v>504</v>
      </c>
      <c r="J451" s="548" t="s">
        <v>504</v>
      </c>
      <c r="K451" s="548" t="s">
        <v>504</v>
      </c>
    </row>
    <row r="452" spans="1:11" x14ac:dyDescent="0.3">
      <c r="A452" t="s">
        <v>897</v>
      </c>
      <c r="D452" s="549" t="s">
        <v>504</v>
      </c>
      <c r="E452" s="549" t="s">
        <v>504</v>
      </c>
      <c r="F452" s="549" t="s">
        <v>504</v>
      </c>
      <c r="G452" s="549" t="s">
        <v>504</v>
      </c>
      <c r="H452" s="549" t="s">
        <v>504</v>
      </c>
      <c r="I452" s="549" t="s">
        <v>504</v>
      </c>
      <c r="J452" s="549" t="s">
        <v>504</v>
      </c>
      <c r="K452" s="549" t="s">
        <v>504</v>
      </c>
    </row>
    <row r="453" spans="1:11" x14ac:dyDescent="0.3">
      <c r="A453" t="s">
        <v>898</v>
      </c>
      <c r="D453" s="549" t="s">
        <v>504</v>
      </c>
      <c r="E453" s="549" t="s">
        <v>504</v>
      </c>
      <c r="F453" s="549" t="s">
        <v>504</v>
      </c>
      <c r="G453" s="549" t="s">
        <v>504</v>
      </c>
      <c r="H453" s="549" t="s">
        <v>504</v>
      </c>
      <c r="I453" s="549" t="s">
        <v>504</v>
      </c>
      <c r="J453" s="549" t="s">
        <v>504</v>
      </c>
      <c r="K453" s="549" t="s">
        <v>504</v>
      </c>
    </row>
    <row r="454" spans="1:11" x14ac:dyDescent="0.3">
      <c r="A454" t="s">
        <v>899</v>
      </c>
      <c r="D454" s="549" t="s">
        <v>504</v>
      </c>
      <c r="E454" s="549" t="s">
        <v>504</v>
      </c>
      <c r="F454" s="549" t="s">
        <v>504</v>
      </c>
      <c r="G454" s="549" t="s">
        <v>504</v>
      </c>
      <c r="H454" s="549" t="s">
        <v>504</v>
      </c>
      <c r="I454" s="549" t="s">
        <v>504</v>
      </c>
      <c r="J454" s="549" t="s">
        <v>504</v>
      </c>
      <c r="K454" s="549" t="s">
        <v>504</v>
      </c>
    </row>
    <row r="455" spans="1:11" x14ac:dyDescent="0.3">
      <c r="A455" t="s">
        <v>900</v>
      </c>
      <c r="D455" s="549" t="s">
        <v>504</v>
      </c>
      <c r="E455" s="549" t="s">
        <v>504</v>
      </c>
      <c r="F455" s="549" t="s">
        <v>504</v>
      </c>
      <c r="G455" s="549" t="s">
        <v>504</v>
      </c>
      <c r="H455" s="549" t="s">
        <v>504</v>
      </c>
      <c r="I455" s="549" t="s">
        <v>504</v>
      </c>
      <c r="J455" s="549" t="s">
        <v>504</v>
      </c>
      <c r="K455" s="549" t="s">
        <v>504</v>
      </c>
    </row>
    <row r="456" spans="1:11" x14ac:dyDescent="0.3">
      <c r="A456" t="s">
        <v>901</v>
      </c>
      <c r="D456" s="549" t="s">
        <v>504</v>
      </c>
      <c r="E456" s="549" t="s">
        <v>504</v>
      </c>
      <c r="F456" s="549" t="s">
        <v>504</v>
      </c>
      <c r="G456" s="549" t="s">
        <v>504</v>
      </c>
      <c r="H456" s="549" t="s">
        <v>504</v>
      </c>
      <c r="I456" s="549" t="s">
        <v>504</v>
      </c>
      <c r="J456" s="549" t="s">
        <v>504</v>
      </c>
      <c r="K456" s="549" t="s">
        <v>504</v>
      </c>
    </row>
    <row r="457" spans="1:11" x14ac:dyDescent="0.3">
      <c r="A457" t="s">
        <v>902</v>
      </c>
      <c r="D457" s="549" t="s">
        <v>504</v>
      </c>
      <c r="E457" s="549" t="s">
        <v>504</v>
      </c>
      <c r="F457" s="549" t="s">
        <v>504</v>
      </c>
      <c r="G457" s="549" t="s">
        <v>504</v>
      </c>
      <c r="H457" s="549" t="s">
        <v>504</v>
      </c>
      <c r="I457" s="549" t="s">
        <v>504</v>
      </c>
      <c r="J457" s="549" t="s">
        <v>504</v>
      </c>
      <c r="K457" s="549" t="s">
        <v>504</v>
      </c>
    </row>
    <row r="458" spans="1:11" x14ac:dyDescent="0.3">
      <c r="A458" t="s">
        <v>903</v>
      </c>
      <c r="D458" s="549" t="s">
        <v>504</v>
      </c>
      <c r="E458" s="549" t="s">
        <v>504</v>
      </c>
      <c r="F458" s="549" t="s">
        <v>504</v>
      </c>
      <c r="G458" s="549" t="s">
        <v>504</v>
      </c>
      <c r="H458" s="549" t="s">
        <v>504</v>
      </c>
      <c r="I458" s="549" t="s">
        <v>504</v>
      </c>
      <c r="J458" s="549" t="s">
        <v>504</v>
      </c>
      <c r="K458" s="549" t="s">
        <v>504</v>
      </c>
    </row>
    <row r="459" spans="1:11" x14ac:dyDescent="0.3">
      <c r="A459" t="s">
        <v>904</v>
      </c>
      <c r="D459" s="549" t="s">
        <v>504</v>
      </c>
      <c r="E459" s="549" t="s">
        <v>504</v>
      </c>
      <c r="F459" s="549" t="s">
        <v>504</v>
      </c>
      <c r="G459" s="549" t="s">
        <v>504</v>
      </c>
      <c r="H459" s="549" t="s">
        <v>504</v>
      </c>
      <c r="I459" s="549" t="s">
        <v>504</v>
      </c>
      <c r="J459" s="549" t="s">
        <v>504</v>
      </c>
      <c r="K459" s="549" t="s">
        <v>504</v>
      </c>
    </row>
    <row r="460" spans="1:11" x14ac:dyDescent="0.3">
      <c r="A460" t="s">
        <v>905</v>
      </c>
      <c r="D460" s="548" t="s">
        <v>504</v>
      </c>
      <c r="E460" s="548" t="s">
        <v>504</v>
      </c>
      <c r="F460" s="548" t="s">
        <v>504</v>
      </c>
      <c r="G460" s="548" t="s">
        <v>504</v>
      </c>
      <c r="H460" s="548" t="s">
        <v>504</v>
      </c>
      <c r="I460" s="548" t="s">
        <v>504</v>
      </c>
      <c r="J460" s="548" t="s">
        <v>504</v>
      </c>
      <c r="K460" s="548" t="s">
        <v>504</v>
      </c>
    </row>
    <row r="461" spans="1:11" x14ac:dyDescent="0.3">
      <c r="A461" t="s">
        <v>906</v>
      </c>
      <c r="D461" s="548" t="s">
        <v>504</v>
      </c>
      <c r="E461" s="548" t="s">
        <v>504</v>
      </c>
      <c r="F461" s="548" t="s">
        <v>504</v>
      </c>
      <c r="G461" s="548" t="s">
        <v>504</v>
      </c>
      <c r="H461" s="548" t="s">
        <v>504</v>
      </c>
      <c r="I461" s="548" t="s">
        <v>504</v>
      </c>
      <c r="J461" s="548" t="s">
        <v>504</v>
      </c>
      <c r="K461" s="548" t="s">
        <v>504</v>
      </c>
    </row>
    <row r="462" spans="1:11" x14ac:dyDescent="0.3">
      <c r="A462" t="s">
        <v>907</v>
      </c>
      <c r="D462" s="548" t="s">
        <v>504</v>
      </c>
      <c r="E462" s="548" t="s">
        <v>504</v>
      </c>
      <c r="F462" s="548" t="s">
        <v>504</v>
      </c>
      <c r="G462" s="548" t="s">
        <v>504</v>
      </c>
      <c r="H462" s="548" t="s">
        <v>504</v>
      </c>
      <c r="I462" s="548" t="s">
        <v>504</v>
      </c>
      <c r="J462" s="548" t="s">
        <v>504</v>
      </c>
      <c r="K462" s="548" t="s">
        <v>504</v>
      </c>
    </row>
    <row r="463" spans="1:11" x14ac:dyDescent="0.3">
      <c r="A463" t="s">
        <v>908</v>
      </c>
      <c r="D463" s="548" t="s">
        <v>504</v>
      </c>
      <c r="E463" s="548" t="s">
        <v>504</v>
      </c>
      <c r="F463" s="548" t="s">
        <v>504</v>
      </c>
      <c r="G463" s="548" t="s">
        <v>504</v>
      </c>
      <c r="H463" s="548" t="s">
        <v>504</v>
      </c>
      <c r="I463" s="548" t="s">
        <v>504</v>
      </c>
      <c r="J463" s="548" t="s">
        <v>504</v>
      </c>
      <c r="K463" s="548" t="s">
        <v>504</v>
      </c>
    </row>
    <row r="464" spans="1:11" x14ac:dyDescent="0.3">
      <c r="A464" t="s">
        <v>909</v>
      </c>
      <c r="D464" s="548" t="s">
        <v>504</v>
      </c>
      <c r="E464" s="548" t="s">
        <v>504</v>
      </c>
      <c r="F464" s="548" t="s">
        <v>504</v>
      </c>
      <c r="G464" s="548" t="s">
        <v>504</v>
      </c>
      <c r="H464" s="548" t="s">
        <v>504</v>
      </c>
      <c r="I464" s="548" t="s">
        <v>504</v>
      </c>
      <c r="J464" s="548" t="s">
        <v>504</v>
      </c>
      <c r="K464" s="548" t="s">
        <v>504</v>
      </c>
    </row>
    <row r="465" spans="1:11" x14ac:dyDescent="0.3">
      <c r="A465" t="s">
        <v>910</v>
      </c>
      <c r="D465" s="548" t="s">
        <v>504</v>
      </c>
      <c r="E465" s="548" t="s">
        <v>504</v>
      </c>
      <c r="F465" s="548" t="s">
        <v>504</v>
      </c>
      <c r="G465" s="548" t="s">
        <v>504</v>
      </c>
      <c r="H465" s="548" t="s">
        <v>504</v>
      </c>
      <c r="I465" s="548" t="s">
        <v>504</v>
      </c>
      <c r="J465" s="548" t="s">
        <v>504</v>
      </c>
      <c r="K465" s="548" t="s">
        <v>504</v>
      </c>
    </row>
    <row r="466" spans="1:11" x14ac:dyDescent="0.3">
      <c r="A466" t="s">
        <v>911</v>
      </c>
      <c r="D466" s="548" t="s">
        <v>504</v>
      </c>
      <c r="E466" s="548" t="s">
        <v>504</v>
      </c>
      <c r="F466" s="548" t="s">
        <v>504</v>
      </c>
      <c r="G466" s="548" t="s">
        <v>504</v>
      </c>
      <c r="H466" s="548" t="s">
        <v>504</v>
      </c>
      <c r="I466" s="548" t="s">
        <v>504</v>
      </c>
      <c r="J466" s="548" t="s">
        <v>504</v>
      </c>
      <c r="K466" s="548" t="s">
        <v>504</v>
      </c>
    </row>
    <row r="467" spans="1:11" x14ac:dyDescent="0.3">
      <c r="A467" t="s">
        <v>912</v>
      </c>
      <c r="D467" s="548" t="s">
        <v>504</v>
      </c>
      <c r="E467" s="548" t="s">
        <v>504</v>
      </c>
      <c r="F467" s="548" t="s">
        <v>504</v>
      </c>
      <c r="G467" s="548" t="s">
        <v>504</v>
      </c>
      <c r="H467" s="548" t="s">
        <v>504</v>
      </c>
      <c r="I467" s="548" t="s">
        <v>504</v>
      </c>
      <c r="J467" s="548" t="s">
        <v>504</v>
      </c>
      <c r="K467" s="548" t="s">
        <v>504</v>
      </c>
    </row>
    <row r="468" spans="1:11" x14ac:dyDescent="0.3">
      <c r="A468" t="s">
        <v>913</v>
      </c>
      <c r="D468" s="548" t="s">
        <v>504</v>
      </c>
      <c r="E468" s="548" t="s">
        <v>504</v>
      </c>
      <c r="F468" s="548" t="s">
        <v>504</v>
      </c>
      <c r="G468" s="548" t="s">
        <v>504</v>
      </c>
      <c r="H468" s="548" t="s">
        <v>504</v>
      </c>
      <c r="I468" s="548" t="s">
        <v>504</v>
      </c>
      <c r="J468" s="548" t="s">
        <v>504</v>
      </c>
      <c r="K468" s="548" t="s">
        <v>504</v>
      </c>
    </row>
    <row r="469" spans="1:11" x14ac:dyDescent="0.3">
      <c r="A469" t="s">
        <v>914</v>
      </c>
      <c r="D469" s="548" t="s">
        <v>504</v>
      </c>
      <c r="E469" s="548" t="s">
        <v>504</v>
      </c>
      <c r="F469" s="548" t="s">
        <v>504</v>
      </c>
      <c r="G469" s="548" t="s">
        <v>504</v>
      </c>
      <c r="H469" s="548" t="s">
        <v>504</v>
      </c>
      <c r="I469" s="548" t="s">
        <v>504</v>
      </c>
      <c r="J469" s="548" t="s">
        <v>504</v>
      </c>
      <c r="K469" s="548" t="s">
        <v>504</v>
      </c>
    </row>
    <row r="470" spans="1:11" x14ac:dyDescent="0.3">
      <c r="A470" t="s">
        <v>915</v>
      </c>
      <c r="D470" s="548" t="s">
        <v>504</v>
      </c>
      <c r="E470" s="548" t="s">
        <v>504</v>
      </c>
      <c r="F470" s="548" t="s">
        <v>504</v>
      </c>
      <c r="G470" s="548" t="s">
        <v>504</v>
      </c>
      <c r="H470" s="548" t="s">
        <v>504</v>
      </c>
      <c r="I470" s="548" t="s">
        <v>504</v>
      </c>
      <c r="J470" s="548" t="s">
        <v>504</v>
      </c>
      <c r="K470" s="548" t="s">
        <v>504</v>
      </c>
    </row>
    <row r="471" spans="1:11" x14ac:dyDescent="0.3">
      <c r="A471" t="s">
        <v>916</v>
      </c>
      <c r="D471" s="548" t="s">
        <v>504</v>
      </c>
      <c r="E471" s="548" t="s">
        <v>504</v>
      </c>
      <c r="F471" s="548" t="s">
        <v>504</v>
      </c>
      <c r="G471" s="548" t="s">
        <v>504</v>
      </c>
      <c r="H471" s="548" t="s">
        <v>504</v>
      </c>
      <c r="I471" s="548" t="s">
        <v>504</v>
      </c>
      <c r="J471" s="548" t="s">
        <v>504</v>
      </c>
      <c r="K471" s="548" t="s">
        <v>504</v>
      </c>
    </row>
    <row r="472" spans="1:11" x14ac:dyDescent="0.3">
      <c r="A472" t="s">
        <v>917</v>
      </c>
      <c r="D472" s="548" t="s">
        <v>504</v>
      </c>
      <c r="E472" s="548" t="s">
        <v>504</v>
      </c>
      <c r="F472" s="548" t="s">
        <v>504</v>
      </c>
      <c r="G472" s="548" t="s">
        <v>504</v>
      </c>
      <c r="H472" s="548" t="s">
        <v>504</v>
      </c>
      <c r="I472" s="548" t="s">
        <v>504</v>
      </c>
      <c r="J472" s="548" t="s">
        <v>504</v>
      </c>
      <c r="K472" s="548" t="s">
        <v>504</v>
      </c>
    </row>
    <row r="473" spans="1:11" x14ac:dyDescent="0.3">
      <c r="A473" t="s">
        <v>918</v>
      </c>
      <c r="D473" s="548" t="s">
        <v>504</v>
      </c>
      <c r="E473" s="548" t="s">
        <v>504</v>
      </c>
      <c r="F473" s="548" t="s">
        <v>504</v>
      </c>
      <c r="G473" s="548" t="s">
        <v>504</v>
      </c>
      <c r="H473" s="548" t="s">
        <v>504</v>
      </c>
      <c r="I473" s="548" t="s">
        <v>504</v>
      </c>
      <c r="J473" s="548" t="s">
        <v>504</v>
      </c>
      <c r="K473" s="548" t="s">
        <v>504</v>
      </c>
    </row>
    <row r="474" spans="1:11" x14ac:dyDescent="0.3">
      <c r="A474" t="s">
        <v>919</v>
      </c>
      <c r="D474" s="548" t="s">
        <v>504</v>
      </c>
      <c r="E474" s="548" t="s">
        <v>504</v>
      </c>
      <c r="F474" s="548" t="s">
        <v>504</v>
      </c>
      <c r="G474" s="548" t="s">
        <v>504</v>
      </c>
      <c r="H474" s="548" t="s">
        <v>504</v>
      </c>
      <c r="I474" s="548" t="s">
        <v>504</v>
      </c>
      <c r="J474" s="548" t="s">
        <v>504</v>
      </c>
      <c r="K474" s="548" t="s">
        <v>504</v>
      </c>
    </row>
    <row r="475" spans="1:11" x14ac:dyDescent="0.3">
      <c r="A475" t="s">
        <v>920</v>
      </c>
      <c r="D475" s="548" t="s">
        <v>504</v>
      </c>
      <c r="E475" s="548" t="s">
        <v>504</v>
      </c>
      <c r="F475" s="548" t="s">
        <v>504</v>
      </c>
      <c r="G475" s="548" t="s">
        <v>504</v>
      </c>
      <c r="H475" s="548" t="s">
        <v>504</v>
      </c>
      <c r="I475" s="548" t="s">
        <v>504</v>
      </c>
      <c r="J475" s="548" t="s">
        <v>504</v>
      </c>
      <c r="K475" s="548" t="s">
        <v>504</v>
      </c>
    </row>
    <row r="476" spans="1:11" x14ac:dyDescent="0.3">
      <c r="A476" t="s">
        <v>921</v>
      </c>
      <c r="D476" s="548" t="s">
        <v>504</v>
      </c>
      <c r="E476" s="548" t="s">
        <v>504</v>
      </c>
      <c r="F476" s="548" t="s">
        <v>504</v>
      </c>
      <c r="G476" s="548" t="s">
        <v>504</v>
      </c>
      <c r="H476" s="548" t="s">
        <v>504</v>
      </c>
      <c r="I476" s="548" t="s">
        <v>504</v>
      </c>
      <c r="J476" s="548" t="s">
        <v>504</v>
      </c>
      <c r="K476" s="548" t="s">
        <v>504</v>
      </c>
    </row>
    <row r="477" spans="1:11" x14ac:dyDescent="0.3">
      <c r="A477" t="s">
        <v>922</v>
      </c>
      <c r="D477" s="548" t="s">
        <v>504</v>
      </c>
      <c r="E477" s="548" t="s">
        <v>504</v>
      </c>
      <c r="F477" s="548" t="s">
        <v>504</v>
      </c>
      <c r="G477" s="548" t="s">
        <v>504</v>
      </c>
      <c r="H477" s="548" t="s">
        <v>504</v>
      </c>
      <c r="I477" s="548" t="s">
        <v>504</v>
      </c>
      <c r="J477" s="548" t="s">
        <v>504</v>
      </c>
      <c r="K477" s="548" t="s">
        <v>504</v>
      </c>
    </row>
    <row r="478" spans="1:11" x14ac:dyDescent="0.3">
      <c r="A478" t="s">
        <v>923</v>
      </c>
      <c r="D478" s="548" t="s">
        <v>504</v>
      </c>
      <c r="E478" s="548" t="s">
        <v>504</v>
      </c>
      <c r="F478" s="548" t="s">
        <v>504</v>
      </c>
      <c r="G478" s="548" t="s">
        <v>504</v>
      </c>
      <c r="H478" s="548" t="s">
        <v>504</v>
      </c>
      <c r="I478" s="548" t="s">
        <v>504</v>
      </c>
      <c r="J478" s="548" t="s">
        <v>504</v>
      </c>
      <c r="K478" s="548" t="s">
        <v>504</v>
      </c>
    </row>
    <row r="479" spans="1:11" x14ac:dyDescent="0.3">
      <c r="A479" t="s">
        <v>924</v>
      </c>
      <c r="D479" s="548" t="s">
        <v>504</v>
      </c>
      <c r="E479" s="548" t="s">
        <v>504</v>
      </c>
      <c r="F479" s="548" t="s">
        <v>504</v>
      </c>
      <c r="G479" s="548" t="s">
        <v>504</v>
      </c>
      <c r="H479" s="548" t="s">
        <v>504</v>
      </c>
      <c r="I479" s="548" t="s">
        <v>504</v>
      </c>
      <c r="J479" s="548" t="s">
        <v>504</v>
      </c>
      <c r="K479" s="548" t="s">
        <v>504</v>
      </c>
    </row>
    <row r="480" spans="1:11" x14ac:dyDescent="0.3">
      <c r="A480" t="s">
        <v>925</v>
      </c>
      <c r="D480" s="548" t="s">
        <v>504</v>
      </c>
      <c r="E480" s="548" t="s">
        <v>504</v>
      </c>
      <c r="F480" s="548" t="s">
        <v>504</v>
      </c>
      <c r="G480" s="548" t="s">
        <v>504</v>
      </c>
      <c r="H480" s="548" t="s">
        <v>504</v>
      </c>
      <c r="I480" s="548" t="s">
        <v>504</v>
      </c>
      <c r="J480" s="548" t="s">
        <v>504</v>
      </c>
      <c r="K480" s="548" t="s">
        <v>504</v>
      </c>
    </row>
    <row r="481" spans="1:11" x14ac:dyDescent="0.3">
      <c r="A481" t="s">
        <v>926</v>
      </c>
      <c r="D481" s="548" t="s">
        <v>504</v>
      </c>
      <c r="E481" s="548" t="s">
        <v>504</v>
      </c>
      <c r="F481" s="548" t="s">
        <v>504</v>
      </c>
      <c r="G481" s="548" t="s">
        <v>504</v>
      </c>
      <c r="H481" s="548" t="s">
        <v>504</v>
      </c>
      <c r="I481" s="548" t="s">
        <v>504</v>
      </c>
      <c r="J481" s="548" t="s">
        <v>504</v>
      </c>
      <c r="K481" s="548" t="s">
        <v>504</v>
      </c>
    </row>
    <row r="482" spans="1:11" x14ac:dyDescent="0.3">
      <c r="A482" t="s">
        <v>927</v>
      </c>
      <c r="D482" s="548" t="s">
        <v>504</v>
      </c>
      <c r="E482" s="548" t="s">
        <v>504</v>
      </c>
      <c r="F482" s="548" t="s">
        <v>504</v>
      </c>
      <c r="G482" s="548" t="s">
        <v>504</v>
      </c>
      <c r="H482" s="548" t="s">
        <v>504</v>
      </c>
      <c r="I482" s="548" t="s">
        <v>504</v>
      </c>
      <c r="J482" s="548" t="s">
        <v>504</v>
      </c>
      <c r="K482" s="548" t="s">
        <v>504</v>
      </c>
    </row>
    <row r="483" spans="1:11" x14ac:dyDescent="0.3">
      <c r="A483" t="s">
        <v>928</v>
      </c>
      <c r="D483" s="548" t="s">
        <v>504</v>
      </c>
      <c r="E483" s="548" t="s">
        <v>504</v>
      </c>
      <c r="F483" s="548" t="s">
        <v>504</v>
      </c>
      <c r="G483" s="548" t="s">
        <v>504</v>
      </c>
      <c r="H483" s="548" t="s">
        <v>504</v>
      </c>
      <c r="I483" s="548" t="s">
        <v>504</v>
      </c>
      <c r="J483" s="548" t="s">
        <v>504</v>
      </c>
      <c r="K483" s="548" t="s">
        <v>504</v>
      </c>
    </row>
    <row r="484" spans="1:11" x14ac:dyDescent="0.3">
      <c r="A484" t="s">
        <v>929</v>
      </c>
      <c r="D484" s="548" t="s">
        <v>504</v>
      </c>
      <c r="E484" s="548" t="s">
        <v>504</v>
      </c>
      <c r="F484" s="548" t="s">
        <v>504</v>
      </c>
      <c r="G484" s="548" t="s">
        <v>504</v>
      </c>
      <c r="H484" s="548" t="s">
        <v>504</v>
      </c>
      <c r="I484" s="548" t="s">
        <v>504</v>
      </c>
      <c r="J484" s="548" t="s">
        <v>504</v>
      </c>
      <c r="K484" s="548" t="s">
        <v>504</v>
      </c>
    </row>
    <row r="485" spans="1:11" x14ac:dyDescent="0.3">
      <c r="A485" t="s">
        <v>930</v>
      </c>
      <c r="D485" s="548" t="s">
        <v>504</v>
      </c>
      <c r="E485" s="548" t="s">
        <v>504</v>
      </c>
      <c r="F485" s="548" t="s">
        <v>504</v>
      </c>
      <c r="G485" s="548" t="s">
        <v>504</v>
      </c>
      <c r="H485" s="548" t="s">
        <v>504</v>
      </c>
      <c r="I485" s="548" t="s">
        <v>504</v>
      </c>
      <c r="J485" s="548" t="s">
        <v>504</v>
      </c>
      <c r="K485" s="548" t="s">
        <v>504</v>
      </c>
    </row>
    <row r="486" spans="1:11" x14ac:dyDescent="0.3">
      <c r="A486" t="s">
        <v>931</v>
      </c>
      <c r="D486" s="548" t="s">
        <v>504</v>
      </c>
      <c r="E486" s="548" t="s">
        <v>504</v>
      </c>
      <c r="F486" s="548" t="s">
        <v>504</v>
      </c>
      <c r="G486" s="548" t="s">
        <v>504</v>
      </c>
      <c r="H486" s="548" t="s">
        <v>504</v>
      </c>
      <c r="I486" s="548" t="s">
        <v>504</v>
      </c>
      <c r="J486" s="548" t="s">
        <v>504</v>
      </c>
      <c r="K486" s="548" t="s">
        <v>504</v>
      </c>
    </row>
    <row r="487" spans="1:11" x14ac:dyDescent="0.3">
      <c r="A487" t="s">
        <v>932</v>
      </c>
      <c r="D487" s="548" t="s">
        <v>504</v>
      </c>
      <c r="E487" s="548" t="s">
        <v>504</v>
      </c>
      <c r="F487" s="548" t="s">
        <v>504</v>
      </c>
      <c r="G487" s="548" t="s">
        <v>504</v>
      </c>
      <c r="H487" s="548" t="s">
        <v>504</v>
      </c>
      <c r="I487" s="548" t="s">
        <v>504</v>
      </c>
      <c r="J487" s="548" t="s">
        <v>504</v>
      </c>
      <c r="K487" s="548" t="s">
        <v>504</v>
      </c>
    </row>
    <row r="488" spans="1:11" x14ac:dyDescent="0.3">
      <c r="A488" t="s">
        <v>933</v>
      </c>
      <c r="D488" s="548" t="s">
        <v>504</v>
      </c>
      <c r="E488" s="548" t="s">
        <v>504</v>
      </c>
      <c r="F488" s="548" t="s">
        <v>504</v>
      </c>
      <c r="G488" s="548" t="s">
        <v>504</v>
      </c>
      <c r="H488" s="548" t="s">
        <v>504</v>
      </c>
      <c r="I488" s="548" t="s">
        <v>504</v>
      </c>
      <c r="J488" s="548" t="s">
        <v>504</v>
      </c>
      <c r="K488" s="548" t="s">
        <v>504</v>
      </c>
    </row>
    <row r="489" spans="1:11" x14ac:dyDescent="0.3">
      <c r="A489" t="s">
        <v>934</v>
      </c>
      <c r="D489" s="548" t="s">
        <v>504</v>
      </c>
      <c r="E489" s="548" t="s">
        <v>504</v>
      </c>
      <c r="F489" s="548" t="s">
        <v>504</v>
      </c>
      <c r="G489" s="548" t="s">
        <v>504</v>
      </c>
      <c r="H489" s="548" t="s">
        <v>504</v>
      </c>
      <c r="I489" s="548" t="s">
        <v>504</v>
      </c>
      <c r="J489" s="548" t="s">
        <v>504</v>
      </c>
      <c r="K489" s="548" t="s">
        <v>504</v>
      </c>
    </row>
    <row r="490" spans="1:11" x14ac:dyDescent="0.3">
      <c r="A490" t="s">
        <v>935</v>
      </c>
      <c r="D490" s="548" t="s">
        <v>504</v>
      </c>
      <c r="E490" s="548" t="s">
        <v>504</v>
      </c>
      <c r="F490" s="548" t="s">
        <v>504</v>
      </c>
      <c r="G490" s="548" t="s">
        <v>504</v>
      </c>
      <c r="H490" s="548" t="s">
        <v>504</v>
      </c>
      <c r="I490" s="548" t="s">
        <v>504</v>
      </c>
      <c r="J490" s="548" t="s">
        <v>504</v>
      </c>
      <c r="K490" s="548" t="s">
        <v>504</v>
      </c>
    </row>
    <row r="491" spans="1:11" x14ac:dyDescent="0.3">
      <c r="A491" t="s">
        <v>936</v>
      </c>
      <c r="D491" s="548" t="s">
        <v>504</v>
      </c>
      <c r="E491" s="548" t="s">
        <v>504</v>
      </c>
      <c r="F491" s="548" t="s">
        <v>504</v>
      </c>
      <c r="G491" s="548" t="s">
        <v>504</v>
      </c>
      <c r="H491" s="548" t="s">
        <v>504</v>
      </c>
      <c r="I491" s="548" t="s">
        <v>504</v>
      </c>
      <c r="J491" s="548" t="s">
        <v>504</v>
      </c>
      <c r="K491" s="548" t="s">
        <v>504</v>
      </c>
    </row>
    <row r="492" spans="1:11" x14ac:dyDescent="0.3">
      <c r="A492" t="s">
        <v>937</v>
      </c>
      <c r="D492" s="548" t="s">
        <v>504</v>
      </c>
      <c r="E492" s="548" t="s">
        <v>504</v>
      </c>
      <c r="F492" s="548" t="s">
        <v>504</v>
      </c>
      <c r="G492" s="548" t="s">
        <v>504</v>
      </c>
      <c r="H492" s="548" t="s">
        <v>504</v>
      </c>
      <c r="I492" s="548" t="s">
        <v>504</v>
      </c>
      <c r="J492" s="548" t="s">
        <v>504</v>
      </c>
      <c r="K492" s="548" t="s">
        <v>504</v>
      </c>
    </row>
    <row r="493" spans="1:11" x14ac:dyDescent="0.3">
      <c r="A493" t="s">
        <v>938</v>
      </c>
      <c r="D493" s="548" t="s">
        <v>504</v>
      </c>
      <c r="E493" s="548" t="s">
        <v>504</v>
      </c>
      <c r="F493" s="548" t="s">
        <v>504</v>
      </c>
      <c r="G493" s="548" t="s">
        <v>504</v>
      </c>
      <c r="H493" s="548" t="s">
        <v>504</v>
      </c>
      <c r="I493" s="548" t="s">
        <v>504</v>
      </c>
      <c r="J493" s="548" t="s">
        <v>504</v>
      </c>
      <c r="K493" s="548" t="s">
        <v>504</v>
      </c>
    </row>
    <row r="494" spans="1:11" x14ac:dyDescent="0.3">
      <c r="A494" t="s">
        <v>939</v>
      </c>
      <c r="D494" s="548" t="s">
        <v>504</v>
      </c>
      <c r="E494" s="548" t="s">
        <v>504</v>
      </c>
      <c r="F494" s="548" t="s">
        <v>504</v>
      </c>
      <c r="G494" s="548" t="s">
        <v>504</v>
      </c>
      <c r="H494" s="548" t="s">
        <v>504</v>
      </c>
      <c r="I494" s="548" t="s">
        <v>504</v>
      </c>
      <c r="J494" s="548" t="s">
        <v>504</v>
      </c>
      <c r="K494" s="548" t="s">
        <v>504</v>
      </c>
    </row>
    <row r="495" spans="1:11" x14ac:dyDescent="0.3">
      <c r="A495" t="s">
        <v>940</v>
      </c>
      <c r="D495" s="548" t="s">
        <v>504</v>
      </c>
      <c r="E495" s="548" t="s">
        <v>504</v>
      </c>
      <c r="F495" s="548" t="s">
        <v>504</v>
      </c>
      <c r="G495" s="548" t="s">
        <v>504</v>
      </c>
      <c r="H495" s="548" t="s">
        <v>504</v>
      </c>
      <c r="I495" s="548" t="s">
        <v>504</v>
      </c>
      <c r="J495" s="548" t="s">
        <v>504</v>
      </c>
      <c r="K495" s="548" t="s">
        <v>504</v>
      </c>
    </row>
    <row r="496" spans="1:11" x14ac:dyDescent="0.3">
      <c r="A496" t="s">
        <v>941</v>
      </c>
      <c r="D496" s="548" t="s">
        <v>504</v>
      </c>
      <c r="E496" s="548" t="s">
        <v>504</v>
      </c>
      <c r="F496" s="548" t="s">
        <v>504</v>
      </c>
      <c r="G496" s="548" t="s">
        <v>504</v>
      </c>
      <c r="H496" s="548" t="s">
        <v>504</v>
      </c>
      <c r="I496" s="548" t="s">
        <v>504</v>
      </c>
      <c r="J496" s="548" t="s">
        <v>504</v>
      </c>
      <c r="K496" s="548" t="s">
        <v>504</v>
      </c>
    </row>
    <row r="497" spans="1:11" x14ac:dyDescent="0.3">
      <c r="A497" t="s">
        <v>942</v>
      </c>
      <c r="D497" s="548" t="s">
        <v>504</v>
      </c>
      <c r="E497" s="548" t="s">
        <v>504</v>
      </c>
      <c r="F497" s="548" t="s">
        <v>504</v>
      </c>
      <c r="G497" s="548" t="s">
        <v>504</v>
      </c>
      <c r="H497" s="548" t="s">
        <v>504</v>
      </c>
      <c r="I497" s="548" t="s">
        <v>504</v>
      </c>
      <c r="J497" s="548" t="s">
        <v>504</v>
      </c>
      <c r="K497" s="548" t="s">
        <v>504</v>
      </c>
    </row>
    <row r="498" spans="1:11" x14ac:dyDescent="0.3">
      <c r="A498" t="s">
        <v>943</v>
      </c>
      <c r="D498" s="548" t="s">
        <v>504</v>
      </c>
      <c r="E498" s="548" t="s">
        <v>504</v>
      </c>
      <c r="F498" s="548" t="s">
        <v>504</v>
      </c>
      <c r="G498" s="548" t="s">
        <v>504</v>
      </c>
      <c r="H498" s="548" t="s">
        <v>504</v>
      </c>
      <c r="I498" s="548" t="s">
        <v>504</v>
      </c>
      <c r="J498" s="548" t="s">
        <v>504</v>
      </c>
      <c r="K498" s="548" t="s">
        <v>504</v>
      </c>
    </row>
    <row r="499" spans="1:11" x14ac:dyDescent="0.3">
      <c r="A499" t="s">
        <v>944</v>
      </c>
      <c r="D499" s="548" t="s">
        <v>504</v>
      </c>
      <c r="E499" s="548" t="s">
        <v>504</v>
      </c>
      <c r="F499" s="548" t="s">
        <v>504</v>
      </c>
      <c r="G499" s="548" t="s">
        <v>504</v>
      </c>
      <c r="H499" s="548" t="s">
        <v>504</v>
      </c>
      <c r="I499" s="548" t="s">
        <v>504</v>
      </c>
      <c r="J499" s="548" t="s">
        <v>504</v>
      </c>
      <c r="K499" s="548" t="s">
        <v>504</v>
      </c>
    </row>
    <row r="500" spans="1:11" x14ac:dyDescent="0.3">
      <c r="A500" t="s">
        <v>945</v>
      </c>
      <c r="D500" s="548" t="s">
        <v>504</v>
      </c>
      <c r="E500" s="548" t="s">
        <v>504</v>
      </c>
      <c r="F500" s="548" t="s">
        <v>504</v>
      </c>
      <c r="G500" s="548" t="s">
        <v>504</v>
      </c>
      <c r="H500" s="548" t="s">
        <v>504</v>
      </c>
      <c r="I500" s="548" t="s">
        <v>504</v>
      </c>
      <c r="J500" s="548" t="s">
        <v>504</v>
      </c>
      <c r="K500" s="548" t="s">
        <v>504</v>
      </c>
    </row>
    <row r="501" spans="1:11" x14ac:dyDescent="0.3">
      <c r="A501" t="s">
        <v>946</v>
      </c>
      <c r="D501" s="548" t="s">
        <v>504</v>
      </c>
      <c r="E501" s="548" t="s">
        <v>504</v>
      </c>
      <c r="F501" s="548" t="s">
        <v>504</v>
      </c>
      <c r="G501" s="548" t="s">
        <v>504</v>
      </c>
      <c r="H501" s="548" t="s">
        <v>504</v>
      </c>
      <c r="I501" s="548" t="s">
        <v>504</v>
      </c>
      <c r="J501" s="548" t="s">
        <v>504</v>
      </c>
      <c r="K501" s="548" t="s">
        <v>504</v>
      </c>
    </row>
    <row r="502" spans="1:11" x14ac:dyDescent="0.3">
      <c r="A502" t="s">
        <v>947</v>
      </c>
      <c r="D502" s="548" t="s">
        <v>504</v>
      </c>
      <c r="E502" s="548" t="s">
        <v>504</v>
      </c>
      <c r="F502" s="548" t="s">
        <v>504</v>
      </c>
      <c r="G502" s="548" t="s">
        <v>504</v>
      </c>
      <c r="H502" s="548" t="s">
        <v>504</v>
      </c>
      <c r="I502" s="548" t="s">
        <v>504</v>
      </c>
      <c r="J502" s="548" t="s">
        <v>504</v>
      </c>
      <c r="K502" s="548" t="s">
        <v>504</v>
      </c>
    </row>
    <row r="503" spans="1:11" x14ac:dyDescent="0.3">
      <c r="A503" t="s">
        <v>948</v>
      </c>
      <c r="D503" s="548" t="s">
        <v>504</v>
      </c>
      <c r="E503" s="548" t="s">
        <v>504</v>
      </c>
      <c r="F503" s="548" t="s">
        <v>504</v>
      </c>
      <c r="G503" s="548" t="s">
        <v>504</v>
      </c>
      <c r="H503" s="548" t="s">
        <v>504</v>
      </c>
      <c r="I503" s="548" t="s">
        <v>504</v>
      </c>
      <c r="J503" s="548" t="s">
        <v>504</v>
      </c>
      <c r="K503" s="548" t="s">
        <v>504</v>
      </c>
    </row>
    <row r="504" spans="1:11" x14ac:dyDescent="0.3">
      <c r="A504" t="s">
        <v>949</v>
      </c>
      <c r="D504" s="548" t="s">
        <v>504</v>
      </c>
      <c r="E504" s="548" t="s">
        <v>504</v>
      </c>
      <c r="F504" s="548" t="s">
        <v>504</v>
      </c>
      <c r="G504" s="548" t="s">
        <v>504</v>
      </c>
      <c r="H504" s="548" t="s">
        <v>504</v>
      </c>
      <c r="I504" s="548" t="s">
        <v>504</v>
      </c>
      <c r="J504" s="548" t="s">
        <v>504</v>
      </c>
      <c r="K504" s="548" t="s">
        <v>504</v>
      </c>
    </row>
    <row r="505" spans="1:11" x14ac:dyDescent="0.3">
      <c r="A505" t="s">
        <v>950</v>
      </c>
      <c r="D505" s="548" t="s">
        <v>504</v>
      </c>
      <c r="E505" s="548" t="s">
        <v>504</v>
      </c>
      <c r="F505" s="548" t="s">
        <v>504</v>
      </c>
      <c r="G505" s="548" t="s">
        <v>504</v>
      </c>
      <c r="H505" s="548" t="s">
        <v>504</v>
      </c>
      <c r="I505" s="548" t="s">
        <v>504</v>
      </c>
      <c r="J505" s="548" t="s">
        <v>504</v>
      </c>
      <c r="K505" s="548" t="s">
        <v>504</v>
      </c>
    </row>
    <row r="506" spans="1:11" x14ac:dyDescent="0.3">
      <c r="A506" t="s">
        <v>951</v>
      </c>
      <c r="D506" s="548" t="s">
        <v>504</v>
      </c>
      <c r="E506" s="548" t="s">
        <v>504</v>
      </c>
      <c r="F506" s="548" t="s">
        <v>504</v>
      </c>
      <c r="G506" s="548" t="s">
        <v>504</v>
      </c>
      <c r="H506" s="548" t="s">
        <v>504</v>
      </c>
      <c r="I506" s="548" t="s">
        <v>504</v>
      </c>
      <c r="J506" s="548" t="s">
        <v>504</v>
      </c>
      <c r="K506" s="548" t="s">
        <v>504</v>
      </c>
    </row>
    <row r="507" spans="1:11" x14ac:dyDescent="0.3">
      <c r="A507" t="s">
        <v>952</v>
      </c>
      <c r="D507" s="548" t="s">
        <v>504</v>
      </c>
      <c r="E507" s="548" t="s">
        <v>504</v>
      </c>
      <c r="F507" s="548" t="s">
        <v>504</v>
      </c>
      <c r="G507" s="548" t="s">
        <v>504</v>
      </c>
      <c r="H507" s="548" t="s">
        <v>504</v>
      </c>
      <c r="I507" s="548" t="s">
        <v>504</v>
      </c>
      <c r="J507" s="548" t="s">
        <v>504</v>
      </c>
      <c r="K507" s="548" t="s">
        <v>504</v>
      </c>
    </row>
    <row r="508" spans="1:11" x14ac:dyDescent="0.3">
      <c r="A508" t="s">
        <v>953</v>
      </c>
      <c r="D508" s="548" t="s">
        <v>504</v>
      </c>
      <c r="E508" s="548" t="s">
        <v>504</v>
      </c>
      <c r="F508" s="548" t="s">
        <v>504</v>
      </c>
      <c r="G508" s="548" t="s">
        <v>504</v>
      </c>
      <c r="H508" s="548" t="s">
        <v>504</v>
      </c>
      <c r="I508" s="548" t="s">
        <v>504</v>
      </c>
      <c r="J508" s="548" t="s">
        <v>504</v>
      </c>
      <c r="K508" s="548" t="s">
        <v>504</v>
      </c>
    </row>
    <row r="509" spans="1:11" x14ac:dyDescent="0.3">
      <c r="A509" t="s">
        <v>954</v>
      </c>
      <c r="D509" s="548" t="s">
        <v>504</v>
      </c>
      <c r="E509" s="548" t="s">
        <v>504</v>
      </c>
      <c r="F509" s="548" t="s">
        <v>504</v>
      </c>
      <c r="G509" s="548" t="s">
        <v>504</v>
      </c>
      <c r="H509" s="548" t="s">
        <v>504</v>
      </c>
      <c r="I509" s="548" t="s">
        <v>504</v>
      </c>
      <c r="J509" s="548" t="s">
        <v>504</v>
      </c>
      <c r="K509" s="548" t="s">
        <v>504</v>
      </c>
    </row>
    <row r="510" spans="1:11" x14ac:dyDescent="0.3">
      <c r="A510" t="s">
        <v>955</v>
      </c>
      <c r="D510" s="548" t="s">
        <v>504</v>
      </c>
      <c r="E510" s="548" t="s">
        <v>504</v>
      </c>
      <c r="F510" s="548" t="s">
        <v>504</v>
      </c>
      <c r="G510" s="548" t="s">
        <v>504</v>
      </c>
      <c r="H510" s="548" t="s">
        <v>504</v>
      </c>
      <c r="I510" s="548" t="s">
        <v>504</v>
      </c>
      <c r="J510" s="548" t="s">
        <v>504</v>
      </c>
      <c r="K510" s="548" t="s">
        <v>504</v>
      </c>
    </row>
    <row r="511" spans="1:11" x14ac:dyDescent="0.3">
      <c r="A511" t="s">
        <v>956</v>
      </c>
      <c r="D511" s="548" t="s">
        <v>504</v>
      </c>
      <c r="E511" s="548" t="s">
        <v>504</v>
      </c>
      <c r="F511" s="548" t="s">
        <v>504</v>
      </c>
      <c r="G511" s="548" t="s">
        <v>504</v>
      </c>
      <c r="H511" s="548" t="s">
        <v>504</v>
      </c>
      <c r="I511" s="548" t="s">
        <v>504</v>
      </c>
      <c r="J511" s="548" t="s">
        <v>504</v>
      </c>
      <c r="K511" s="548" t="s">
        <v>504</v>
      </c>
    </row>
    <row r="512" spans="1:11" x14ac:dyDescent="0.3">
      <c r="A512" t="s">
        <v>957</v>
      </c>
      <c r="D512" s="548" t="s">
        <v>504</v>
      </c>
      <c r="E512" s="548" t="s">
        <v>504</v>
      </c>
      <c r="F512" s="548" t="s">
        <v>504</v>
      </c>
      <c r="G512" s="548" t="s">
        <v>504</v>
      </c>
      <c r="H512" s="548" t="s">
        <v>504</v>
      </c>
      <c r="I512" s="548" t="s">
        <v>504</v>
      </c>
      <c r="J512" s="548" t="s">
        <v>504</v>
      </c>
      <c r="K512" s="548" t="s">
        <v>504</v>
      </c>
    </row>
    <row r="513" spans="1:11" x14ac:dyDescent="0.3">
      <c r="A513" t="s">
        <v>958</v>
      </c>
      <c r="D513" s="548" t="s">
        <v>504</v>
      </c>
      <c r="E513" s="548" t="s">
        <v>504</v>
      </c>
      <c r="F513" s="548" t="s">
        <v>504</v>
      </c>
      <c r="G513" s="548" t="s">
        <v>504</v>
      </c>
      <c r="H513" s="548" t="s">
        <v>504</v>
      </c>
      <c r="I513" s="548" t="s">
        <v>504</v>
      </c>
      <c r="J513" s="548" t="s">
        <v>504</v>
      </c>
      <c r="K513" s="548" t="s">
        <v>504</v>
      </c>
    </row>
    <row r="514" spans="1:11" x14ac:dyDescent="0.3">
      <c r="A514" t="s">
        <v>959</v>
      </c>
      <c r="D514" s="548" t="s">
        <v>504</v>
      </c>
      <c r="E514" s="548" t="s">
        <v>504</v>
      </c>
      <c r="F514" s="548" t="s">
        <v>504</v>
      </c>
      <c r="G514" s="548" t="s">
        <v>504</v>
      </c>
      <c r="H514" s="548" t="s">
        <v>504</v>
      </c>
      <c r="I514" s="548" t="s">
        <v>504</v>
      </c>
      <c r="J514" s="548" t="s">
        <v>504</v>
      </c>
      <c r="K514" s="548" t="s">
        <v>504</v>
      </c>
    </row>
    <row r="515" spans="1:11" x14ac:dyDescent="0.3">
      <c r="A515" t="s">
        <v>960</v>
      </c>
      <c r="D515" s="548" t="s">
        <v>504</v>
      </c>
      <c r="E515" s="548" t="s">
        <v>504</v>
      </c>
      <c r="F515" s="548" t="s">
        <v>504</v>
      </c>
      <c r="G515" s="548" t="s">
        <v>504</v>
      </c>
      <c r="H515" s="548" t="s">
        <v>504</v>
      </c>
      <c r="I515" s="548" t="s">
        <v>504</v>
      </c>
      <c r="J515" s="548" t="s">
        <v>504</v>
      </c>
      <c r="K515" s="548" t="s">
        <v>504</v>
      </c>
    </row>
    <row r="516" spans="1:11" x14ac:dyDescent="0.3">
      <c r="A516" t="s">
        <v>961</v>
      </c>
      <c r="D516" s="548" t="s">
        <v>504</v>
      </c>
      <c r="E516" s="548" t="s">
        <v>504</v>
      </c>
      <c r="F516" s="548" t="s">
        <v>504</v>
      </c>
      <c r="G516" s="548" t="s">
        <v>504</v>
      </c>
      <c r="H516" s="548" t="s">
        <v>504</v>
      </c>
      <c r="I516" s="548" t="s">
        <v>504</v>
      </c>
      <c r="J516" s="548" t="s">
        <v>504</v>
      </c>
      <c r="K516" s="548" t="s">
        <v>504</v>
      </c>
    </row>
    <row r="517" spans="1:11" x14ac:dyDescent="0.3">
      <c r="A517" t="s">
        <v>962</v>
      </c>
      <c r="D517" s="548" t="s">
        <v>504</v>
      </c>
      <c r="E517" s="548" t="s">
        <v>504</v>
      </c>
      <c r="F517" s="548" t="s">
        <v>504</v>
      </c>
      <c r="G517" s="548" t="s">
        <v>504</v>
      </c>
      <c r="H517" s="548" t="s">
        <v>504</v>
      </c>
      <c r="I517" s="548" t="s">
        <v>504</v>
      </c>
      <c r="J517" s="548" t="s">
        <v>504</v>
      </c>
      <c r="K517" s="548" t="s">
        <v>504</v>
      </c>
    </row>
    <row r="518" spans="1:11" x14ac:dyDescent="0.3">
      <c r="A518" t="s">
        <v>963</v>
      </c>
      <c r="D518" s="548" t="s">
        <v>504</v>
      </c>
      <c r="E518" s="548" t="s">
        <v>504</v>
      </c>
      <c r="F518" s="548" t="s">
        <v>504</v>
      </c>
      <c r="G518" s="548" t="s">
        <v>504</v>
      </c>
      <c r="H518" s="548" t="s">
        <v>504</v>
      </c>
      <c r="I518" s="548" t="s">
        <v>504</v>
      </c>
      <c r="J518" s="548" t="s">
        <v>504</v>
      </c>
      <c r="K518" s="548" t="s">
        <v>504</v>
      </c>
    </row>
    <row r="519" spans="1:11" x14ac:dyDescent="0.3">
      <c r="A519" t="s">
        <v>964</v>
      </c>
      <c r="D519" s="548" t="s">
        <v>504</v>
      </c>
      <c r="E519" s="548" t="s">
        <v>504</v>
      </c>
      <c r="F519" s="548" t="s">
        <v>504</v>
      </c>
      <c r="G519" s="548" t="s">
        <v>504</v>
      </c>
      <c r="H519" s="548" t="s">
        <v>504</v>
      </c>
      <c r="I519" s="548" t="s">
        <v>504</v>
      </c>
      <c r="J519" s="548" t="s">
        <v>504</v>
      </c>
      <c r="K519" s="548" t="s">
        <v>504</v>
      </c>
    </row>
    <row r="520" spans="1:11" x14ac:dyDescent="0.3">
      <c r="A520" t="s">
        <v>965</v>
      </c>
      <c r="D520" s="548" t="s">
        <v>504</v>
      </c>
      <c r="E520" s="548" t="s">
        <v>504</v>
      </c>
      <c r="F520" s="548" t="s">
        <v>504</v>
      </c>
      <c r="G520" s="548" t="s">
        <v>504</v>
      </c>
      <c r="H520" s="548" t="s">
        <v>504</v>
      </c>
      <c r="I520" s="548" t="s">
        <v>504</v>
      </c>
      <c r="J520" s="548" t="s">
        <v>504</v>
      </c>
      <c r="K520" s="548" t="s">
        <v>504</v>
      </c>
    </row>
    <row r="521" spans="1:11" x14ac:dyDescent="0.3">
      <c r="A521" t="s">
        <v>966</v>
      </c>
      <c r="D521" s="548" t="s">
        <v>504</v>
      </c>
      <c r="E521" s="548" t="s">
        <v>504</v>
      </c>
      <c r="F521" s="548" t="s">
        <v>504</v>
      </c>
      <c r="G521" s="548" t="s">
        <v>504</v>
      </c>
      <c r="H521" s="548" t="s">
        <v>504</v>
      </c>
      <c r="I521" s="548" t="s">
        <v>504</v>
      </c>
      <c r="J521" s="548" t="s">
        <v>504</v>
      </c>
      <c r="K521" s="548" t="s">
        <v>504</v>
      </c>
    </row>
    <row r="522" spans="1:11" x14ac:dyDescent="0.3">
      <c r="A522" t="s">
        <v>967</v>
      </c>
      <c r="D522" s="548" t="s">
        <v>504</v>
      </c>
      <c r="E522" s="548" t="s">
        <v>504</v>
      </c>
      <c r="F522" s="548" t="s">
        <v>504</v>
      </c>
      <c r="G522" s="548" t="s">
        <v>504</v>
      </c>
      <c r="H522" s="548" t="s">
        <v>504</v>
      </c>
      <c r="I522" s="548" t="s">
        <v>504</v>
      </c>
      <c r="J522" s="548" t="s">
        <v>504</v>
      </c>
      <c r="K522" s="548" t="s">
        <v>504</v>
      </c>
    </row>
    <row r="523" spans="1:11" x14ac:dyDescent="0.3">
      <c r="A523" t="s">
        <v>968</v>
      </c>
      <c r="D523" s="548" t="s">
        <v>504</v>
      </c>
      <c r="E523" s="548" t="s">
        <v>504</v>
      </c>
      <c r="F523" s="548" t="s">
        <v>504</v>
      </c>
      <c r="G523" s="548" t="s">
        <v>504</v>
      </c>
      <c r="H523" s="548" t="s">
        <v>504</v>
      </c>
      <c r="I523" s="548" t="s">
        <v>504</v>
      </c>
      <c r="J523" s="548" t="s">
        <v>504</v>
      </c>
      <c r="K523" s="548" t="s">
        <v>504</v>
      </c>
    </row>
    <row r="524" spans="1:11" x14ac:dyDescent="0.3">
      <c r="A524" t="s">
        <v>969</v>
      </c>
      <c r="D524" s="548" t="s">
        <v>504</v>
      </c>
      <c r="E524" s="548" t="s">
        <v>504</v>
      </c>
      <c r="F524" s="548" t="s">
        <v>504</v>
      </c>
      <c r="G524" s="548" t="s">
        <v>504</v>
      </c>
      <c r="H524" s="548" t="s">
        <v>504</v>
      </c>
      <c r="I524" s="548" t="s">
        <v>504</v>
      </c>
      <c r="J524" s="548" t="s">
        <v>504</v>
      </c>
      <c r="K524" s="548" t="s">
        <v>504</v>
      </c>
    </row>
    <row r="525" spans="1:11" x14ac:dyDescent="0.3">
      <c r="A525" t="s">
        <v>970</v>
      </c>
      <c r="D525" s="548" t="s">
        <v>504</v>
      </c>
      <c r="E525" s="548" t="s">
        <v>504</v>
      </c>
      <c r="F525" s="548" t="s">
        <v>504</v>
      </c>
      <c r="G525" s="548" t="s">
        <v>504</v>
      </c>
      <c r="H525" s="548" t="s">
        <v>504</v>
      </c>
      <c r="I525" s="548" t="s">
        <v>504</v>
      </c>
      <c r="J525" s="548" t="s">
        <v>504</v>
      </c>
      <c r="K525" s="548" t="s">
        <v>504</v>
      </c>
    </row>
    <row r="526" spans="1:11" x14ac:dyDescent="0.3">
      <c r="A526" t="s">
        <v>971</v>
      </c>
      <c r="D526" s="548" t="s">
        <v>504</v>
      </c>
      <c r="E526" s="548" t="s">
        <v>504</v>
      </c>
      <c r="F526" s="548" t="s">
        <v>504</v>
      </c>
      <c r="G526" s="548" t="s">
        <v>504</v>
      </c>
      <c r="H526" s="548" t="s">
        <v>504</v>
      </c>
      <c r="I526" s="548" t="s">
        <v>504</v>
      </c>
      <c r="J526" s="548" t="s">
        <v>504</v>
      </c>
      <c r="K526" s="548" t="s">
        <v>504</v>
      </c>
    </row>
    <row r="527" spans="1:11" x14ac:dyDescent="0.3">
      <c r="A527" t="s">
        <v>972</v>
      </c>
      <c r="D527" s="548" t="s">
        <v>504</v>
      </c>
      <c r="E527" s="548" t="s">
        <v>504</v>
      </c>
      <c r="F527" s="548" t="s">
        <v>504</v>
      </c>
      <c r="G527" s="548" t="s">
        <v>504</v>
      </c>
      <c r="H527" s="548" t="s">
        <v>504</v>
      </c>
      <c r="I527" s="548" t="s">
        <v>504</v>
      </c>
      <c r="J527" s="548" t="s">
        <v>504</v>
      </c>
      <c r="K527" s="548" t="s">
        <v>504</v>
      </c>
    </row>
    <row r="528" spans="1:11" x14ac:dyDescent="0.3">
      <c r="A528" t="s">
        <v>973</v>
      </c>
      <c r="D528" s="548" t="s">
        <v>504</v>
      </c>
      <c r="E528" s="548" t="s">
        <v>504</v>
      </c>
      <c r="F528" s="548" t="s">
        <v>504</v>
      </c>
      <c r="G528" s="548" t="s">
        <v>504</v>
      </c>
      <c r="H528" s="548" t="s">
        <v>504</v>
      </c>
      <c r="I528" s="548" t="s">
        <v>504</v>
      </c>
      <c r="J528" s="548" t="s">
        <v>504</v>
      </c>
      <c r="K528" s="548" t="s">
        <v>504</v>
      </c>
    </row>
    <row r="529" spans="1:11" x14ac:dyDescent="0.3">
      <c r="A529" t="s">
        <v>974</v>
      </c>
      <c r="D529" s="548" t="s">
        <v>504</v>
      </c>
      <c r="E529" s="548" t="s">
        <v>504</v>
      </c>
      <c r="F529" s="548" t="s">
        <v>504</v>
      </c>
      <c r="G529" s="548" t="s">
        <v>504</v>
      </c>
      <c r="H529" s="548" t="s">
        <v>504</v>
      </c>
      <c r="I529" s="548" t="s">
        <v>504</v>
      </c>
      <c r="J529" s="548" t="s">
        <v>504</v>
      </c>
      <c r="K529" s="548" t="s">
        <v>504</v>
      </c>
    </row>
    <row r="530" spans="1:11" x14ac:dyDescent="0.3">
      <c r="A530" t="s">
        <v>975</v>
      </c>
      <c r="D530" s="548" t="s">
        <v>504</v>
      </c>
      <c r="E530" s="548" t="s">
        <v>504</v>
      </c>
      <c r="F530" s="548" t="s">
        <v>504</v>
      </c>
      <c r="G530" s="548" t="s">
        <v>504</v>
      </c>
      <c r="H530" s="548" t="s">
        <v>504</v>
      </c>
      <c r="I530" s="548" t="s">
        <v>504</v>
      </c>
      <c r="J530" s="548" t="s">
        <v>504</v>
      </c>
      <c r="K530" s="548" t="s">
        <v>504</v>
      </c>
    </row>
    <row r="531" spans="1:11" x14ac:dyDescent="0.3">
      <c r="A531" t="s">
        <v>976</v>
      </c>
      <c r="D531" s="548" t="s">
        <v>504</v>
      </c>
      <c r="E531" s="548" t="s">
        <v>504</v>
      </c>
      <c r="F531" s="548" t="s">
        <v>504</v>
      </c>
      <c r="G531" s="548" t="s">
        <v>504</v>
      </c>
      <c r="H531" s="548" t="s">
        <v>504</v>
      </c>
      <c r="I531" s="548" t="s">
        <v>504</v>
      </c>
      <c r="J531" s="548" t="s">
        <v>504</v>
      </c>
      <c r="K531" s="548" t="s">
        <v>504</v>
      </c>
    </row>
    <row r="532" spans="1:11" x14ac:dyDescent="0.3">
      <c r="A532" t="s">
        <v>977</v>
      </c>
      <c r="D532" s="548" t="s">
        <v>504</v>
      </c>
      <c r="E532" s="548" t="s">
        <v>504</v>
      </c>
      <c r="F532" s="548" t="s">
        <v>504</v>
      </c>
      <c r="G532" s="548" t="s">
        <v>504</v>
      </c>
      <c r="H532" s="548" t="s">
        <v>504</v>
      </c>
      <c r="I532" s="548" t="s">
        <v>504</v>
      </c>
      <c r="J532" s="548" t="s">
        <v>504</v>
      </c>
      <c r="K532" s="548" t="s">
        <v>504</v>
      </c>
    </row>
    <row r="533" spans="1:11" x14ac:dyDescent="0.3">
      <c r="A533" t="s">
        <v>978</v>
      </c>
      <c r="D533" s="548" t="s">
        <v>504</v>
      </c>
      <c r="E533" s="548" t="s">
        <v>504</v>
      </c>
      <c r="F533" s="548" t="s">
        <v>504</v>
      </c>
      <c r="G533" s="548" t="s">
        <v>504</v>
      </c>
      <c r="H533" s="548" t="s">
        <v>504</v>
      </c>
      <c r="I533" s="548" t="s">
        <v>504</v>
      </c>
      <c r="J533" s="548" t="s">
        <v>504</v>
      </c>
      <c r="K533" s="548" t="s">
        <v>504</v>
      </c>
    </row>
    <row r="534" spans="1:11" x14ac:dyDescent="0.3">
      <c r="A534" t="s">
        <v>979</v>
      </c>
      <c r="D534" s="548" t="s">
        <v>504</v>
      </c>
      <c r="E534" s="548" t="s">
        <v>504</v>
      </c>
      <c r="F534" s="548" t="s">
        <v>504</v>
      </c>
      <c r="G534" s="548" t="s">
        <v>504</v>
      </c>
      <c r="H534" s="548" t="s">
        <v>504</v>
      </c>
      <c r="I534" s="548" t="s">
        <v>504</v>
      </c>
      <c r="J534" s="548" t="s">
        <v>504</v>
      </c>
      <c r="K534" s="548" t="s">
        <v>504</v>
      </c>
    </row>
    <row r="535" spans="1:11" x14ac:dyDescent="0.3">
      <c r="A535" t="s">
        <v>980</v>
      </c>
      <c r="D535" s="548" t="s">
        <v>504</v>
      </c>
      <c r="E535" s="548" t="s">
        <v>504</v>
      </c>
      <c r="F535" s="548" t="s">
        <v>504</v>
      </c>
      <c r="G535" s="548" t="s">
        <v>504</v>
      </c>
      <c r="H535" s="548" t="s">
        <v>504</v>
      </c>
      <c r="I535" s="548" t="s">
        <v>504</v>
      </c>
      <c r="J535" s="548" t="s">
        <v>504</v>
      </c>
      <c r="K535" s="548" t="s">
        <v>504</v>
      </c>
    </row>
    <row r="536" spans="1:11" x14ac:dyDescent="0.3">
      <c r="A536" t="s">
        <v>981</v>
      </c>
      <c r="D536" s="548" t="s">
        <v>504</v>
      </c>
      <c r="E536" s="548" t="s">
        <v>504</v>
      </c>
      <c r="F536" s="548" t="s">
        <v>504</v>
      </c>
      <c r="G536" s="548" t="s">
        <v>504</v>
      </c>
      <c r="H536" s="548" t="s">
        <v>504</v>
      </c>
      <c r="I536" s="548" t="s">
        <v>504</v>
      </c>
      <c r="J536" s="548" t="s">
        <v>504</v>
      </c>
      <c r="K536" s="548" t="s">
        <v>504</v>
      </c>
    </row>
    <row r="537" spans="1:11" x14ac:dyDescent="0.3">
      <c r="A537" t="s">
        <v>982</v>
      </c>
      <c r="D537" s="548" t="s">
        <v>504</v>
      </c>
      <c r="E537" s="548" t="s">
        <v>504</v>
      </c>
      <c r="F537" s="548" t="s">
        <v>504</v>
      </c>
      <c r="G537" s="548" t="s">
        <v>504</v>
      </c>
      <c r="H537" s="548" t="s">
        <v>504</v>
      </c>
      <c r="I537" s="548" t="s">
        <v>504</v>
      </c>
      <c r="J537" s="548" t="s">
        <v>504</v>
      </c>
      <c r="K537" s="548" t="s">
        <v>504</v>
      </c>
    </row>
    <row r="538" spans="1:11" x14ac:dyDescent="0.3">
      <c r="A538" t="s">
        <v>983</v>
      </c>
      <c r="D538" s="548" t="s">
        <v>504</v>
      </c>
      <c r="E538" s="548" t="s">
        <v>504</v>
      </c>
      <c r="F538" s="548" t="s">
        <v>504</v>
      </c>
      <c r="G538" s="548" t="s">
        <v>504</v>
      </c>
      <c r="H538" s="548" t="s">
        <v>504</v>
      </c>
      <c r="I538" s="548" t="s">
        <v>504</v>
      </c>
      <c r="J538" s="548" t="s">
        <v>504</v>
      </c>
      <c r="K538" s="548" t="s">
        <v>504</v>
      </c>
    </row>
    <row r="539" spans="1:11" x14ac:dyDescent="0.3">
      <c r="A539" t="s">
        <v>984</v>
      </c>
      <c r="D539" s="548" t="s">
        <v>504</v>
      </c>
      <c r="E539" s="548" t="s">
        <v>504</v>
      </c>
      <c r="F539" s="548" t="s">
        <v>504</v>
      </c>
      <c r="G539" s="548" t="s">
        <v>504</v>
      </c>
      <c r="H539" s="548" t="s">
        <v>504</v>
      </c>
      <c r="I539" s="548" t="s">
        <v>504</v>
      </c>
      <c r="J539" s="548" t="s">
        <v>504</v>
      </c>
      <c r="K539" s="548" t="s">
        <v>504</v>
      </c>
    </row>
    <row r="540" spans="1:11" x14ac:dyDescent="0.3">
      <c r="A540" t="s">
        <v>985</v>
      </c>
      <c r="D540" s="548" t="s">
        <v>504</v>
      </c>
      <c r="E540" s="548" t="s">
        <v>504</v>
      </c>
      <c r="F540" s="548" t="s">
        <v>504</v>
      </c>
      <c r="G540" s="548" t="s">
        <v>504</v>
      </c>
      <c r="H540" s="548" t="s">
        <v>504</v>
      </c>
      <c r="I540" s="548" t="s">
        <v>504</v>
      </c>
      <c r="J540" s="548" t="s">
        <v>504</v>
      </c>
      <c r="K540" s="548" t="s">
        <v>504</v>
      </c>
    </row>
    <row r="541" spans="1:11" x14ac:dyDescent="0.3">
      <c r="A541" t="s">
        <v>986</v>
      </c>
      <c r="D541" s="548" t="s">
        <v>504</v>
      </c>
      <c r="E541" s="548" t="s">
        <v>504</v>
      </c>
      <c r="F541" s="548" t="s">
        <v>504</v>
      </c>
      <c r="G541" s="548" t="s">
        <v>504</v>
      </c>
      <c r="H541" s="548" t="s">
        <v>504</v>
      </c>
      <c r="I541" s="548" t="s">
        <v>504</v>
      </c>
      <c r="J541" s="548" t="s">
        <v>504</v>
      </c>
      <c r="K541" s="548" t="s">
        <v>504</v>
      </c>
    </row>
    <row r="542" spans="1:11" x14ac:dyDescent="0.3">
      <c r="A542" t="s">
        <v>987</v>
      </c>
      <c r="D542" s="548" t="s">
        <v>504</v>
      </c>
      <c r="E542" s="548" t="s">
        <v>504</v>
      </c>
      <c r="F542" s="548" t="s">
        <v>504</v>
      </c>
      <c r="G542" s="548" t="s">
        <v>504</v>
      </c>
      <c r="H542" s="548" t="s">
        <v>504</v>
      </c>
      <c r="I542" s="548" t="s">
        <v>504</v>
      </c>
      <c r="J542" s="548" t="s">
        <v>504</v>
      </c>
      <c r="K542" s="548" t="s">
        <v>504</v>
      </c>
    </row>
    <row r="543" spans="1:11" x14ac:dyDescent="0.3">
      <c r="A543" t="s">
        <v>988</v>
      </c>
      <c r="D543" s="548" t="s">
        <v>504</v>
      </c>
      <c r="E543" s="548" t="s">
        <v>504</v>
      </c>
      <c r="F543" s="548" t="s">
        <v>504</v>
      </c>
      <c r="G543" s="548" t="s">
        <v>504</v>
      </c>
      <c r="H543" s="548" t="s">
        <v>504</v>
      </c>
      <c r="I543" s="548" t="s">
        <v>504</v>
      </c>
      <c r="J543" s="548" t="s">
        <v>504</v>
      </c>
      <c r="K543" s="548" t="s">
        <v>504</v>
      </c>
    </row>
    <row r="544" spans="1:11" x14ac:dyDescent="0.3">
      <c r="A544" t="s">
        <v>989</v>
      </c>
      <c r="D544" s="548" t="s">
        <v>504</v>
      </c>
      <c r="E544" s="548" t="s">
        <v>504</v>
      </c>
      <c r="F544" s="548" t="s">
        <v>504</v>
      </c>
      <c r="G544" s="548" t="s">
        <v>504</v>
      </c>
      <c r="H544" s="548" t="s">
        <v>504</v>
      </c>
      <c r="I544" s="548" t="s">
        <v>504</v>
      </c>
      <c r="J544" s="548" t="s">
        <v>504</v>
      </c>
      <c r="K544" s="548" t="s">
        <v>504</v>
      </c>
    </row>
    <row r="545" spans="1:11" x14ac:dyDescent="0.3">
      <c r="A545" t="s">
        <v>990</v>
      </c>
      <c r="D545" s="548" t="s">
        <v>504</v>
      </c>
      <c r="E545" s="548" t="s">
        <v>504</v>
      </c>
      <c r="F545" s="548" t="s">
        <v>504</v>
      </c>
      <c r="G545" s="548" t="s">
        <v>504</v>
      </c>
      <c r="H545" s="548" t="s">
        <v>504</v>
      </c>
      <c r="I545" s="548" t="s">
        <v>504</v>
      </c>
      <c r="J545" s="548" t="s">
        <v>504</v>
      </c>
      <c r="K545" s="548" t="s">
        <v>504</v>
      </c>
    </row>
    <row r="546" spans="1:11" x14ac:dyDescent="0.3">
      <c r="A546" t="s">
        <v>991</v>
      </c>
      <c r="D546" s="548" t="s">
        <v>504</v>
      </c>
      <c r="E546" s="548" t="s">
        <v>504</v>
      </c>
      <c r="F546" s="548" t="s">
        <v>504</v>
      </c>
      <c r="G546" s="548" t="s">
        <v>504</v>
      </c>
      <c r="H546" s="548" t="s">
        <v>504</v>
      </c>
      <c r="I546" s="548" t="s">
        <v>504</v>
      </c>
      <c r="J546" s="548" t="s">
        <v>504</v>
      </c>
      <c r="K546" s="548" t="s">
        <v>504</v>
      </c>
    </row>
    <row r="547" spans="1:11" x14ac:dyDescent="0.3">
      <c r="A547" t="s">
        <v>992</v>
      </c>
      <c r="D547" s="548" t="s">
        <v>504</v>
      </c>
      <c r="E547" s="548" t="s">
        <v>504</v>
      </c>
      <c r="F547" s="548" t="s">
        <v>504</v>
      </c>
      <c r="G547" s="548" t="s">
        <v>504</v>
      </c>
      <c r="H547" s="548" t="s">
        <v>504</v>
      </c>
      <c r="I547" s="548" t="s">
        <v>504</v>
      </c>
      <c r="J547" s="548" t="s">
        <v>504</v>
      </c>
      <c r="K547" s="548" t="s">
        <v>504</v>
      </c>
    </row>
    <row r="548" spans="1:11" x14ac:dyDescent="0.3">
      <c r="A548" t="s">
        <v>993</v>
      </c>
      <c r="D548" s="548" t="s">
        <v>504</v>
      </c>
      <c r="E548" s="548" t="s">
        <v>504</v>
      </c>
      <c r="F548" s="548" t="s">
        <v>504</v>
      </c>
      <c r="G548" s="548" t="s">
        <v>504</v>
      </c>
      <c r="H548" s="548" t="s">
        <v>504</v>
      </c>
      <c r="I548" s="548" t="s">
        <v>504</v>
      </c>
      <c r="J548" s="548" t="s">
        <v>504</v>
      </c>
      <c r="K548" s="548" t="s">
        <v>504</v>
      </c>
    </row>
    <row r="549" spans="1:11" x14ac:dyDescent="0.3">
      <c r="A549" t="s">
        <v>994</v>
      </c>
      <c r="D549" s="548" t="s">
        <v>504</v>
      </c>
      <c r="E549" s="548" t="s">
        <v>504</v>
      </c>
      <c r="F549" s="548" t="s">
        <v>504</v>
      </c>
      <c r="G549" s="548" t="s">
        <v>504</v>
      </c>
      <c r="H549" s="548" t="s">
        <v>504</v>
      </c>
      <c r="I549" s="548" t="s">
        <v>504</v>
      </c>
      <c r="J549" s="548" t="s">
        <v>504</v>
      </c>
      <c r="K549" s="548" t="s">
        <v>504</v>
      </c>
    </row>
    <row r="550" spans="1:11" x14ac:dyDescent="0.3">
      <c r="A550" t="s">
        <v>995</v>
      </c>
      <c r="D550" s="548" t="s">
        <v>504</v>
      </c>
      <c r="E550" s="548" t="s">
        <v>504</v>
      </c>
      <c r="F550" s="548" t="s">
        <v>504</v>
      </c>
      <c r="G550" s="548" t="s">
        <v>504</v>
      </c>
      <c r="H550" s="548" t="s">
        <v>504</v>
      </c>
      <c r="I550" s="548" t="s">
        <v>504</v>
      </c>
      <c r="J550" s="548" t="s">
        <v>504</v>
      </c>
      <c r="K550" s="548" t="s">
        <v>504</v>
      </c>
    </row>
    <row r="551" spans="1:11" x14ac:dyDescent="0.3">
      <c r="A551" t="s">
        <v>996</v>
      </c>
      <c r="D551" s="548" t="s">
        <v>504</v>
      </c>
      <c r="E551" s="548" t="s">
        <v>504</v>
      </c>
      <c r="F551" s="548" t="s">
        <v>504</v>
      </c>
      <c r="G551" s="548" t="s">
        <v>504</v>
      </c>
      <c r="H551" s="548" t="s">
        <v>504</v>
      </c>
      <c r="I551" s="548" t="s">
        <v>504</v>
      </c>
      <c r="J551" s="548" t="s">
        <v>504</v>
      </c>
      <c r="K551" s="548" t="s">
        <v>504</v>
      </c>
    </row>
    <row r="552" spans="1:11" x14ac:dyDescent="0.3">
      <c r="A552" t="s">
        <v>997</v>
      </c>
      <c r="D552" s="548" t="s">
        <v>504</v>
      </c>
      <c r="E552" s="548" t="s">
        <v>504</v>
      </c>
      <c r="F552" s="548" t="s">
        <v>504</v>
      </c>
      <c r="G552" s="548" t="s">
        <v>504</v>
      </c>
      <c r="H552" s="548" t="s">
        <v>504</v>
      </c>
      <c r="I552" s="548" t="s">
        <v>504</v>
      </c>
      <c r="J552" s="548" t="s">
        <v>504</v>
      </c>
      <c r="K552" s="548" t="s">
        <v>504</v>
      </c>
    </row>
    <row r="553" spans="1:11" x14ac:dyDescent="0.3">
      <c r="A553" t="s">
        <v>998</v>
      </c>
      <c r="D553" s="548" t="s">
        <v>504</v>
      </c>
      <c r="E553" s="548" t="s">
        <v>504</v>
      </c>
      <c r="F553" s="548" t="s">
        <v>504</v>
      </c>
      <c r="G553" s="548" t="s">
        <v>504</v>
      </c>
      <c r="H553" s="548" t="s">
        <v>504</v>
      </c>
      <c r="I553" s="548" t="s">
        <v>504</v>
      </c>
      <c r="J553" s="548" t="s">
        <v>504</v>
      </c>
      <c r="K553" s="548" t="s">
        <v>504</v>
      </c>
    </row>
    <row r="554" spans="1:11" x14ac:dyDescent="0.3">
      <c r="A554" t="s">
        <v>999</v>
      </c>
      <c r="D554" s="548" t="s">
        <v>504</v>
      </c>
      <c r="E554" s="548" t="s">
        <v>504</v>
      </c>
      <c r="F554" s="548" t="s">
        <v>504</v>
      </c>
      <c r="G554" s="548" t="s">
        <v>504</v>
      </c>
      <c r="H554" s="548" t="s">
        <v>504</v>
      </c>
      <c r="I554" s="548" t="s">
        <v>504</v>
      </c>
      <c r="J554" s="548" t="s">
        <v>504</v>
      </c>
      <c r="K554" s="548" t="s">
        <v>504</v>
      </c>
    </row>
    <row r="555" spans="1:11" x14ac:dyDescent="0.3">
      <c r="A555" t="s">
        <v>1000</v>
      </c>
      <c r="D555" s="548" t="s">
        <v>504</v>
      </c>
      <c r="E555" s="548" t="s">
        <v>504</v>
      </c>
      <c r="F555" s="548" t="s">
        <v>504</v>
      </c>
      <c r="G555" s="548" t="s">
        <v>504</v>
      </c>
      <c r="H555" s="548" t="s">
        <v>504</v>
      </c>
      <c r="I555" s="548" t="s">
        <v>504</v>
      </c>
      <c r="J555" s="548" t="s">
        <v>504</v>
      </c>
      <c r="K555" s="548" t="s">
        <v>504</v>
      </c>
    </row>
    <row r="556" spans="1:11" x14ac:dyDescent="0.3">
      <c r="A556" t="s">
        <v>1001</v>
      </c>
      <c r="D556" s="548" t="s">
        <v>504</v>
      </c>
      <c r="E556" s="548" t="s">
        <v>504</v>
      </c>
      <c r="F556" s="548" t="s">
        <v>504</v>
      </c>
      <c r="G556" s="548" t="s">
        <v>504</v>
      </c>
      <c r="H556" s="548" t="s">
        <v>504</v>
      </c>
      <c r="I556" s="548" t="s">
        <v>504</v>
      </c>
      <c r="J556" s="548" t="s">
        <v>504</v>
      </c>
      <c r="K556" s="548" t="s">
        <v>504</v>
      </c>
    </row>
    <row r="557" spans="1:11" x14ac:dyDescent="0.3">
      <c r="A557" t="s">
        <v>1002</v>
      </c>
      <c r="D557" s="548" t="s">
        <v>504</v>
      </c>
      <c r="E557" s="548" t="s">
        <v>504</v>
      </c>
      <c r="F557" s="548" t="s">
        <v>504</v>
      </c>
      <c r="G557" s="548" t="s">
        <v>504</v>
      </c>
      <c r="H557" s="548" t="s">
        <v>504</v>
      </c>
      <c r="I557" s="548" t="s">
        <v>504</v>
      </c>
      <c r="J557" s="548" t="s">
        <v>504</v>
      </c>
      <c r="K557" s="548" t="s">
        <v>504</v>
      </c>
    </row>
    <row r="558" spans="1:11" x14ac:dyDescent="0.3">
      <c r="A558" t="s">
        <v>1003</v>
      </c>
      <c r="D558" s="548" t="s">
        <v>504</v>
      </c>
      <c r="E558" s="548" t="s">
        <v>504</v>
      </c>
      <c r="F558" s="548" t="s">
        <v>504</v>
      </c>
      <c r="G558" s="548" t="s">
        <v>504</v>
      </c>
      <c r="H558" s="548" t="s">
        <v>504</v>
      </c>
      <c r="I558" s="548" t="s">
        <v>504</v>
      </c>
      <c r="J558" s="548" t="s">
        <v>504</v>
      </c>
      <c r="K558" s="548" t="s">
        <v>504</v>
      </c>
    </row>
    <row r="559" spans="1:11" x14ac:dyDescent="0.3">
      <c r="A559" t="s">
        <v>1004</v>
      </c>
      <c r="D559" s="548" t="s">
        <v>504</v>
      </c>
      <c r="E559" s="548" t="s">
        <v>504</v>
      </c>
      <c r="F559" s="548" t="s">
        <v>504</v>
      </c>
      <c r="G559" s="548" t="s">
        <v>504</v>
      </c>
      <c r="H559" s="548" t="s">
        <v>504</v>
      </c>
      <c r="I559" s="548" t="s">
        <v>504</v>
      </c>
      <c r="J559" s="548" t="s">
        <v>504</v>
      </c>
      <c r="K559" s="548" t="s">
        <v>504</v>
      </c>
    </row>
    <row r="560" spans="1:11" x14ac:dyDescent="0.3">
      <c r="A560" t="s">
        <v>1005</v>
      </c>
      <c r="D560" s="548" t="s">
        <v>504</v>
      </c>
      <c r="E560" s="548" t="s">
        <v>504</v>
      </c>
      <c r="F560" s="548" t="s">
        <v>504</v>
      </c>
      <c r="G560" s="548" t="s">
        <v>504</v>
      </c>
      <c r="H560" s="548" t="s">
        <v>504</v>
      </c>
      <c r="I560" s="548" t="s">
        <v>504</v>
      </c>
      <c r="J560" s="548" t="s">
        <v>504</v>
      </c>
      <c r="K560" s="548" t="s">
        <v>504</v>
      </c>
    </row>
    <row r="561" spans="1:11" x14ac:dyDescent="0.3">
      <c r="A561" t="s">
        <v>1006</v>
      </c>
      <c r="D561" s="548" t="s">
        <v>504</v>
      </c>
      <c r="E561" s="548" t="s">
        <v>504</v>
      </c>
      <c r="F561" s="548" t="s">
        <v>504</v>
      </c>
      <c r="G561" s="548" t="s">
        <v>504</v>
      </c>
      <c r="H561" s="548" t="s">
        <v>504</v>
      </c>
      <c r="I561" s="548" t="s">
        <v>504</v>
      </c>
      <c r="J561" s="548" t="s">
        <v>504</v>
      </c>
      <c r="K561" s="548" t="s">
        <v>504</v>
      </c>
    </row>
    <row r="562" spans="1:11" x14ac:dyDescent="0.3">
      <c r="A562" t="s">
        <v>1007</v>
      </c>
      <c r="D562" s="548" t="s">
        <v>504</v>
      </c>
      <c r="E562" s="548" t="s">
        <v>504</v>
      </c>
      <c r="F562" s="548" t="s">
        <v>504</v>
      </c>
      <c r="G562" s="548" t="s">
        <v>504</v>
      </c>
      <c r="H562" s="548" t="s">
        <v>504</v>
      </c>
      <c r="I562" s="548" t="s">
        <v>504</v>
      </c>
      <c r="J562" s="548" t="s">
        <v>504</v>
      </c>
      <c r="K562" s="548" t="s">
        <v>504</v>
      </c>
    </row>
    <row r="563" spans="1:11" x14ac:dyDescent="0.3">
      <c r="A563" t="s">
        <v>1008</v>
      </c>
      <c r="D563" s="548" t="s">
        <v>504</v>
      </c>
      <c r="E563" s="548" t="s">
        <v>504</v>
      </c>
      <c r="F563" s="548" t="s">
        <v>504</v>
      </c>
      <c r="G563" s="548" t="s">
        <v>504</v>
      </c>
      <c r="H563" s="548" t="s">
        <v>504</v>
      </c>
      <c r="I563" s="548" t="s">
        <v>504</v>
      </c>
      <c r="J563" s="548" t="s">
        <v>504</v>
      </c>
      <c r="K563" s="548" t="s">
        <v>504</v>
      </c>
    </row>
    <row r="564" spans="1:11" x14ac:dyDescent="0.3">
      <c r="A564" t="s">
        <v>1009</v>
      </c>
      <c r="D564" s="548" t="s">
        <v>504</v>
      </c>
      <c r="E564" s="548" t="s">
        <v>504</v>
      </c>
      <c r="F564" s="548" t="s">
        <v>504</v>
      </c>
      <c r="G564" s="548" t="s">
        <v>504</v>
      </c>
      <c r="H564" s="548" t="s">
        <v>504</v>
      </c>
      <c r="I564" s="548" t="s">
        <v>504</v>
      </c>
      <c r="J564" s="548" t="s">
        <v>504</v>
      </c>
      <c r="K564" s="548" t="s">
        <v>504</v>
      </c>
    </row>
    <row r="565" spans="1:11" x14ac:dyDescent="0.3">
      <c r="A565" t="s">
        <v>1010</v>
      </c>
      <c r="D565" s="548" t="s">
        <v>504</v>
      </c>
      <c r="E565" s="548" t="s">
        <v>504</v>
      </c>
      <c r="F565" s="548" t="s">
        <v>504</v>
      </c>
      <c r="G565" s="548" t="s">
        <v>504</v>
      </c>
      <c r="H565" s="548" t="s">
        <v>504</v>
      </c>
      <c r="I565" s="548" t="s">
        <v>504</v>
      </c>
      <c r="J565" s="548" t="s">
        <v>504</v>
      </c>
      <c r="K565" s="548" t="s">
        <v>504</v>
      </c>
    </row>
    <row r="566" spans="1:11" x14ac:dyDescent="0.3">
      <c r="A566" t="s">
        <v>1011</v>
      </c>
      <c r="D566" s="548" t="s">
        <v>504</v>
      </c>
      <c r="E566" s="548" t="s">
        <v>504</v>
      </c>
      <c r="F566" s="548" t="s">
        <v>504</v>
      </c>
      <c r="G566" s="548" t="s">
        <v>504</v>
      </c>
      <c r="H566" s="548" t="s">
        <v>504</v>
      </c>
      <c r="I566" s="548" t="s">
        <v>504</v>
      </c>
      <c r="J566" s="548" t="s">
        <v>504</v>
      </c>
      <c r="K566" s="548" t="s">
        <v>504</v>
      </c>
    </row>
    <row r="567" spans="1:11" x14ac:dyDescent="0.3">
      <c r="A567" t="s">
        <v>1012</v>
      </c>
      <c r="D567" s="548" t="s">
        <v>504</v>
      </c>
      <c r="E567" s="548" t="s">
        <v>504</v>
      </c>
      <c r="F567" s="548" t="s">
        <v>504</v>
      </c>
      <c r="G567" s="548" t="s">
        <v>504</v>
      </c>
      <c r="H567" s="548" t="s">
        <v>504</v>
      </c>
      <c r="I567" s="548" t="s">
        <v>504</v>
      </c>
      <c r="J567" s="548" t="s">
        <v>504</v>
      </c>
      <c r="K567" s="548" t="s">
        <v>504</v>
      </c>
    </row>
    <row r="568" spans="1:11" x14ac:dyDescent="0.3">
      <c r="A568" t="s">
        <v>1013</v>
      </c>
      <c r="D568" s="548" t="s">
        <v>504</v>
      </c>
      <c r="E568" s="548" t="s">
        <v>504</v>
      </c>
      <c r="F568" s="548" t="s">
        <v>504</v>
      </c>
      <c r="G568" s="548" t="s">
        <v>504</v>
      </c>
      <c r="H568" s="548" t="s">
        <v>504</v>
      </c>
      <c r="I568" s="548" t="s">
        <v>504</v>
      </c>
      <c r="J568" s="548" t="s">
        <v>504</v>
      </c>
      <c r="K568" s="548" t="s">
        <v>504</v>
      </c>
    </row>
    <row r="569" spans="1:11" x14ac:dyDescent="0.3">
      <c r="A569" t="s">
        <v>1014</v>
      </c>
      <c r="D569" s="548" t="s">
        <v>504</v>
      </c>
      <c r="E569" s="548" t="s">
        <v>504</v>
      </c>
      <c r="F569" s="548" t="s">
        <v>504</v>
      </c>
      <c r="G569" s="548" t="s">
        <v>504</v>
      </c>
      <c r="H569" s="548" t="s">
        <v>504</v>
      </c>
      <c r="I569" s="548" t="s">
        <v>504</v>
      </c>
      <c r="J569" s="548" t="s">
        <v>504</v>
      </c>
      <c r="K569" s="548" t="s">
        <v>504</v>
      </c>
    </row>
    <row r="570" spans="1:11" x14ac:dyDescent="0.3">
      <c r="A570" t="s">
        <v>1015</v>
      </c>
      <c r="D570" s="548" t="s">
        <v>504</v>
      </c>
      <c r="E570" s="548" t="s">
        <v>504</v>
      </c>
      <c r="F570" s="548" t="s">
        <v>504</v>
      </c>
      <c r="G570" s="548" t="s">
        <v>504</v>
      </c>
      <c r="H570" s="548" t="s">
        <v>504</v>
      </c>
      <c r="I570" s="548" t="s">
        <v>504</v>
      </c>
      <c r="J570" s="548" t="s">
        <v>504</v>
      </c>
      <c r="K570" s="548" t="s">
        <v>504</v>
      </c>
    </row>
    <row r="571" spans="1:11" x14ac:dyDescent="0.3">
      <c r="A571" t="s">
        <v>1016</v>
      </c>
      <c r="D571" s="548" t="s">
        <v>504</v>
      </c>
      <c r="E571" s="548" t="s">
        <v>504</v>
      </c>
      <c r="F571" s="548" t="s">
        <v>504</v>
      </c>
      <c r="G571" s="548" t="s">
        <v>504</v>
      </c>
      <c r="H571" s="548" t="s">
        <v>504</v>
      </c>
      <c r="I571" s="548" t="s">
        <v>504</v>
      </c>
      <c r="J571" s="548" t="s">
        <v>504</v>
      </c>
      <c r="K571" s="548" t="s">
        <v>504</v>
      </c>
    </row>
    <row r="572" spans="1:11" x14ac:dyDescent="0.3">
      <c r="A572" t="s">
        <v>1017</v>
      </c>
      <c r="D572" s="548" t="s">
        <v>504</v>
      </c>
      <c r="E572" s="548" t="s">
        <v>504</v>
      </c>
      <c r="F572" s="548" t="s">
        <v>504</v>
      </c>
      <c r="G572" s="548" t="s">
        <v>504</v>
      </c>
      <c r="H572" s="548" t="s">
        <v>504</v>
      </c>
      <c r="I572" s="548" t="s">
        <v>504</v>
      </c>
      <c r="J572" s="548" t="s">
        <v>504</v>
      </c>
      <c r="K572" s="548" t="s">
        <v>504</v>
      </c>
    </row>
    <row r="573" spans="1:11" x14ac:dyDescent="0.3">
      <c r="A573" t="s">
        <v>1018</v>
      </c>
      <c r="D573" s="548" t="s">
        <v>504</v>
      </c>
      <c r="E573" s="548" t="s">
        <v>504</v>
      </c>
      <c r="F573" s="548" t="s">
        <v>504</v>
      </c>
      <c r="G573" s="548" t="s">
        <v>504</v>
      </c>
      <c r="H573" s="548" t="s">
        <v>504</v>
      </c>
      <c r="I573" s="548" t="s">
        <v>504</v>
      </c>
      <c r="J573" s="548" t="s">
        <v>504</v>
      </c>
      <c r="K573" s="548" t="s">
        <v>504</v>
      </c>
    </row>
    <row r="574" spans="1:11" x14ac:dyDescent="0.3">
      <c r="A574" t="s">
        <v>1019</v>
      </c>
      <c r="D574" s="548" t="s">
        <v>504</v>
      </c>
      <c r="E574" s="548" t="s">
        <v>504</v>
      </c>
      <c r="F574" s="548" t="s">
        <v>504</v>
      </c>
      <c r="G574" s="548" t="s">
        <v>504</v>
      </c>
      <c r="H574" s="548" t="s">
        <v>504</v>
      </c>
      <c r="I574" s="548" t="s">
        <v>504</v>
      </c>
      <c r="J574" s="548" t="s">
        <v>504</v>
      </c>
      <c r="K574" s="548" t="s">
        <v>504</v>
      </c>
    </row>
    <row r="575" spans="1:11" x14ac:dyDescent="0.3">
      <c r="A575" t="s">
        <v>1020</v>
      </c>
      <c r="D575" s="548" t="s">
        <v>504</v>
      </c>
      <c r="E575" s="548" t="s">
        <v>504</v>
      </c>
      <c r="F575" s="548" t="s">
        <v>504</v>
      </c>
      <c r="G575" s="548" t="s">
        <v>504</v>
      </c>
      <c r="H575" s="548" t="s">
        <v>504</v>
      </c>
      <c r="I575" s="548" t="s">
        <v>504</v>
      </c>
      <c r="J575" s="548" t="s">
        <v>504</v>
      </c>
      <c r="K575" s="548" t="s">
        <v>504</v>
      </c>
    </row>
    <row r="576" spans="1:11" x14ac:dyDescent="0.3">
      <c r="A576" t="s">
        <v>1021</v>
      </c>
      <c r="D576" s="548" t="s">
        <v>504</v>
      </c>
      <c r="E576" s="548" t="s">
        <v>504</v>
      </c>
      <c r="F576" s="548" t="s">
        <v>504</v>
      </c>
      <c r="G576" s="548" t="s">
        <v>504</v>
      </c>
      <c r="H576" s="548" t="s">
        <v>504</v>
      </c>
      <c r="I576" s="548" t="s">
        <v>504</v>
      </c>
      <c r="J576" s="548" t="s">
        <v>504</v>
      </c>
      <c r="K576" s="548" t="s">
        <v>504</v>
      </c>
    </row>
    <row r="577" spans="1:11" x14ac:dyDescent="0.3">
      <c r="A577" t="s">
        <v>1022</v>
      </c>
      <c r="D577" s="548" t="s">
        <v>504</v>
      </c>
      <c r="E577" s="548" t="s">
        <v>504</v>
      </c>
      <c r="F577" s="548" t="s">
        <v>504</v>
      </c>
      <c r="G577" s="548" t="s">
        <v>504</v>
      </c>
      <c r="H577" s="548" t="s">
        <v>504</v>
      </c>
      <c r="I577" s="548" t="s">
        <v>504</v>
      </c>
      <c r="J577" s="548" t="s">
        <v>504</v>
      </c>
      <c r="K577" s="548" t="s">
        <v>504</v>
      </c>
    </row>
    <row r="578" spans="1:11" x14ac:dyDescent="0.3">
      <c r="A578" t="s">
        <v>1023</v>
      </c>
      <c r="D578" s="548" t="s">
        <v>504</v>
      </c>
      <c r="E578" s="548" t="s">
        <v>504</v>
      </c>
      <c r="F578" s="548" t="s">
        <v>504</v>
      </c>
      <c r="G578" s="548" t="s">
        <v>504</v>
      </c>
      <c r="H578" s="548" t="s">
        <v>504</v>
      </c>
      <c r="I578" s="548" t="s">
        <v>504</v>
      </c>
      <c r="J578" s="548" t="s">
        <v>504</v>
      </c>
      <c r="K578" s="548" t="s">
        <v>504</v>
      </c>
    </row>
    <row r="579" spans="1:11" x14ac:dyDescent="0.3">
      <c r="A579" t="s">
        <v>1024</v>
      </c>
      <c r="D579" s="548" t="s">
        <v>504</v>
      </c>
      <c r="E579" s="548" t="s">
        <v>504</v>
      </c>
      <c r="F579" s="548" t="s">
        <v>504</v>
      </c>
      <c r="G579" s="548" t="s">
        <v>504</v>
      </c>
      <c r="H579" s="548" t="s">
        <v>504</v>
      </c>
      <c r="I579" s="548" t="s">
        <v>504</v>
      </c>
      <c r="J579" s="548" t="s">
        <v>504</v>
      </c>
      <c r="K579" s="548" t="s">
        <v>504</v>
      </c>
    </row>
    <row r="580" spans="1:11" x14ac:dyDescent="0.3">
      <c r="A580" t="s">
        <v>1025</v>
      </c>
      <c r="D580" s="548" t="s">
        <v>504</v>
      </c>
      <c r="E580" s="548" t="s">
        <v>504</v>
      </c>
      <c r="F580" s="548" t="s">
        <v>504</v>
      </c>
      <c r="G580" s="548" t="s">
        <v>504</v>
      </c>
      <c r="H580" s="548" t="s">
        <v>504</v>
      </c>
      <c r="I580" s="548" t="s">
        <v>504</v>
      </c>
      <c r="J580" s="548" t="s">
        <v>504</v>
      </c>
      <c r="K580" s="548" t="s">
        <v>504</v>
      </c>
    </row>
    <row r="581" spans="1:11" x14ac:dyDescent="0.3">
      <c r="A581" t="s">
        <v>1026</v>
      </c>
      <c r="D581" s="548" t="s">
        <v>504</v>
      </c>
      <c r="E581" s="548" t="s">
        <v>504</v>
      </c>
      <c r="F581" s="548" t="s">
        <v>504</v>
      </c>
      <c r="G581" s="548" t="s">
        <v>504</v>
      </c>
      <c r="H581" s="548" t="s">
        <v>504</v>
      </c>
      <c r="I581" s="548" t="s">
        <v>504</v>
      </c>
      <c r="J581" s="548" t="s">
        <v>504</v>
      </c>
      <c r="K581" s="548" t="s">
        <v>504</v>
      </c>
    </row>
    <row r="582" spans="1:11" x14ac:dyDescent="0.3">
      <c r="A582" t="s">
        <v>1027</v>
      </c>
      <c r="D582" s="548" t="s">
        <v>504</v>
      </c>
      <c r="E582" s="548" t="s">
        <v>504</v>
      </c>
      <c r="F582" s="548" t="s">
        <v>504</v>
      </c>
      <c r="G582" s="548" t="s">
        <v>504</v>
      </c>
      <c r="H582" s="548" t="s">
        <v>504</v>
      </c>
      <c r="I582" s="548" t="s">
        <v>504</v>
      </c>
      <c r="J582" s="548" t="s">
        <v>504</v>
      </c>
      <c r="K582" s="548" t="s">
        <v>504</v>
      </c>
    </row>
    <row r="583" spans="1:11" x14ac:dyDescent="0.3">
      <c r="A583" t="s">
        <v>1028</v>
      </c>
      <c r="D583" s="548" t="s">
        <v>504</v>
      </c>
      <c r="E583" s="548" t="s">
        <v>504</v>
      </c>
      <c r="F583" s="548" t="s">
        <v>504</v>
      </c>
      <c r="G583" s="548" t="s">
        <v>504</v>
      </c>
      <c r="H583" s="548" t="s">
        <v>504</v>
      </c>
      <c r="I583" s="548" t="s">
        <v>504</v>
      </c>
      <c r="J583" s="548" t="s">
        <v>504</v>
      </c>
      <c r="K583" s="548" t="s">
        <v>504</v>
      </c>
    </row>
    <row r="584" spans="1:11" x14ac:dyDescent="0.3">
      <c r="A584" t="s">
        <v>1029</v>
      </c>
      <c r="D584" s="548" t="s">
        <v>504</v>
      </c>
      <c r="E584" s="548" t="s">
        <v>504</v>
      </c>
      <c r="F584" s="548" t="s">
        <v>504</v>
      </c>
      <c r="G584" s="548" t="s">
        <v>504</v>
      </c>
      <c r="H584" s="548" t="s">
        <v>504</v>
      </c>
      <c r="I584" s="548" t="s">
        <v>504</v>
      </c>
      <c r="J584" s="548" t="s">
        <v>504</v>
      </c>
      <c r="K584" s="548" t="s">
        <v>504</v>
      </c>
    </row>
    <row r="585" spans="1:11" x14ac:dyDescent="0.3">
      <c r="A585" t="s">
        <v>1030</v>
      </c>
      <c r="D585" s="548" t="s">
        <v>504</v>
      </c>
      <c r="E585" s="548" t="s">
        <v>504</v>
      </c>
      <c r="F585" s="548" t="s">
        <v>504</v>
      </c>
      <c r="G585" s="548" t="s">
        <v>504</v>
      </c>
      <c r="H585" s="548" t="s">
        <v>504</v>
      </c>
      <c r="I585" s="548" t="s">
        <v>504</v>
      </c>
      <c r="J585" s="548" t="s">
        <v>504</v>
      </c>
      <c r="K585" s="548" t="s">
        <v>504</v>
      </c>
    </row>
    <row r="586" spans="1:11" x14ac:dyDescent="0.3">
      <c r="A586" t="s">
        <v>1031</v>
      </c>
      <c r="D586" s="548" t="s">
        <v>504</v>
      </c>
      <c r="E586" s="548" t="s">
        <v>504</v>
      </c>
      <c r="F586" s="548" t="s">
        <v>504</v>
      </c>
      <c r="G586" s="548" t="s">
        <v>504</v>
      </c>
      <c r="H586" s="548" t="s">
        <v>504</v>
      </c>
      <c r="I586" s="548" t="s">
        <v>504</v>
      </c>
      <c r="J586" s="548" t="s">
        <v>504</v>
      </c>
      <c r="K586" s="548" t="s">
        <v>504</v>
      </c>
    </row>
    <row r="587" spans="1:11" x14ac:dyDescent="0.3">
      <c r="A587" t="s">
        <v>1032</v>
      </c>
      <c r="D587" s="548" t="s">
        <v>504</v>
      </c>
      <c r="E587" s="548" t="s">
        <v>504</v>
      </c>
      <c r="F587" s="548" t="s">
        <v>504</v>
      </c>
      <c r="G587" s="548" t="s">
        <v>504</v>
      </c>
      <c r="H587" s="548" t="s">
        <v>504</v>
      </c>
      <c r="I587" s="548" t="s">
        <v>504</v>
      </c>
      <c r="J587" s="548" t="s">
        <v>504</v>
      </c>
      <c r="K587" s="548" t="s">
        <v>504</v>
      </c>
    </row>
    <row r="588" spans="1:11" x14ac:dyDescent="0.3">
      <c r="A588" t="s">
        <v>1033</v>
      </c>
      <c r="D588" s="548" t="s">
        <v>504</v>
      </c>
      <c r="E588" s="548" t="s">
        <v>504</v>
      </c>
      <c r="F588" s="548" t="s">
        <v>504</v>
      </c>
      <c r="G588" s="548" t="s">
        <v>504</v>
      </c>
      <c r="H588" s="548" t="s">
        <v>504</v>
      </c>
      <c r="I588" s="548" t="s">
        <v>504</v>
      </c>
      <c r="J588" s="548" t="s">
        <v>504</v>
      </c>
      <c r="K588" s="548" t="s">
        <v>504</v>
      </c>
    </row>
    <row r="589" spans="1:11" x14ac:dyDescent="0.3">
      <c r="A589" t="s">
        <v>1034</v>
      </c>
      <c r="D589" s="548" t="s">
        <v>504</v>
      </c>
      <c r="E589" s="548" t="s">
        <v>504</v>
      </c>
      <c r="F589" s="548" t="s">
        <v>504</v>
      </c>
      <c r="G589" s="548" t="s">
        <v>504</v>
      </c>
      <c r="H589" s="548" t="s">
        <v>504</v>
      </c>
      <c r="I589" s="548" t="s">
        <v>504</v>
      </c>
      <c r="J589" s="548" t="s">
        <v>504</v>
      </c>
      <c r="K589" s="548" t="s">
        <v>504</v>
      </c>
    </row>
    <row r="590" spans="1:11" x14ac:dyDescent="0.3">
      <c r="A590" t="s">
        <v>1035</v>
      </c>
      <c r="D590" s="548" t="s">
        <v>504</v>
      </c>
      <c r="E590" s="548" t="s">
        <v>504</v>
      </c>
      <c r="F590" s="548" t="s">
        <v>504</v>
      </c>
      <c r="G590" s="548" t="s">
        <v>504</v>
      </c>
      <c r="H590" s="548" t="s">
        <v>504</v>
      </c>
      <c r="I590" s="548" t="s">
        <v>504</v>
      </c>
      <c r="J590" s="548" t="s">
        <v>504</v>
      </c>
      <c r="K590" s="548" t="s">
        <v>504</v>
      </c>
    </row>
    <row r="591" spans="1:11" x14ac:dyDescent="0.3">
      <c r="A591" t="s">
        <v>1036</v>
      </c>
      <c r="D591" s="548" t="s">
        <v>504</v>
      </c>
      <c r="E591" s="548" t="s">
        <v>504</v>
      </c>
      <c r="F591" s="548" t="s">
        <v>504</v>
      </c>
      <c r="G591" s="548" t="s">
        <v>504</v>
      </c>
      <c r="H591" s="548" t="s">
        <v>504</v>
      </c>
      <c r="I591" s="548" t="s">
        <v>504</v>
      </c>
      <c r="J591" s="548" t="s">
        <v>504</v>
      </c>
      <c r="K591" s="548" t="s">
        <v>504</v>
      </c>
    </row>
    <row r="592" spans="1:11" x14ac:dyDescent="0.3">
      <c r="A592" t="s">
        <v>1037</v>
      </c>
      <c r="D592" s="548" t="s">
        <v>504</v>
      </c>
      <c r="E592" s="548" t="s">
        <v>504</v>
      </c>
      <c r="F592" s="548" t="s">
        <v>504</v>
      </c>
      <c r="G592" s="548" t="s">
        <v>504</v>
      </c>
      <c r="H592" s="548" t="s">
        <v>504</v>
      </c>
      <c r="I592" s="548" t="s">
        <v>504</v>
      </c>
      <c r="J592" s="548" t="s">
        <v>504</v>
      </c>
      <c r="K592" s="548" t="s">
        <v>504</v>
      </c>
    </row>
    <row r="593" spans="1:11" x14ac:dyDescent="0.3">
      <c r="A593" t="s">
        <v>1038</v>
      </c>
      <c r="D593" s="548" t="s">
        <v>504</v>
      </c>
      <c r="E593" s="548" t="s">
        <v>504</v>
      </c>
      <c r="F593" s="548" t="s">
        <v>504</v>
      </c>
      <c r="G593" s="548" t="s">
        <v>504</v>
      </c>
      <c r="H593" s="548" t="s">
        <v>504</v>
      </c>
      <c r="I593" s="548" t="s">
        <v>504</v>
      </c>
      <c r="J593" s="548" t="s">
        <v>504</v>
      </c>
      <c r="K593" s="548" t="s">
        <v>504</v>
      </c>
    </row>
    <row r="594" spans="1:11" x14ac:dyDescent="0.3">
      <c r="A594" t="s">
        <v>1039</v>
      </c>
      <c r="D594" s="548" t="s">
        <v>504</v>
      </c>
      <c r="E594" s="548" t="s">
        <v>504</v>
      </c>
      <c r="F594" s="548" t="s">
        <v>504</v>
      </c>
      <c r="G594" s="548" t="s">
        <v>504</v>
      </c>
      <c r="H594" s="548" t="s">
        <v>504</v>
      </c>
      <c r="I594" s="548" t="s">
        <v>504</v>
      </c>
      <c r="J594" s="548" t="s">
        <v>504</v>
      </c>
      <c r="K594" s="548" t="s">
        <v>504</v>
      </c>
    </row>
    <row r="595" spans="1:11" x14ac:dyDescent="0.3">
      <c r="A595" t="s">
        <v>1040</v>
      </c>
      <c r="D595" s="548" t="s">
        <v>504</v>
      </c>
      <c r="E595" s="548" t="s">
        <v>504</v>
      </c>
      <c r="F595" s="548" t="s">
        <v>504</v>
      </c>
      <c r="G595" s="548" t="s">
        <v>504</v>
      </c>
      <c r="H595" s="548" t="s">
        <v>504</v>
      </c>
      <c r="I595" s="548" t="s">
        <v>504</v>
      </c>
      <c r="J595" s="548" t="s">
        <v>504</v>
      </c>
      <c r="K595" s="548" t="s">
        <v>504</v>
      </c>
    </row>
    <row r="596" spans="1:11" x14ac:dyDescent="0.3">
      <c r="A596" t="s">
        <v>1041</v>
      </c>
      <c r="D596" s="548" t="s">
        <v>504</v>
      </c>
      <c r="E596" s="548" t="s">
        <v>504</v>
      </c>
      <c r="F596" s="548" t="s">
        <v>504</v>
      </c>
      <c r="G596" s="548" t="s">
        <v>504</v>
      </c>
      <c r="H596" s="548" t="s">
        <v>504</v>
      </c>
      <c r="I596" s="548" t="s">
        <v>504</v>
      </c>
      <c r="J596" s="548" t="s">
        <v>504</v>
      </c>
      <c r="K596" s="548" t="s">
        <v>504</v>
      </c>
    </row>
    <row r="597" spans="1:11" x14ac:dyDescent="0.3">
      <c r="A597" t="s">
        <v>1042</v>
      </c>
      <c r="D597" s="548" t="s">
        <v>504</v>
      </c>
      <c r="E597" s="548" t="s">
        <v>504</v>
      </c>
      <c r="F597" s="548" t="s">
        <v>504</v>
      </c>
      <c r="G597" s="548" t="s">
        <v>504</v>
      </c>
      <c r="H597" s="548" t="s">
        <v>504</v>
      </c>
      <c r="I597" s="548" t="s">
        <v>504</v>
      </c>
      <c r="J597" s="548" t="s">
        <v>504</v>
      </c>
      <c r="K597" s="548" t="s">
        <v>504</v>
      </c>
    </row>
    <row r="598" spans="1:11" x14ac:dyDescent="0.3">
      <c r="A598" t="s">
        <v>1043</v>
      </c>
      <c r="D598" s="548" t="s">
        <v>504</v>
      </c>
      <c r="E598" s="548" t="s">
        <v>504</v>
      </c>
      <c r="F598" s="548" t="s">
        <v>504</v>
      </c>
      <c r="G598" s="548" t="s">
        <v>504</v>
      </c>
      <c r="H598" s="548" t="s">
        <v>504</v>
      </c>
      <c r="I598" s="548" t="s">
        <v>504</v>
      </c>
      <c r="J598" s="548" t="s">
        <v>504</v>
      </c>
      <c r="K598" s="548" t="s">
        <v>504</v>
      </c>
    </row>
    <row r="599" spans="1:11" x14ac:dyDescent="0.3">
      <c r="A599" t="s">
        <v>1044</v>
      </c>
      <c r="D599" s="548" t="s">
        <v>504</v>
      </c>
      <c r="E599" s="548" t="s">
        <v>504</v>
      </c>
      <c r="F599" s="548" t="s">
        <v>504</v>
      </c>
      <c r="G599" s="548" t="s">
        <v>504</v>
      </c>
      <c r="H599" s="548" t="s">
        <v>504</v>
      </c>
      <c r="I599" s="548" t="s">
        <v>504</v>
      </c>
      <c r="J599" s="548" t="s">
        <v>504</v>
      </c>
      <c r="K599" s="548" t="s">
        <v>504</v>
      </c>
    </row>
    <row r="600" spans="1:11" x14ac:dyDescent="0.3">
      <c r="A600" t="s">
        <v>1045</v>
      </c>
      <c r="D600" s="548" t="s">
        <v>504</v>
      </c>
      <c r="E600" s="548" t="s">
        <v>504</v>
      </c>
      <c r="F600" s="548" t="s">
        <v>504</v>
      </c>
      <c r="G600" s="548" t="s">
        <v>504</v>
      </c>
      <c r="H600" s="548" t="s">
        <v>504</v>
      </c>
      <c r="I600" s="548" t="s">
        <v>504</v>
      </c>
      <c r="J600" s="548" t="s">
        <v>504</v>
      </c>
      <c r="K600" s="548" t="s">
        <v>504</v>
      </c>
    </row>
    <row r="601" spans="1:11" x14ac:dyDescent="0.3">
      <c r="A601" t="s">
        <v>1046</v>
      </c>
      <c r="D601" s="548" t="s">
        <v>504</v>
      </c>
      <c r="E601" s="548" t="s">
        <v>504</v>
      </c>
      <c r="F601" s="548" t="s">
        <v>504</v>
      </c>
      <c r="G601" s="548" t="s">
        <v>504</v>
      </c>
      <c r="H601" s="548" t="s">
        <v>504</v>
      </c>
      <c r="I601" s="548" t="s">
        <v>504</v>
      </c>
      <c r="J601" s="548" t="s">
        <v>504</v>
      </c>
      <c r="K601" s="548" t="s">
        <v>504</v>
      </c>
    </row>
    <row r="602" spans="1:11" x14ac:dyDescent="0.3">
      <c r="A602" t="s">
        <v>1047</v>
      </c>
      <c r="D602" s="548" t="s">
        <v>504</v>
      </c>
      <c r="E602" s="548" t="s">
        <v>504</v>
      </c>
      <c r="F602" s="548" t="s">
        <v>504</v>
      </c>
      <c r="G602" s="548" t="s">
        <v>504</v>
      </c>
      <c r="H602" s="548" t="s">
        <v>504</v>
      </c>
      <c r="I602" s="548" t="s">
        <v>504</v>
      </c>
      <c r="J602" s="548" t="s">
        <v>504</v>
      </c>
      <c r="K602" s="548" t="s">
        <v>504</v>
      </c>
    </row>
    <row r="603" spans="1:11" x14ac:dyDescent="0.3">
      <c r="A603" t="s">
        <v>1048</v>
      </c>
      <c r="D603" s="548" t="s">
        <v>504</v>
      </c>
      <c r="E603" s="548" t="s">
        <v>504</v>
      </c>
      <c r="F603" s="548" t="s">
        <v>504</v>
      </c>
      <c r="G603" s="548" t="s">
        <v>504</v>
      </c>
      <c r="H603" s="548" t="s">
        <v>504</v>
      </c>
      <c r="I603" s="548" t="s">
        <v>504</v>
      </c>
      <c r="J603" s="548" t="s">
        <v>504</v>
      </c>
      <c r="K603" s="548" t="s">
        <v>504</v>
      </c>
    </row>
    <row r="604" spans="1:11" x14ac:dyDescent="0.3">
      <c r="A604" s="553" t="s">
        <v>1049</v>
      </c>
      <c r="D604" s="543" t="b">
        <v>1</v>
      </c>
    </row>
  </sheetData>
  <sheetProtection algorithmName="SHA-512" hashValue="sxlRvdf4mmF3NKGbERbTLhxgWT8C7DJFacENEBnJuZjC6b9SSkcL2f04Nma2lQ0biJOMfCO1WD8Z67UAGMZAJw==" saltValue="TqrVr91UxfaPE1WlNgsga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DD4913DB76B24282030E6A3986DD24" ma:contentTypeVersion="5" ma:contentTypeDescription="Create a new document." ma:contentTypeScope="" ma:versionID="992742fe86dea191fced828006e45039">
  <xsd:schema xmlns:xsd="http://www.w3.org/2001/XMLSchema" xmlns:xs="http://www.w3.org/2001/XMLSchema" xmlns:p="http://schemas.microsoft.com/office/2006/metadata/properties" xmlns:ns2="ca7d34d9-26bd-4289-9961-46c9088bce70" targetNamespace="http://schemas.microsoft.com/office/2006/metadata/properties" ma:root="true" ma:fieldsID="2c8d86fbdaad6de7a32e7162b9583c24" ns2:_="">
    <xsd:import namespace="ca7d34d9-26bd-4289-9961-46c9088bce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ReferenceTyp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7d34d9-26bd-4289-9961-46c9088bce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ReferenceType" ma:index="11" nillable="true" ma:displayName="Reference Type" ma:format="Dropdown" ma:internalName="ReferenceType">
      <xsd:simpleType>
        <xsd:restriction base="dms:Text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ferenceType xmlns="ca7d34d9-26bd-4289-9961-46c9088bce70" xsi:nil="true"/>
  </documentManagement>
</p:properties>
</file>

<file path=customXml/itemProps1.xml><?xml version="1.0" encoding="utf-8"?>
<ds:datastoreItem xmlns:ds="http://schemas.openxmlformats.org/officeDocument/2006/customXml" ds:itemID="{1BCB3E40-806A-4F6E-AA3C-C6C14F946656}"/>
</file>

<file path=customXml/itemProps2.xml><?xml version="1.0" encoding="utf-8"?>
<ds:datastoreItem xmlns:ds="http://schemas.openxmlformats.org/officeDocument/2006/customXml" ds:itemID="{E4B8E804-4FFD-49C4-84A1-2642AC29BB6B}"/>
</file>

<file path=customXml/itemProps3.xml><?xml version="1.0" encoding="utf-8"?>
<ds:datastoreItem xmlns:ds="http://schemas.openxmlformats.org/officeDocument/2006/customXml" ds:itemID="{2507BE04-6972-4C32-88E1-00A9C7D50CAF}"/>
</file>

<file path=docMetadata/LabelInfo.xml><?xml version="1.0" encoding="utf-8"?>
<clbl:labelList xmlns:clbl="http://schemas.microsoft.com/office/2020/mipLabelMetadata">
  <clbl:label id="{fae6d70f-954b-4811-92b6-0530d6f84c43}" enabled="0" method="" siteId="{fae6d70f-954b-4811-92b6-0530d6f84c4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20</vt:i4>
      </vt:variant>
    </vt:vector>
  </HeadingPairs>
  <TitlesOfParts>
    <vt:vector size="36" baseType="lpstr">
      <vt:lpstr>User Inputs</vt:lpstr>
      <vt:lpstr>Sheet1</vt:lpstr>
      <vt:lpstr>StatusQuo</vt:lpstr>
      <vt:lpstr>AlternativeA</vt:lpstr>
      <vt:lpstr>AlternativeB</vt:lpstr>
      <vt:lpstr>AlternativeC</vt:lpstr>
      <vt:lpstr>AlternativeD</vt:lpstr>
      <vt:lpstr>CostDisplayA</vt:lpstr>
      <vt:lpstr>CostDisplayB</vt:lpstr>
      <vt:lpstr>CostDisplayC</vt:lpstr>
      <vt:lpstr>CostDisplayD</vt:lpstr>
      <vt:lpstr>ComparisonOfAlternatives</vt:lpstr>
      <vt:lpstr>ROI</vt:lpstr>
      <vt:lpstr>Discount</vt:lpstr>
      <vt:lpstr>Inflation</vt:lpstr>
      <vt:lpstr>DataSave</vt:lpstr>
      <vt:lpstr>_A65666</vt:lpstr>
      <vt:lpstr>ComparisonOfAlternatives!AdjustYear</vt:lpstr>
      <vt:lpstr>Inflation!DiscFactors</vt:lpstr>
      <vt:lpstr>DiscFactors</vt:lpstr>
      <vt:lpstr>DiscFactorsLinInterp</vt:lpstr>
      <vt:lpstr>DiscLinearInterp</vt:lpstr>
      <vt:lpstr>Inflate1</vt:lpstr>
      <vt:lpstr>Inflate2</vt:lpstr>
      <vt:lpstr>Inflate3</vt:lpstr>
      <vt:lpstr>Inflate4</vt:lpstr>
      <vt:lpstr>Inflate5</vt:lpstr>
      <vt:lpstr>Inflate6</vt:lpstr>
      <vt:lpstr>Inflate7</vt:lpstr>
      <vt:lpstr>Inflate8</vt:lpstr>
      <vt:lpstr>CostDisplayA!Print_Area</vt:lpstr>
      <vt:lpstr>CostDisplayB!Print_Area</vt:lpstr>
      <vt:lpstr>CostDisplayC!Print_Area</vt:lpstr>
      <vt:lpstr>CostDisplayD!Print_Area</vt:lpstr>
      <vt:lpstr>Inflation!RealRates</vt:lpstr>
      <vt:lpstr>RealRates</vt:lpstr>
    </vt:vector>
  </TitlesOfParts>
  <Company>United States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AGM</dc:creator>
  <cp:lastModifiedBy>Regina</cp:lastModifiedBy>
  <cp:lastPrinted>2020-07-02T15:48:34Z</cp:lastPrinted>
  <dcterms:created xsi:type="dcterms:W3CDTF">2020-03-24T15:35:04Z</dcterms:created>
  <dcterms:modified xsi:type="dcterms:W3CDTF">2024-04-19T18:10:53Z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0x010100BEDD4913DB76B24282030E6A3986DD24</vt:lpwstr>
  </property>
</Properties>
</file>